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961" firstSheet="4" activeTab="5"/>
  </bookViews>
  <sheets>
    <sheet name="úvod" sheetId="1" r:id="rId1"/>
    <sheet name="tab" sheetId="2" r:id="rId2"/>
    <sheet name="tab1-BilanceSR-druh" sheetId="3" r:id="rId3"/>
    <sheet name="tab.2-ukazatele" sheetId="4" r:id="rId4"/>
    <sheet name="tab. 3 mzdy" sheetId="5" r:id="rId5"/>
    <sheet name="tab.4 v+v" sheetId="6" r:id="rId6"/>
    <sheet name="tab.5-výdaje kraje" sheetId="7" r:id="rId7"/>
    <sheet name="tab.6-transfery" sheetId="8" r:id="rId8"/>
    <sheet name="tab.7 PF" sheetId="9" r:id="rId9"/>
    <sheet name="tab.8-výd.EU,FM" sheetId="10" r:id="rId10"/>
    <sheet name="tab.9 platy EU" sheetId="11" r:id="rId11"/>
    <sheet name=" tab.10-př. EU,FM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ccessDatabase">"C:\Dokumenty\Borisek\Excel\1998\ROZPIS1998\1LEDEN1998\akce98-1.mdb"</definedName>
    <definedName name="AV">'[1]301-KPR'!#REF!</definedName>
    <definedName name="AVC">'[1]301-KPR'!#REF!</definedName>
    <definedName name="BIS">#REF!</definedName>
    <definedName name="CBU">'[1]301-KPR'!#REF!</definedName>
    <definedName name="celkem1">'[1]301-KPR'!#REF!</definedName>
    <definedName name="CSU">'[1]301-KPR'!#REF!</definedName>
    <definedName name="CUZK">'[1]301-KPR'!#REF!</definedName>
    <definedName name="CÚZK">'[3]301'!#REF!</definedName>
    <definedName name="CUZKL">'[1]301-KPR'!#REF!</definedName>
    <definedName name="DF_GRID_1">#REF!</definedName>
    <definedName name="GA">'[1]301-KPR'!#REF!</definedName>
    <definedName name="GAE">'[1]301-KPR'!#REF!</definedName>
    <definedName name="gggg">#REF!</definedName>
    <definedName name="hhh">#REF!</definedName>
    <definedName name="jik">#REF!</definedName>
    <definedName name="jjj">#REF!</definedName>
    <definedName name="jksefjnsdf">'[1]301-KPR'!#REF!</definedName>
    <definedName name="KK">#REF!</definedName>
    <definedName name="kontrolní">'[4]301'!#REF!</definedName>
    <definedName name="KPR">#REF!</definedName>
    <definedName name="MDS">'[1]301-KPR'!#REF!</definedName>
    <definedName name="MF">#REF!</definedName>
    <definedName name="min_obdobi">#REF!</definedName>
    <definedName name="MK">'[1]301-KPR'!#REF!</definedName>
    <definedName name="MMR">#REF!</definedName>
    <definedName name="MO">#REF!</definedName>
    <definedName name="MPO">'[1]301-KPR'!#REF!</definedName>
    <definedName name="MPSV">#REF!</definedName>
    <definedName name="MS">'[1]301-KPR'!#REF!</definedName>
    <definedName name="MSMT">'[1]301-KPR'!#REF!</definedName>
    <definedName name="MSMT1">'[1]301-KPR'!#REF!</definedName>
    <definedName name="MV">#REF!</definedName>
    <definedName name="MZdr">'[1]301-KPR'!#REF!</definedName>
    <definedName name="MZe">'[1]301-KPR'!#REF!</definedName>
    <definedName name="MZP">#REF!</definedName>
    <definedName name="MZv">#REF!</definedName>
    <definedName name="_xlnm.Print_Titles" localSheetId="4">'tab. 3 mzdy'!$A:$A</definedName>
    <definedName name="_xlnm.Print_Titles" localSheetId="8">'tab.7 PF'!$4:$7</definedName>
    <definedName name="_xlnm.Print_Titles" localSheetId="2">'tab1-BilanceSR-druh'!$1:$8</definedName>
    <definedName name="NKU">'[1]301-KPR'!#REF!</definedName>
    <definedName name="obdobi">#REF!</definedName>
    <definedName name="_xlnm.Print_Area" localSheetId="11">' tab.10-př. EU,FM'!$A$1:$I$78</definedName>
    <definedName name="_xlnm.Print_Area" localSheetId="4">'tab. 3 mzdy'!$A$1:$AJ$69</definedName>
    <definedName name="_xlnm.Print_Area" localSheetId="6">'tab.5-výdaje kraje'!$A:$H</definedName>
    <definedName name="_xlnm.Print_Area" localSheetId="9">'tab.8-výd.EU,FM'!$A$1:$N$108</definedName>
    <definedName name="_xlnm.Print_Area" localSheetId="10">'tab.9 platy EU'!$A$1:$T$48</definedName>
    <definedName name="_xlnm.Print_Area" localSheetId="2">'tab1-BilanceSR-druh'!$A$1:$K$266</definedName>
    <definedName name="pol">#REF!</definedName>
    <definedName name="PSP">#REF!</definedName>
    <definedName name="RRTV">'[1]301-KPR'!#REF!</definedName>
    <definedName name="SAPBEXhrIndnt" hidden="1">"Wide"</definedName>
    <definedName name="SAPsysID" hidden="1">"708C5W7SBKP804JT78WJ0JNKI"</definedName>
    <definedName name="SAPwbID" hidden="1">"ARS"</definedName>
    <definedName name="SD">#REF!</definedName>
    <definedName name="SP">#REF!</definedName>
    <definedName name="ss">#REF!</definedName>
    <definedName name="SSHR">'[1]301-KPR'!#REF!</definedName>
    <definedName name="SUJB">'[1]301-KPR'!#REF!</definedName>
    <definedName name="TABULKA_1">#N/A</definedName>
    <definedName name="TABULKA_2">#N/A</definedName>
    <definedName name="UOHS">'[1]301-KPR'!#REF!</definedName>
    <definedName name="UPV">'[1]301-KPR'!#REF!</definedName>
    <definedName name="US">'[1]301-KPR'!#REF!</definedName>
    <definedName name="USIS">'[1]301-KPR'!#REF!</definedName>
    <definedName name="UV">#REF!</definedName>
    <definedName name="VSTUPY_1">#N/A</definedName>
    <definedName name="VSTUPY_2">#N/A</definedName>
  </definedNames>
  <calcPr fullCalcOnLoad="1" fullPrecision="0"/>
</workbook>
</file>

<file path=xl/sharedStrings.xml><?xml version="1.0" encoding="utf-8"?>
<sst xmlns="http://schemas.openxmlformats.org/spreadsheetml/2006/main" count="1721" uniqueCount="848">
  <si>
    <t xml:space="preserve"> (v tis.Kč)</t>
  </si>
  <si>
    <t>po změnách</t>
  </si>
  <si>
    <t>Běžné výdaje organizačních složek státu celkem</t>
  </si>
  <si>
    <t xml:space="preserve"> z toho: </t>
  </si>
  <si>
    <t>na škody způsobené živelními katastrofami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</si>
  <si>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</si>
  <si>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</si>
  <si>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</si>
  <si>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>transfery</t>
  </si>
  <si>
    <t xml:space="preserve"> a neziskovým institucím celkem</t>
  </si>
  <si>
    <t>a neziskovým institucím celkem</t>
  </si>
  <si>
    <t>Transfery a půjčené prostředky (návratné finanční výpomoci) regionálním radám regionů soudržnosti celkem</t>
  </si>
  <si>
    <t>neinvestiční</t>
  </si>
  <si>
    <t>investiční</t>
  </si>
  <si>
    <t>Běžné výdaje kapitoly celkem</t>
  </si>
  <si>
    <t>Kapitálové výdaje kapitoly celkem</t>
  </si>
  <si>
    <t xml:space="preserve">  Tabulka č. 6</t>
  </si>
  <si>
    <t xml:space="preserve">Přehled  účelových transferů a půjčených prostředků (návratných finančních výpomocí) </t>
  </si>
  <si>
    <t>krajům celkem</t>
  </si>
  <si>
    <t>obcím celkem</t>
  </si>
  <si>
    <t xml:space="preserve">Účelové transfery a půjčené prostředky (návratné finanční výpomoci) </t>
  </si>
  <si>
    <t>regionálním radám regionů soudržnosti celkem</t>
  </si>
  <si>
    <t>Neinvestiční transfery a půjčené prostředky (návratné finanční výpomoci) krajům a obcím celkem</t>
  </si>
  <si>
    <t>půjčené prostředky (návratné finanční výpomoci)</t>
  </si>
  <si>
    <t>Evropská migrační síť (046)</t>
  </si>
  <si>
    <t>Solidarita a řízení migračních toků (047)</t>
  </si>
  <si>
    <t>STORK (047)</t>
  </si>
  <si>
    <t>OP LZZ (033)</t>
  </si>
  <si>
    <t>IOP (036)</t>
  </si>
  <si>
    <t>SOA Plzeň OP ČR-Bavorsko: Bavorsko-česká síť digitálních historických pramenů (041)</t>
  </si>
  <si>
    <t>SOA Plzeň OP Česko-Sasko: Nové cesty mezi zeměmi (041)</t>
  </si>
  <si>
    <t>IOP: Národní digitální archiv (036)</t>
  </si>
  <si>
    <t>ISEC Společně proti hrozbám CBRN materiálu (047)</t>
  </si>
  <si>
    <t>IOP: Úprava systému cizinecké policie a vytvoření relevantního datového fondu pro ROB (036)</t>
  </si>
  <si>
    <t>IOP: Integrovaná operační střediska - KŘ PČR (036)</t>
  </si>
  <si>
    <t>Vzdělávání pro konkurenceschopnost (032)</t>
  </si>
  <si>
    <t>Evropský integrační fond (047)</t>
  </si>
  <si>
    <t>OPLZZ: Implementace nové integrovatelné e-learningové infrastruktury do rezortu MV prostřednictvím videokonferenčního řešení (033)</t>
  </si>
  <si>
    <t>Výdaje na platy a ostatní platby za provedenou práci v rámci společných programů České republiky a Evropské unie/ finančních  mechanismů čerpané v roce 2012</t>
  </si>
  <si>
    <t xml:space="preserve">Příspěvkové organizace celkem </t>
  </si>
  <si>
    <t xml:space="preserve">z celku: administrativní personální kapacity </t>
  </si>
  <si>
    <t>admistrativní kapacity motivace přepočtené na celé úvazky/ostatní odbory</t>
  </si>
  <si>
    <t>ostatní personální kapacity</t>
  </si>
  <si>
    <t>Investiční transfery a půjčené prostředky krajům a obcím celkem</t>
  </si>
  <si>
    <t>Neinvestiční transfery a půjčené prostředky (návratné finanční výpomoci) podnikatelským subjektům</t>
  </si>
  <si>
    <t xml:space="preserve">Investiční transfery a půjčené prostředky (návratné finanční výpomoci) podnikatelským subjektům </t>
  </si>
  <si>
    <t>%</t>
  </si>
  <si>
    <t>Index</t>
  </si>
  <si>
    <t>třída</t>
  </si>
  <si>
    <t>seskupení</t>
  </si>
  <si>
    <t>podsesk.</t>
  </si>
  <si>
    <t>položka</t>
  </si>
  <si>
    <t>U K A Z A T E L</t>
  </si>
  <si>
    <t>Schválený</t>
  </si>
  <si>
    <t>Rozpočet</t>
  </si>
  <si>
    <t>plnění</t>
  </si>
  <si>
    <t>položek</t>
  </si>
  <si>
    <t xml:space="preserve"> rozpočet</t>
  </si>
  <si>
    <t>3:2</t>
  </si>
  <si>
    <t>3:0</t>
  </si>
  <si>
    <t xml:space="preserve"> P Ř Í J M Y</t>
  </si>
  <si>
    <t>111-P1119</t>
  </si>
  <si>
    <t>**)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</si>
  <si>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</si>
  <si>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</si>
  <si>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z příjmů fyzických osob 
               ze samostatně výdělečné činnosti</t>
  </si>
  <si>
    <t xml:space="preserve">               Daň z příjmů fyzických osob
               z kapitálových výnosů</t>
  </si>
  <si>
    <t>112-P1129</t>
  </si>
  <si>
    <t xml:space="preserve"> Daně z příjmů právnických osob</t>
  </si>
  <si>
    <t>11-P1119-P1129</t>
  </si>
  <si>
    <t xml:space="preserve"> Daně z příjmů, zisku a kapitálových výnosů</t>
  </si>
  <si>
    <t>121-P1219</t>
  </si>
  <si>
    <t xml:space="preserve"> Obecné daně ze zboží a služeb v tuzemsku </t>
  </si>
  <si>
    <t xml:space="preserve">     v tom: Daň z přidané hodnoty  </t>
  </si>
  <si>
    <t>122 a 123</t>
  </si>
  <si>
    <t xml:space="preserve"> Zvláštní daně a poplatky ze zboží a služeb v tuzemsku </t>
  </si>
  <si>
    <t>12-P1219</t>
  </si>
  <si>
    <t xml:space="preserve"> Daně ze zboží a služeb v tuzemsku </t>
  </si>
  <si>
    <t xml:space="preserve"> Daně a poplatky z provozu motorových vozidel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</si>
  <si>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</si>
  <si>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</si>
  <si>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</si>
  <si>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</si>
  <si>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>Poplatky na činnost správních úřadů</t>
  </si>
  <si>
    <t xml:space="preserve"> Daně a poplatky z vybraných činností a služeb </t>
  </si>
  <si>
    <t>140 - 1409</t>
  </si>
  <si>
    <t xml:space="preserve"> Daně a cla za zboží a služby ze zahraničí </t>
  </si>
  <si>
    <t xml:space="preserve">    v tom: Clo</t>
  </si>
  <si>
    <t xml:space="preserve">               Podíl na vybraných clech</t>
  </si>
  <si>
    <t>14 -1409</t>
  </si>
  <si>
    <t xml:space="preserve"> Daně z majetku</t>
  </si>
  <si>
    <t>152 -1529</t>
  </si>
  <si>
    <t xml:space="preserve"> Daně z majetkových a kapitálových převodů</t>
  </si>
  <si>
    <t>1521, 1522, 1523</t>
  </si>
  <si>
    <t xml:space="preserve">    v tom:  Daň dědická, darovací a z převodu nemovitostí</t>
  </si>
  <si>
    <t>15 - 1529</t>
  </si>
  <si>
    <t xml:space="preserve"> Majetkové daně</t>
  </si>
  <si>
    <t>161, 162</t>
  </si>
  <si>
    <t xml:space="preserve"> Pojistné na sociální zabezpečení 
 a příspěvek na státní politiku zaměstnanosti  *) </t>
  </si>
  <si>
    <t>kap313:</t>
  </si>
  <si>
    <t>Fin ř.7121;</t>
  </si>
  <si>
    <t>kap307,312,314,336;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</si>
  <si>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</si>
  <si>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</si>
  <si>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 Pojistné na úrazové pojištění</t>
  </si>
  <si>
    <t xml:space="preserve"> Zrušené daně z objemu mezd </t>
  </si>
  <si>
    <t>Povinné pojistné</t>
  </si>
  <si>
    <t>170 **)</t>
  </si>
  <si>
    <t>k 1.1.2013</t>
  </si>
  <si>
    <t>1119,1129,1219,1409,1529</t>
  </si>
  <si>
    <t xml:space="preserve"> Ostatní daňové příjmy</t>
  </si>
  <si>
    <t>1 - 16</t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</si>
  <si>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</si>
  <si>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</si>
  <si>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</si>
  <si>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 xml:space="preserve">                Ostatní odvody příspěvkových organizací</t>
  </si>
  <si>
    <t xml:space="preserve"> Příjmy z pronájmu majetku</t>
  </si>
  <si>
    <t>Výnosy z finančního majetku</t>
  </si>
  <si>
    <t xml:space="preserve"> Soudní poplatky </t>
  </si>
  <si>
    <t xml:space="preserve"> Příjmy z vlastní činnosti a odvody přebytků
 organizací s přímým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</si>
  <si>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</si>
  <si>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</si>
  <si>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</si>
  <si>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</si>
  <si>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</si>
  <si>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</si>
  <si>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</si>
  <si>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</si>
  <si>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</si>
  <si>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</si>
  <si>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Splátky půjčených prostředků od obecně prospěšných
 společností a podobných subjektů</t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</si>
  <si>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</si>
  <si>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</si>
  <si>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</si>
  <si>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</si>
  <si>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</si>
  <si>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Příjmy sdílené s Evropskou unií</t>
  </si>
  <si>
    <t xml:space="preserve"> Příjmy sdílené s nadnárodním orgánem</t>
  </si>
  <si>
    <t xml:space="preserve"> NEDAŇOVÉ PŘÍJMY CELKEM</t>
  </si>
  <si>
    <t xml:space="preserve"> Příjmy z prodeje dlouhodobého majetku 
  a ostatní kapitálové příjmy  </t>
  </si>
  <si>
    <t xml:space="preserve"> Příjmy z prodeje dlouhodobého finančního majetku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</si>
  <si>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</si>
  <si>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</si>
  <si>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</si>
  <si>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</si>
  <si>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Převody z vlastních fondů</t>
  </si>
  <si>
    <t xml:space="preserve"> Neinvestiční přijaté transfery ze zahraničí</t>
  </si>
  <si>
    <t xml:space="preserve">   z toho: Neinvestiční transfery přijaté od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</si>
  <si>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</si>
  <si>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</si>
  <si>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</si>
  <si>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</si>
  <si>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</si>
  <si>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</si>
  <si>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 xml:space="preserve">  z toho: Investiční transfery přijaté od Evropské unie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</si>
  <si>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</si>
  <si>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</si>
  <si>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</si>
  <si>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>1,2,3,4</t>
  </si>
  <si>
    <t xml:space="preserve"> PŘÍJMY STÁTNÍHO ROZPOČTU CELKEM</t>
  </si>
  <si>
    <t>11,12,13,14,15,16,17,21,22,23,24,31,32,41,42</t>
  </si>
  <si>
    <t xml:space="preserve"> Kontrolní součet (seskupení položek)</t>
  </si>
  <si>
    <t>V Ý D A J E</t>
  </si>
  <si>
    <t xml:space="preserve"> Platy    </t>
  </si>
  <si>
    <t xml:space="preserve">                  Platy zaměstnanců ozbrojených 
                  sborů a složek ve služebním poměru 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</si>
  <si>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</si>
  <si>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</si>
  <si>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</si>
  <si>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</si>
  <si>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</si>
  <si>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</si>
  <si>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</si>
  <si>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</si>
  <si>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</si>
  <si>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</si>
  <si>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Náležitosti osob vykonávajících 
                   vojenská cvičení a další vojenskou 
                   službu </t>
  </si>
  <si>
    <t xml:space="preserve">                   Ostatní platby za provedenou práci
                   jinde nezařazené  </t>
  </si>
  <si>
    <t>5031, 2 a 9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</si>
  <si>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</si>
  <si>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</si>
  <si>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Mzdové náhrady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</si>
  <si>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</si>
  <si>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</si>
  <si>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</si>
  <si>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</si>
  <si>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</si>
  <si>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</si>
  <si>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</si>
  <si>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</si>
  <si>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</si>
  <si>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</si>
  <si>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</si>
  <si>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</si>
  <si>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</si>
  <si>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</si>
  <si>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</si>
  <si>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</si>
  <si>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</si>
  <si>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 Neinvestiční transfery v souvislosti s nemocenským pojištěním</t>
  </si>
  <si>
    <t xml:space="preserve">Neinvestiční transfery soukromoprávním subjektům </t>
  </si>
  <si>
    <t xml:space="preserve">   z toho: Neinvestiční transfery státním fondům</t>
  </si>
  <si>
    <t xml:space="preserve">                Neinvestiční transfery prostředků 
                do státních finančních aktiv  </t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</si>
  <si>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</si>
  <si>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</si>
  <si>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</si>
  <si>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</si>
  <si>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</si>
  <si>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</si>
  <si>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</si>
  <si>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</si>
  <si>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</si>
  <si>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</si>
  <si>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Neinvestiční transfery veřejnoprávním subjektům a
 mezi peněžními fondy téhož subjektu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</si>
  <si>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</si>
  <si>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</si>
  <si>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</si>
  <si>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</si>
  <si>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orgánům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</si>
  <si>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</si>
  <si>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důchodu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</si>
  <si>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</si>
  <si>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</si>
  <si>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</si>
  <si>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t xml:space="preserve"> Neinvestiční půjčené prostředky </t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</si>
  <si>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</si>
  <si>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</si>
  <si>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</si>
  <si>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</si>
  <si>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</si>
  <si>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</si>
  <si>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</si>
  <si>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</si>
  <si>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</si>
  <si>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</si>
  <si>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</si>
  <si>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</si>
  <si>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</si>
  <si>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t xml:space="preserve"> Investiční transfery neziskovým a pod. organizacím</t>
  </si>
  <si>
    <t xml:space="preserve">    z toho: Investiční transfery státním finančním aktivům</t>
  </si>
  <si>
    <t>zam. v</t>
  </si>
  <si>
    <t>ročním</t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</si>
  <si>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</si>
  <si>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</si>
  <si>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</si>
  <si>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</si>
  <si>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</si>
  <si>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</si>
  <si>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>Investiční transfery příspěvkovým a podobným organizacím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</si>
  <si>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</si>
  <si>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</si>
  <si>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</si>
  <si>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</si>
  <si>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</si>
  <si>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</si>
  <si>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příspěvkovým 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</si>
  <si>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</si>
  <si>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</si>
  <si>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</si>
  <si>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t xml:space="preserve"> Investiční převody Národnímu fondu na spolufinancování 
 ostatních programů Evropských společenství a ČR   </t>
  </si>
  <si>
    <t>Přehled výdajů státního rozpočtu na podporu výzkumu, vývoje a inovací</t>
  </si>
  <si>
    <t xml:space="preserve"> A. Přehled účelových výdajů na podporu výzkumu, vývoje a inovací v roce 2012  </t>
  </si>
  <si>
    <t xml:space="preserve"> B. Přehled institucionálních výdajů na podporu výzkumu, vývoje a inovací v roce 2012</t>
  </si>
  <si>
    <t xml:space="preserve">     C. Přehled výdajů na podporu výzkumu, vývoje a inovací na programy spolufinancované z prostředků ze zahraničních programů v roce 2012                  </t>
  </si>
  <si>
    <t xml:space="preserve">     D. Přehled výdajů na podporu výzkumu, vývoje a inovací celkem, včetně programů spolufinancovaných z prostředků zahraničních programů, v roce 2012                </t>
  </si>
  <si>
    <t>Přehled  výdajů organizačních složek státu, příspěvků a dotací příspěvkovým a podobným organizacím,</t>
  </si>
  <si>
    <t>krajům a obcím a jiným subjektům z rozpočtu kapitoly</t>
  </si>
  <si>
    <t>Výdaje na platy a ostatní platby za provedenou práci v rámci společných programů České republiky a Evropské unie/ finančních mechanismů čerpané v roce 2012</t>
  </si>
  <si>
    <t>Příjmy do rozpočtu kapitoly z rozpočtu Evropské unie na financování společných programů Evropské unie  a České republiky v roce 2012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</si>
  <si>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</si>
  <si>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</si>
  <si>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</si>
  <si>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</si>
  <si>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</si>
  <si>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</si>
  <si>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>1,2,3,4-(5,6)</t>
  </si>
  <si>
    <t xml:space="preserve">  Rozdíl příjmů a výdajů státního rozpočtu</t>
  </si>
  <si>
    <t>50,51,52,53,54,55,56,57,59,61,62, 63,64,67,69</t>
  </si>
  <si>
    <t xml:space="preserve"> FINANCOVÁNÍ</t>
  </si>
  <si>
    <t xml:space="preserve"> Krátkodobé vydané dluhopisy</t>
  </si>
  <si>
    <t>Uhrazené splátky krátkodobých vydaných dluhopisů</t>
  </si>
  <si>
    <t xml:space="preserve">Krátkodobé přijaté půjčené prostředky </t>
  </si>
  <si>
    <t>Uhrazené splátky krátkodobých přijatých půjčených prostředky</t>
  </si>
  <si>
    <t xml:space="preserve"> Změna stavu krátkodobých prostředků
 na bankovních účtech</t>
  </si>
  <si>
    <t>Aktivní krátkodobé operace řízení likvidity - příjmy</t>
  </si>
  <si>
    <t xml:space="preserve">Aktivní krátkodobé operace řízení likvidity - výdaje </t>
  </si>
  <si>
    <t xml:space="preserve"> Krátkodobé financování   </t>
  </si>
  <si>
    <t xml:space="preserve"> Dlouhodobé vydané dluhopisy</t>
  </si>
  <si>
    <t>Uhrazené splátky dlouhodobých vydaných dluhopisů</t>
  </si>
  <si>
    <t>Aktivní dlouhodobé operace řízení likvidity - výdaje</t>
  </si>
  <si>
    <t xml:space="preserve"> Dlouhodobé financování   </t>
  </si>
  <si>
    <t xml:space="preserve"> Financování z tuzemska celkem</t>
  </si>
  <si>
    <t>Aktivní krátkodobé operace řízení likvidity - výdaje</t>
  </si>
  <si>
    <t>Dlouhodobé vydané dluhopisy</t>
  </si>
  <si>
    <t xml:space="preserve"> Dlouhodobé přijaté půjčené prostředky    </t>
  </si>
  <si>
    <t>Uhrazené splátky dlouhodobých přijatých půjčených prostředků</t>
  </si>
  <si>
    <t xml:space="preserve"> Dlouhodobé financování  </t>
  </si>
  <si>
    <t xml:space="preserve"> Financování ze zahraničí celkem   </t>
  </si>
  <si>
    <t xml:space="preserve"> Pohyby na účtech pro financování nepatřící na jiné financující položky</t>
  </si>
  <si>
    <t xml:space="preserve"> Opravné položky k peněžním operacím</t>
  </si>
  <si>
    <t xml:space="preserve"> FINANCOVÁNÍ CELKEM</t>
  </si>
  <si>
    <t>(1+2+3+4)-(5+6)+8</t>
  </si>
  <si>
    <t xml:space="preserve"> Kontrola - rozdíl salda SR a financování</t>
  </si>
  <si>
    <t>Vysvětlivky:</t>
  </si>
  <si>
    <t>*) Příjmy z pojistného na SZ a příspěvek na politiku zaměstnanosti se vykazují v podrobnějším členění položek</t>
  </si>
  <si>
    <t xml:space="preserve">    na PSP 161 a 162 rozp. skladby</t>
  </si>
  <si>
    <t>POD  - pododdíl</t>
  </si>
  <si>
    <t>P      - položka</t>
  </si>
  <si>
    <t xml:space="preserve">                         v PSP 170 Ostatní daňové příjmy</t>
  </si>
  <si>
    <t>PSP  - podseskupení položek</t>
  </si>
  <si>
    <t>SP    - seskupení položek</t>
  </si>
  <si>
    <t>***) týká se kap. Operace státních finančních aktiv (od původců radioaktivních odpadů - příjem jaderného účtu)</t>
  </si>
  <si>
    <t>T      - třída</t>
  </si>
  <si>
    <t xml:space="preserve"> 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</si>
  <si>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</si>
  <si>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</si>
  <si>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</si>
  <si>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</si>
  <si>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</si>
  <si>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</si>
  <si>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</si>
  <si>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r>
      <t xml:space="preserve">       v tom: Platy zaměstnanců v pracovním
                  poměru </t>
    </r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</si>
  <si>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</si>
  <si>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</si>
  <si>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</si>
  <si>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</si>
  <si>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</si>
  <si>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</si>
  <si>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</si>
  <si>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</si>
  <si>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</si>
  <si>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</si>
  <si>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</si>
  <si>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</si>
  <si>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</si>
  <si>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</si>
  <si>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</si>
  <si>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</si>
  <si>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</si>
  <si>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</si>
  <si>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t xml:space="preserve">Přehled o vývoji čerpání rozpočtu Ministerstva vnitra v letech 2005 až 2012 včetně schváleného rozpočtu na rok 2013  </t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</si>
  <si>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</si>
  <si>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</si>
  <si>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</si>
  <si>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</si>
  <si>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</si>
  <si>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t>Vypracovala: Landsingerová, tel. 974 849 237</t>
  </si>
  <si>
    <t xml:space="preserve">Vypracovala: Landsingerová, tel. 974 849 237         Kontroloval: Ing. Hudera, tel. 974 849 802         Datum: 18. února 2013                </t>
  </si>
  <si>
    <t>,</t>
  </si>
  <si>
    <t>Kontrolovala: Ing. Konířová, tel. 974 849 393</t>
  </si>
  <si>
    <t>Vypracovala: Ing. Hradecká, 974 849 808</t>
  </si>
  <si>
    <t>Vypracovala: Ing. Malíková, tel. 974 849 803</t>
  </si>
  <si>
    <t>Sestavil: Ing. Randula, 974 849 817</t>
  </si>
  <si>
    <t>Kontrolovala: Ing. Konířová, 974 849 393</t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</si>
  <si>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</si>
  <si>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r>
      <t xml:space="preserve"> **) Poznámka:</t>
    </r>
    <r>
      <rPr>
        <sz val="10"/>
        <rFont val="Arial"/>
        <family val="0"/>
      </rPr>
      <t xml:space="preserve"> Položky 1119, 1129, 1219, 1409 a 1529 (příjmy ze staré daňové soustavy) zahrnuty </t>
    </r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</si>
  <si>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</si>
  <si>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>Druh ukazatele</t>
  </si>
  <si>
    <t>Název ukazatele</t>
  </si>
  <si>
    <t>Specifické ukazatele - příjmy</t>
  </si>
  <si>
    <t>Daňové příjmy 5)</t>
  </si>
  <si>
    <t>7110</t>
  </si>
  <si>
    <t>7120</t>
  </si>
  <si>
    <t>v tom: pojistné na důchodové pojištění</t>
  </si>
  <si>
    <t>7121</t>
  </si>
  <si>
    <t>7122</t>
  </si>
  <si>
    <t>7130</t>
  </si>
  <si>
    <t>7132</t>
  </si>
  <si>
    <t>příjmy z prostředků finančních mechanismů</t>
  </si>
  <si>
    <t>7135</t>
  </si>
  <si>
    <t>0,00</t>
  </si>
  <si>
    <t>7136</t>
  </si>
  <si>
    <t>Specifické ukazatele - výdaje</t>
  </si>
  <si>
    <t>Výdaje Policie ČR</t>
  </si>
  <si>
    <t>7201</t>
  </si>
  <si>
    <t>Výdaje Hasičského záchranného sboru ČR</t>
  </si>
  <si>
    <t>7202</t>
  </si>
  <si>
    <t>Výdaje na zabezpečení plnění úkolů Ministerstva vnitra</t>
  </si>
  <si>
    <t>7203</t>
  </si>
  <si>
    <t>7204</t>
  </si>
  <si>
    <t>7205</t>
  </si>
  <si>
    <t>Výdaje na sportovní reprezentaci</t>
  </si>
  <si>
    <t>7206</t>
  </si>
  <si>
    <t>Dávky důchodového pojištění</t>
  </si>
  <si>
    <t>7207</t>
  </si>
  <si>
    <t>Ostatní sociální dávky</t>
  </si>
  <si>
    <t>7208</t>
  </si>
  <si>
    <t>Průřezové ukazatele</t>
  </si>
  <si>
    <t>Platy zaměstnanců a ostatní platby za provedenou práci</t>
  </si>
  <si>
    <t>7310</t>
  </si>
  <si>
    <t>Povinné pojistné placené zaměstnavatelem 1)</t>
  </si>
  <si>
    <t>7320</t>
  </si>
  <si>
    <t>Převod fondu kulturních a sociálních potřeb</t>
  </si>
  <si>
    <t>7330</t>
  </si>
  <si>
    <t>7342</t>
  </si>
  <si>
    <t>Platy zaměstnanců v pracovním poměru</t>
  </si>
  <si>
    <t>7349</t>
  </si>
  <si>
    <t>7350</t>
  </si>
  <si>
    <t>v tom: ze státního rozpočtu celkem</t>
  </si>
  <si>
    <t>7351</t>
  </si>
  <si>
    <t>v tom: institucionální podpora celkem 3)</t>
  </si>
  <si>
    <t>7352</t>
  </si>
  <si>
    <t>účelová podpora celkem 3)</t>
  </si>
  <si>
    <t>7353</t>
  </si>
  <si>
    <t>podíl prostředků zahraničních programů 2)</t>
  </si>
  <si>
    <t>7354</t>
  </si>
  <si>
    <t>7371</t>
  </si>
  <si>
    <t>Účelová podpora na specifický vysokoškolský výzkum 4)</t>
  </si>
  <si>
    <t>7372</t>
  </si>
  <si>
    <t>7373</t>
  </si>
  <si>
    <t>7374</t>
  </si>
  <si>
    <t>Zahraniční rozvojová spolupráce</t>
  </si>
  <si>
    <t>7391</t>
  </si>
  <si>
    <t>Program sociální prevence a prevence kriminality</t>
  </si>
  <si>
    <t>7392</t>
  </si>
  <si>
    <t>Podpora projektů integrace příslušníků romské komunity</t>
  </si>
  <si>
    <t>7394</t>
  </si>
  <si>
    <t>7395</t>
  </si>
  <si>
    <t>7430</t>
  </si>
  <si>
    <t>v tom: ze státního rozpočtu</t>
  </si>
  <si>
    <t>7431</t>
  </si>
  <si>
    <t>podíl rozpočtu Evropské unie</t>
  </si>
  <si>
    <t>7432</t>
  </si>
  <si>
    <t>7450</t>
  </si>
  <si>
    <t>7451</t>
  </si>
  <si>
    <t>podíl prostředků finančních mechanismů</t>
  </si>
  <si>
    <t>7452</t>
  </si>
  <si>
    <t>7510</t>
  </si>
  <si>
    <t xml:space="preserve">Schválený rozpočet
v tis.Kč 
</t>
  </si>
  <si>
    <t>Příjmy celkem</t>
  </si>
  <si>
    <t>Výdaje celkem</t>
  </si>
  <si>
    <t>Souhrnné ukazatele</t>
  </si>
  <si>
    <t xml:space="preserve">Rozpočet po změnách
v tis.Kč 
</t>
  </si>
  <si>
    <t xml:space="preserve">Výsledek 
od poč. roku
v tis.Kč 
</t>
  </si>
  <si>
    <t xml:space="preserve">Plnění
(%)
</t>
  </si>
  <si>
    <t>1</t>
  </si>
  <si>
    <t>2</t>
  </si>
  <si>
    <t>3</t>
  </si>
  <si>
    <t>4=3:2</t>
  </si>
  <si>
    <t>program</t>
  </si>
  <si>
    <t xml:space="preserve">průměrný přepočtený počet zaměstnanců </t>
  </si>
  <si>
    <t xml:space="preserve">Platy zaměstnanců a ostatní platby za provedenou práci v tis. Kč </t>
  </si>
  <si>
    <t>spolufinancování ČR ze SR</t>
  </si>
  <si>
    <t>kryto příjmy z rozpočtu EU/FM</t>
  </si>
  <si>
    <t xml:space="preserve">platy a ostatní platby za provedenou práci </t>
  </si>
  <si>
    <t>prostředky na platy</t>
  </si>
  <si>
    <t>ostatní platby za provedenou práci</t>
  </si>
  <si>
    <t>Organizační složky státu celkem</t>
  </si>
  <si>
    <t>Státní správa celkem</t>
  </si>
  <si>
    <t>- jednotlivá organizační složka celkem</t>
  </si>
  <si>
    <t>Ostatní organizační složky státu</t>
  </si>
  <si>
    <t>Organizační složky státu a příspěvkové organizace celkem</t>
  </si>
  <si>
    <t>Kontroloval: Ing. Hudera, tel. 974 849 602</t>
  </si>
  <si>
    <t>Období: leden až prosinec 2012</t>
  </si>
  <si>
    <t>Příjmy z pojistného na sociální zabezpečení a příspěvku na státní politiku zaměstnanosti</t>
  </si>
  <si>
    <t>pojistné na nemocenské pojištění a příspěvek na státní politiku zaměstnanosti</t>
  </si>
  <si>
    <t>Nedaňové příjmy, kapitálové příjmy a přijaté transfery celkem</t>
  </si>
  <si>
    <t>v tom: příjmy z rozpočtu Evropské unie bez společné zemědělské politiky celkem</t>
  </si>
  <si>
    <t>ostatní nedaňové příjmy, kapitálové příjmy a přijaté transfery celkem</t>
  </si>
  <si>
    <t>Výdaje na zabezpečení činností ostatních organizačních složek státu v působnosti Ministerstva vnitra</t>
  </si>
  <si>
    <t>Výdaje na programy spolufinancované z rozpočtu EU - IOP a OP LZZ celkem</t>
  </si>
  <si>
    <t>Platy zaměstnanců ozbrojených sborů a složek ve služebním poměru</t>
  </si>
  <si>
    <t>Výdaje na výzkum, vývoj a inovace celkem včetně programů spolufinancovaných z prostředků zahraničních programů 2)</t>
  </si>
  <si>
    <t>Účelová podpora na programy aplikovaného výzkumu, vývoje a inovací 4)</t>
  </si>
  <si>
    <t>Institucionální podpora výzkumných organizací podle zhodnocení jimi dosažených výsledků 4)</t>
  </si>
  <si>
    <t>Institucionální podpora na mezinárodní spolupráci ČR ve výzkumu a vývoji 4)</t>
  </si>
  <si>
    <t>Zajištění přípravy na krizové situace podle zákona č. 240/2000 Sb.</t>
  </si>
  <si>
    <t>Výdaje spolufinancované z rozpočtu Evropské unie bez společné zemědělské politiky celkem</t>
  </si>
  <si>
    <t>Výdaje na společné projekty, které jsou zčásti financovány z prostředků finančních mechanismů celkem</t>
  </si>
  <si>
    <t>Výdaje vedené v informačním systému programového financování EDS/SMVS celkem</t>
  </si>
  <si>
    <t>Schválený rozpočet na rok 2012</t>
  </si>
  <si>
    <t>Rozpočet 2012 po změnách podle § 23 odstavec 1 písm. a)</t>
  </si>
  <si>
    <t>Čerpání prostředků na</t>
  </si>
  <si>
    <t>Čerpání prostředků vyčleněných z limitů regulace zaměstnanosti včetně souvisejícího počtu zaměstnanců</t>
  </si>
  <si>
    <t>Prostředky</t>
  </si>
  <si>
    <t xml:space="preserve"> z toho:</t>
  </si>
  <si>
    <t>podporu</t>
  </si>
  <si>
    <t>Zůstatek</t>
  </si>
  <si>
    <t xml:space="preserve">na platy </t>
  </si>
  <si>
    <t xml:space="preserve">Ostatní platby </t>
  </si>
  <si>
    <t>Počet</t>
  </si>
  <si>
    <t>Průměr.</t>
  </si>
  <si>
    <t>vědy</t>
  </si>
  <si>
    <t>fondu</t>
  </si>
  <si>
    <t>a ostatní platby</t>
  </si>
  <si>
    <t xml:space="preserve">za provedenou </t>
  </si>
  <si>
    <t>na platy</t>
  </si>
  <si>
    <t>zaměst-</t>
  </si>
  <si>
    <t>plat</t>
  </si>
  <si>
    <t>přepočt.</t>
  </si>
  <si>
    <t>a</t>
  </si>
  <si>
    <t>odměn</t>
  </si>
  <si>
    <t>za provedenou</t>
  </si>
  <si>
    <t>práci</t>
  </si>
  <si>
    <t>nanců</t>
  </si>
  <si>
    <t>počet</t>
  </si>
  <si>
    <t>výzkumu</t>
  </si>
  <si>
    <t>k 31.12.</t>
  </si>
  <si>
    <t>práci v tis. Kč</t>
  </si>
  <si>
    <t>v tis. Kč</t>
  </si>
  <si>
    <t>v Kč</t>
  </si>
  <si>
    <t>průměru</t>
  </si>
  <si>
    <t>zaměst.</t>
  </si>
  <si>
    <t>I.  Organizační složky státu</t>
  </si>
  <si>
    <t xml:space="preserve">      c e l k e m</t>
  </si>
  <si>
    <t xml:space="preserve">        z toho:</t>
  </si>
  <si>
    <t xml:space="preserve">        prostředky na vědu a výzkum</t>
  </si>
  <si>
    <t xml:space="preserve">        prostředky na platy příslušníků a vojáků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</si>
  <si>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</si>
  <si>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</si>
  <si>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</si>
  <si>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</si>
  <si>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Složky ministerstva vnitra</t>
  </si>
  <si>
    <t xml:space="preserve">       jednotlivé OSS - státní správa</t>
  </si>
  <si>
    <t xml:space="preserve">      OSS - státní správa celkem</t>
  </si>
  <si>
    <t xml:space="preserve">        Policie ČR celkem</t>
  </si>
  <si>
    <t xml:space="preserve">        Hasičský záchranný sbor ČR celkem</t>
  </si>
  <si>
    <t xml:space="preserve">       jednotlivé SOBCPO celkem</t>
  </si>
  <si>
    <t xml:space="preserve">       SOBCPO celkem</t>
  </si>
  <si>
    <t xml:space="preserve">  b) ostatní organiz. složky státu</t>
  </si>
  <si>
    <t>II.  Příspěvkové organizace</t>
  </si>
  <si>
    <t xml:space="preserve">     z toho:</t>
  </si>
  <si>
    <t>OPŘO</t>
  </si>
  <si>
    <t>Regionální školství územních celků</t>
  </si>
  <si>
    <t>v tom:</t>
  </si>
  <si>
    <t xml:space="preserve">   platy pedagogických pracovníků</t>
  </si>
  <si>
    <t xml:space="preserve">   platy nepedagogických pracovníků</t>
  </si>
  <si>
    <t>Regionální školství MŠMT</t>
  </si>
  <si>
    <t>Ústředně řízené</t>
  </si>
  <si>
    <t xml:space="preserve"> OSS a PO  c e l k e m</t>
  </si>
  <si>
    <t>Vypracovala: Soňa Vondráčková, tel. 974 849 731</t>
  </si>
  <si>
    <t>Datum: 18. února 2013</t>
  </si>
  <si>
    <t>Změny rozpočtu 2012 podle § 23 odstavec 1 písm. b) celé povolené překročení</t>
  </si>
  <si>
    <t>Změny rozpočtu 2012 podle § 23 odstavec 1 písm. c) vázání</t>
  </si>
  <si>
    <t>Čerpání nároku na použití úspor z minulých let podle § 47 rozpočtových pravidel (nároky)</t>
  </si>
  <si>
    <t>Čerpání v dalších případech překročení povoleného MF (příspěvky)</t>
  </si>
  <si>
    <t>Čerpání mimorozpočtových zdrojů (RF)</t>
  </si>
  <si>
    <r>
      <t>Skutečnost za rok 2012</t>
    </r>
    <r>
      <rPr>
        <b/>
        <vertAlign val="superscript"/>
        <sz val="12"/>
        <rFont val="Arial CE"/>
        <family val="0"/>
      </rPr>
      <t xml:space="preserve"> </t>
    </r>
  </si>
  <si>
    <t>Období:</t>
  </si>
  <si>
    <t>skutečné plnění bez převodů do nároků z nespotřebovaných výdajů</t>
  </si>
  <si>
    <t>Kapitálové výdaje celkem</t>
  </si>
  <si>
    <t>Běžné výdaje účel. určené na financování 
programů</t>
  </si>
  <si>
    <t>Výdaje účel. určené na financování 
programů celkem</t>
  </si>
  <si>
    <t>Evidenční 
číslo</t>
  </si>
  <si>
    <t>Název  programu</t>
  </si>
  <si>
    <t>rozpočet</t>
  </si>
  <si>
    <t>Skutečné
plnění</t>
  </si>
  <si>
    <t>%
plnění</t>
  </si>
  <si>
    <t>Po 
změnách</t>
  </si>
  <si>
    <t>Kapitola: 314 Ministerstvo vnitra</t>
  </si>
  <si>
    <t>Rozvoj a obnova materiálně-technické základny školství, vzdělávání a tělovýchovy</t>
  </si>
  <si>
    <t>Rozvoj a obnova materiálně-technické základny státních archivů</t>
  </si>
  <si>
    <t>***,**</t>
  </si>
  <si>
    <t>Rozvoj a obnova materiálně-technické základny organizací služeb resortu MV</t>
  </si>
  <si>
    <t>Podpora prevence kriminality</t>
  </si>
  <si>
    <t>Podpora mezinárodní spolupráce a aktivní zapojení do formulování azylové a migrační politiky v rámci Evropské unie</t>
  </si>
  <si>
    <t>Evropský integrační fond</t>
  </si>
  <si>
    <t>z toho:</t>
  </si>
  <si>
    <t>z rozpočtu EU/FM</t>
  </si>
  <si>
    <t>z rozpočtu ČR (národní prostředky)</t>
  </si>
  <si>
    <t>způsobilé</t>
  </si>
  <si>
    <t>nezpůsobilé</t>
  </si>
  <si>
    <t>Programy spolufinancované z rozpočtu EU - IOP a OP LZZ</t>
  </si>
  <si>
    <t>Integrovaný operační program</t>
  </si>
  <si>
    <t>Rozvoj a obnova materiálně-technické základny Policie ČR</t>
  </si>
  <si>
    <t>OP životní prostředí</t>
  </si>
  <si>
    <t>OP přeshraniční spolupráce Svobodný stát Sasko-Česká republika</t>
  </si>
  <si>
    <t>OP přeshraniční spolupráce Česká republika-Svobodný stát Bavorsko</t>
  </si>
  <si>
    <t>OP přeshraniční spolupráce Česká republika-Polská republika</t>
  </si>
  <si>
    <t>Program švýcarsko-české spolupráce</t>
  </si>
  <si>
    <t>OP přeshraniční spolupráce Slovenská republika-Česká republika</t>
  </si>
  <si>
    <t>Fond pro vnější hranice</t>
  </si>
  <si>
    <t>Reprodukce majetku HZS ČR</t>
  </si>
  <si>
    <t>Pořizování a obnova majetku HZS ČR</t>
  </si>
  <si>
    <t>E - Government</t>
  </si>
  <si>
    <t xml:space="preserve">Výstavba informačních a komunikačních systémů a sítí MV </t>
  </si>
  <si>
    <t>Celkem za všechny programy</t>
  </si>
  <si>
    <t>Vypracoval : Štěpánek, tel. 974 849 205</t>
  </si>
  <si>
    <t>Kontroloval:  JUDr. Šváb, tel. 974 849 238</t>
  </si>
  <si>
    <t>v tisících Kč</t>
  </si>
  <si>
    <t>VÝDAJE KAPITOLY NA FINANCOVÁNÍ SPOLEČNÝCH PROGRAMŮ/PROJEKTŮ ČESKÉ REPUBLIKY, EVROPSKÉ UNIE A FINANČNÍCH MECHANISMŮ</t>
  </si>
  <si>
    <t>Výdaje kapitoly na financování společných programů EU a ČR ze státního rozpočtu v roce 2012</t>
  </si>
  <si>
    <t>(bez Společné zemědělské politiky)</t>
  </si>
  <si>
    <t>tis. Kč</t>
  </si>
  <si>
    <t xml:space="preserve">Program </t>
  </si>
  <si>
    <t>Státní rozpočet</t>
  </si>
  <si>
    <t>Skutečnost k 31.12.2012</t>
  </si>
  <si>
    <t>% plnění</t>
  </si>
  <si>
    <t xml:space="preserve">spolufinan-cování ČR ze SR </t>
  </si>
  <si>
    <t>celkem</t>
  </si>
  <si>
    <t>slovy</t>
  </si>
  <si>
    <t>13=10:4</t>
  </si>
  <si>
    <t>14=11:5</t>
  </si>
  <si>
    <t>15=12:6</t>
  </si>
  <si>
    <t>programové období 2004-2006</t>
  </si>
  <si>
    <t>OP</t>
  </si>
  <si>
    <t>OP/FS celkem</t>
  </si>
  <si>
    <t>Ostatní (vypsat)</t>
  </si>
  <si>
    <t xml:space="preserve">C e l k e m   </t>
  </si>
  <si>
    <t>programové období 2007-2013</t>
  </si>
  <si>
    <t>OP Lidské zdroje a zaměstnanost</t>
  </si>
  <si>
    <t>OP Vzdělávání pro konkurenceschopnost</t>
  </si>
  <si>
    <t>OP Přeshraniční spolupráce</t>
  </si>
  <si>
    <t>OP Životní prostředí</t>
  </si>
  <si>
    <t>Obecný program Solidarita a řízení migračních toků</t>
  </si>
  <si>
    <t>Ostatní komunitární programy</t>
  </si>
  <si>
    <t>Komunitární programy celkem</t>
  </si>
  <si>
    <t>Ostatní (Evropská migrační síť)</t>
  </si>
  <si>
    <t>programové období 2014-20yy</t>
  </si>
  <si>
    <t>Komunitární program (vypsat)</t>
  </si>
  <si>
    <t xml:space="preserve">Ú h r n e m </t>
  </si>
  <si>
    <t>Nástroj</t>
  </si>
  <si>
    <t>motivace</t>
  </si>
  <si>
    <t>7=4+5+6</t>
  </si>
  <si>
    <t>11=8+9+10</t>
  </si>
  <si>
    <t>15=12+13+14</t>
  </si>
  <si>
    <t>16=8+12</t>
  </si>
  <si>
    <t>17=9+13</t>
  </si>
  <si>
    <t>18=10+14</t>
  </si>
  <si>
    <t>19=11+15</t>
  </si>
  <si>
    <t xml:space="preserve">Ústřední orgán státní správy   </t>
  </si>
  <si>
    <t>Jednotlivé organizační složky státu - státní správa</t>
  </si>
  <si>
    <t>- jednotlivá organizační složka</t>
  </si>
  <si>
    <t>Jednotlivé organizační složky správy ve složkách obrany, bezpečnosti, celní a právní ochrany</t>
  </si>
  <si>
    <t>Leonardo da Vinci - Projekt mobility "Výměna odborných zkušeností policistů, zásahových jednotek a kriminalistických laboratoří" (047)</t>
  </si>
  <si>
    <t>(033,036) TP IOP a OP LZZ</t>
  </si>
  <si>
    <t>průměrný měsíční plat    v Kč</t>
  </si>
  <si>
    <t>Evropský uprchlický fond (047)</t>
  </si>
  <si>
    <t>průměrná měsíční motivace     v Kč</t>
  </si>
  <si>
    <t>systemizo- vaná místa</t>
  </si>
  <si>
    <t>jednorázové navýšení</t>
  </si>
  <si>
    <t>Nároky z nespotřebovaných výdajů</t>
  </si>
  <si>
    <t>k 31.12.2012</t>
  </si>
  <si>
    <t>z let 2008 až 2012</t>
  </si>
  <si>
    <t>kód</t>
  </si>
  <si>
    <t>obecný program Solidarita a řízení migračních toků</t>
  </si>
  <si>
    <t>programové období 2014-20xx</t>
  </si>
  <si>
    <t>Výdaje kapitoly na financování společných projektů ČR a donorských zemí v rámci finančních mechanismů v roce 2012</t>
  </si>
  <si>
    <t>Finanční mechanismus</t>
  </si>
  <si>
    <t>EHP/Norsko</t>
  </si>
  <si>
    <t>přímé platby</t>
  </si>
  <si>
    <t>Program rozvoje venkova</t>
  </si>
  <si>
    <t>Společná organizace trhu</t>
  </si>
  <si>
    <t>Příjmy do rozpočtu kapitoly z rozpočtu EU na financování společných programů EU a ČR  v roce 2012 (bez Společné zemědělské politiky)</t>
  </si>
  <si>
    <t>Název programu (nástroj slovy)</t>
  </si>
  <si>
    <t xml:space="preserve">z toho </t>
  </si>
  <si>
    <t>mimorozpočtové zdroje</t>
  </si>
  <si>
    <t>příjem prostředků podle § 25 odst. 1 písm. c) zákona č. 218/2000 Sb., ve znění pozdějších předpisů</t>
  </si>
  <si>
    <t>KP Solidarita a řízení migračních toků</t>
  </si>
  <si>
    <t>Evropská migrační síť</t>
  </si>
  <si>
    <t>Fond Solidarity</t>
  </si>
  <si>
    <t xml:space="preserve">    Ú h r n e m</t>
  </si>
  <si>
    <t>Operační programy/FS progr.obd.2004-2006</t>
  </si>
  <si>
    <t>Operační programy progr.obd. 2007-2013</t>
  </si>
  <si>
    <t>programy progr.obd. 2014-20yy</t>
  </si>
  <si>
    <t>Transition Facility celkem</t>
  </si>
  <si>
    <t>Ostatní celkem</t>
  </si>
  <si>
    <t>Příjmy do rozpočtu kapitoly z rozpočtu EU na Společnou zemědělskou politiku</t>
  </si>
  <si>
    <t>název (nástroj slovy)</t>
  </si>
  <si>
    <t>6=(3-5):2</t>
  </si>
  <si>
    <t>Horizontální plán rozvoje venkova</t>
  </si>
  <si>
    <t xml:space="preserve">Celkem </t>
  </si>
  <si>
    <t xml:space="preserve">   Ú h r n em </t>
  </si>
  <si>
    <t>Příjmy do rozpočtu kapitoly z finančních mechanismů</t>
  </si>
  <si>
    <t>Finanční mechnismy (název)</t>
  </si>
  <si>
    <t>Ú h r n e m</t>
  </si>
  <si>
    <t>kryto příjmem   z rozpočtu EU</t>
  </si>
  <si>
    <t>kryto příjmem   z rozpočtu donorských zemí FM</t>
  </si>
  <si>
    <t>kryto příjmem     z rozpočtu donorských zemí FM</t>
  </si>
  <si>
    <t>Období: 2012</t>
  </si>
  <si>
    <t xml:space="preserve">    Tabulka č. 4 strana 1</t>
  </si>
  <si>
    <t xml:space="preserve"> z toho čerpáno</t>
  </si>
  <si>
    <t xml:space="preserve">z toho nároky </t>
  </si>
  <si>
    <t>řádek</t>
  </si>
  <si>
    <t>Výdaje účelově určené na financování programů vedené v EDS/SMVS</t>
  </si>
  <si>
    <t>Organizace</t>
  </si>
  <si>
    <t>po změnách 2012</t>
  </si>
  <si>
    <t xml:space="preserve"> k 31.12.2012</t>
  </si>
  <si>
    <t>z rezervního fondu</t>
  </si>
  <si>
    <t>z předchozích let</t>
  </si>
  <si>
    <t>běžné</t>
  </si>
  <si>
    <t>kapitálové</t>
  </si>
  <si>
    <t>výdaje</t>
  </si>
  <si>
    <t>1.</t>
  </si>
  <si>
    <t>Státní organizace :    celkem</t>
  </si>
  <si>
    <t>1.1.</t>
  </si>
  <si>
    <t xml:space="preserve">v tom: </t>
  </si>
  <si>
    <t xml:space="preserve"> OSS</t>
  </si>
  <si>
    <t xml:space="preserve"> 1.2.</t>
  </si>
  <si>
    <t xml:space="preserve"> PO</t>
  </si>
  <si>
    <t>1.3.</t>
  </si>
  <si>
    <t xml:space="preserve"> PO )*</t>
  </si>
  <si>
    <t>2.</t>
  </si>
  <si>
    <t>OS a PO v působnosti ÚSC:celkem</t>
  </si>
  <si>
    <t>2.1.</t>
  </si>
  <si>
    <t xml:space="preserve"> OS</t>
  </si>
  <si>
    <t>2.2.</t>
  </si>
  <si>
    <t>3.</t>
  </si>
  <si>
    <t xml:space="preserve">Vysoké školy:           celkem          </t>
  </si>
  <si>
    <t>4.</t>
  </si>
  <si>
    <t>Veřejné výzkumné instituce</t>
  </si>
  <si>
    <t>5.</t>
  </si>
  <si>
    <t>Ostatní subjekty :      celkem</t>
  </si>
  <si>
    <t>5.1.</t>
  </si>
  <si>
    <t>v tom:  podnikatelské subjekty</t>
  </si>
  <si>
    <t>5.2.</t>
  </si>
  <si>
    <t xml:space="preserve">           neziskové apod.organizace</t>
  </si>
  <si>
    <t>6.</t>
  </si>
  <si>
    <t>Související výdaje</t>
  </si>
  <si>
    <t>7.</t>
  </si>
  <si>
    <t>Účelové výdaje celkem</t>
  </si>
  <si>
    <t>platy</t>
  </si>
  <si>
    <t>X</t>
  </si>
  <si>
    <t>OPPP</t>
  </si>
  <si>
    <t>povinné pojistné</t>
  </si>
  <si>
    <t>FKSP</t>
  </si>
  <si>
    <t>Vysvětlivky k tabulce A:</t>
  </si>
  <si>
    <t xml:space="preserve">řádek 1:  státní organizace = zřizovatelem je stát  </t>
  </si>
  <si>
    <t xml:space="preserve">řádek 1.3 )*:  PO  jiných zřizovatelů (státních) </t>
  </si>
  <si>
    <t>řádek 2:   organizační složky a příspěvkové organizace zřizované územními samosprávnými celky ve smyslu ust. § 23 zákona č. 250/2000 Sb. v platném znění</t>
  </si>
  <si>
    <t xml:space="preserve">řádek 3:   veřejné vysoké školy, vojenské a policejní vysoké školy, soukromé vysoké školy </t>
  </si>
  <si>
    <t xml:space="preserve">                bez ohledu na právní formu (o tyto údaje budou nižší ostatní uvedené právní formy)</t>
  </si>
  <si>
    <t>řádek 4: zákon č.341/2005 Sb., o veřejných výzkumných institucích</t>
  </si>
  <si>
    <t xml:space="preserve">řádek 6: náklady na zabezpečení veřejné soutěže apod., podle § 3 odst.2 zákona č. 130/2002 Sb. </t>
  </si>
  <si>
    <t>řádek 5.2.: podle podseskupení položek platné rozpočtové skladby</t>
  </si>
  <si>
    <t xml:space="preserve">    Tabulka č. 4 strana 2</t>
  </si>
  <si>
    <t>OSS</t>
  </si>
  <si>
    <t>PO</t>
  </si>
  <si>
    <t>OS a PO v působnosti ÚSC</t>
  </si>
  <si>
    <t>Vysoké školy</t>
  </si>
  <si>
    <t>Veřejné výzkumný instituce</t>
  </si>
  <si>
    <t>Podnikatelské subjekty</t>
  </si>
  <si>
    <t xml:space="preserve">Neziskové a podobné organizace </t>
  </si>
  <si>
    <t>8.</t>
  </si>
  <si>
    <t>9.</t>
  </si>
  <si>
    <t>Institucionální výdaje celkem</t>
  </si>
  <si>
    <t>výdaje na zahraniční programy celkem</t>
  </si>
  <si>
    <t>1.a.</t>
  </si>
  <si>
    <t>ze státního rozpočtu</t>
  </si>
  <si>
    <t>1.b.</t>
  </si>
  <si>
    <t>kryté příjmy ze zahraničních programů</t>
  </si>
  <si>
    <t>výdaje na zahraniční programy celkem (EU)</t>
  </si>
  <si>
    <t>1.1.a.</t>
  </si>
  <si>
    <t>1.1.b.</t>
  </si>
  <si>
    <t>1.2.</t>
  </si>
  <si>
    <t>Vypracovala Ing. Bočanová, tel. 974 849 815</t>
  </si>
  <si>
    <t>Kontrolovala: Ing. Mikulová, tel. 974 849 327</t>
  </si>
  <si>
    <t>1.2.a.</t>
  </si>
  <si>
    <t>1.2.b.</t>
  </si>
  <si>
    <t xml:space="preserve">    Tabulka č. 4 strana 3</t>
  </si>
  <si>
    <t>výdaje na výzkum a vývoje celkem včetně zahraničních programů</t>
  </si>
  <si>
    <t>státní rozpočet (A.7.+ B.9.)</t>
  </si>
  <si>
    <t xml:space="preserve">kryté příjmy ze zahraničních programů      ( = C.1.b.) </t>
  </si>
  <si>
    <t>Stav RF</t>
  </si>
  <si>
    <t>Nároky</t>
  </si>
  <si>
    <t xml:space="preserve">Nároky </t>
  </si>
  <si>
    <t>k 1.1.2012</t>
  </si>
  <si>
    <t xml:space="preserve">Účelové prostředky </t>
  </si>
  <si>
    <t>Institucionální prostředky</t>
  </si>
  <si>
    <t xml:space="preserve">    z toho spolufinancování</t>
  </si>
  <si>
    <t xml:space="preserve">kryté příjmy ze zahraničních programů </t>
  </si>
  <si>
    <t>1.+2.+3.</t>
  </si>
  <si>
    <t>Celkem</t>
  </si>
  <si>
    <t>Vysvětlivky k tabulce B :</t>
  </si>
  <si>
    <t>řádek 1 a 2 : státní organizace</t>
  </si>
  <si>
    <t xml:space="preserve">řádek 3: organizační složky a příspěvkové organizace zřizované územními samosprávnými celky ve smyslu ust. § 23 zákona č. 250/2000 Sb. </t>
  </si>
  <si>
    <t>řádek 4: veřejné vysoké školy, vojenské a policejní vysoké školy, soukromé vysoké školy bez ohledu na právní formu (o tyto údaje budou nižší ostatní uvedené právní formy)</t>
  </si>
  <si>
    <t xml:space="preserve">E. Přehled prostředků na podporu výzkumu, vývoje a inovací převedených do rezervního fondu a stav vzniklých nároků    </t>
  </si>
  <si>
    <t>řádek 5: zákon č. 341/2005 Sb., o veřejných výzkumných institucích</t>
  </si>
  <si>
    <t xml:space="preserve">řádek 8: náklady na zabezpečení veřejné soutěže apod., podle § 3 odst.3 zákona č. 130/2002 Sb. </t>
  </si>
  <si>
    <t>Vysvětlivky k tabulce C:</t>
  </si>
  <si>
    <t>Jednotlivé kategorie zahraničních programů budou uvedeny jak je člení zákon o státním rozpočtu, lze přidat podřádky, např. 1.3., 1.4.</t>
  </si>
  <si>
    <t>Na řádcích "ze státního rozpočtu" bude uvedeno spolufinancování jednotlivých kategorií zahraničních programů zahrnuté v institucionálních výdajích.</t>
  </si>
  <si>
    <t>Na řádcích "kryté příjmy ze zahraničních programů" bude uvedena výše předfinancování  (i v tabulkách D. a E.)</t>
  </si>
  <si>
    <t>Vysvětlivky k tabulce E :</t>
  </si>
  <si>
    <t xml:space="preserve">V případě, že má kapitola více kategorií zahraničních programů, bude řádek 3 rozdělen podle nich. </t>
  </si>
  <si>
    <t>řádek 2.1. - bude uvedeno spolufinancování ze státního rozpočtu k zahraničním programům uvedeným na řádku 3.</t>
  </si>
  <si>
    <t xml:space="preserve">Údaje v přehledech  musí odpovídat příslušným údajům v účetních a finančních výkazech a budou doloženy podrobným komentářem </t>
  </si>
  <si>
    <r>
      <t xml:space="preserve">      v</t>
    </r>
    <r>
      <rPr>
        <sz val="9"/>
        <rFont val="Arial CE"/>
        <family val="0"/>
      </rPr>
      <t>ýdaje na zahraniční programy celkem (EHP Norsko)</t>
    </r>
  </si>
  <si>
    <t>Tabulka č. 13/1</t>
  </si>
  <si>
    <t>Tabulka č. 13/2</t>
  </si>
  <si>
    <t>Tabulka č. 13/3</t>
  </si>
  <si>
    <t xml:space="preserve">       ZA  ROK  2012</t>
  </si>
  <si>
    <t>Rozpočet 2012</t>
  </si>
  <si>
    <t xml:space="preserve"> k 31. 12. 2012</t>
  </si>
  <si>
    <t xml:space="preserve"> k 31. 12.2012</t>
  </si>
  <si>
    <t>Účelové neinvestiční transfery krajům celkem</t>
  </si>
  <si>
    <t>Účelové investiční transfery krajům celkem</t>
  </si>
  <si>
    <t xml:space="preserve">Účelové neinvestiční půjčené prostředky (návratné finanční výpomoci) </t>
  </si>
  <si>
    <t xml:space="preserve">Účelové investiční půjčené prostředky (návratné finanční výpomoci) </t>
  </si>
  <si>
    <t>Účelové neinvestiční transfery obcím celkem</t>
  </si>
  <si>
    <t>Účelové investiční transfery obcím celkem</t>
  </si>
  <si>
    <t xml:space="preserve">Přehled o důchodech v roce 2012                                            </t>
  </si>
  <si>
    <t xml:space="preserve">Přehled o ostatních dávkách, dávkách nemocenského pojištění v roce 2012                                      </t>
  </si>
  <si>
    <t>Přehled o výdajích na financování programů v roce 2012 dle jednotlivých programů</t>
  </si>
  <si>
    <t>Výdaje státního rozpočtu na financování akcí reprodukce majetku v roce 2012</t>
  </si>
  <si>
    <t>Přehled čerpání výdajů v roce 2012 dle jednotlivých čtvrtletí</t>
  </si>
  <si>
    <t xml:space="preserve">Výdaje HZS celkem a detail dle jednotlivých HZS krajů v roce 2012 </t>
  </si>
  <si>
    <t xml:space="preserve">Výdaje Policie ČR celkem a detail dle jednotlivých krajských ředitelství P ČR v roce 2012 </t>
  </si>
  <si>
    <t xml:space="preserve">Výdaje za oblast policejního školství a Muzea P ČR v roce 2012 </t>
  </si>
  <si>
    <t xml:space="preserve">Výdaje za oblast archivnictví v roce 2012 </t>
  </si>
  <si>
    <t>Organizační schéma kapitoly 314 -Ministerstvo vnitra se stavem k 31. 12. 2012</t>
  </si>
  <si>
    <t>Kontroloval: Ing. Hudera, tel. 974 849 802</t>
  </si>
  <si>
    <t xml:space="preserve">        NÁVRH  ZÁVĚREČNÉHO  ÚČTU</t>
  </si>
  <si>
    <t xml:space="preserve"> KAPITOLY  314 - MINISTERSTVO  VNITRA </t>
  </si>
  <si>
    <t xml:space="preserve">          TABULKOVÁ   ČÁST</t>
  </si>
  <si>
    <t>TABULKOVÁ ČÁST</t>
  </si>
  <si>
    <t xml:space="preserve">strana </t>
  </si>
  <si>
    <t>Tabulka č. 1</t>
  </si>
  <si>
    <t>Tabulka č. 2</t>
  </si>
  <si>
    <t>Tabulka č. 3</t>
  </si>
  <si>
    <t>Tabulka č. 4</t>
  </si>
  <si>
    <t>Tabulka č. 5</t>
  </si>
  <si>
    <t>Tabulka č. 6</t>
  </si>
  <si>
    <t>Tabulka č. 7</t>
  </si>
  <si>
    <t>Tabulka č. 8</t>
  </si>
  <si>
    <t>Tabulka č. 10</t>
  </si>
  <si>
    <t>Tabulka č. 12</t>
  </si>
  <si>
    <t>Tabulka č. 13</t>
  </si>
  <si>
    <t>Tabulka č. 14</t>
  </si>
  <si>
    <t>x</t>
  </si>
  <si>
    <t>Číselné sestavy:</t>
  </si>
  <si>
    <t>Sestava č. 1</t>
  </si>
  <si>
    <t>Sestava č. 2</t>
  </si>
  <si>
    <t>Rozpočtové příjmy správců kapitol a jimi zřízených organizačních složek státu podle položek druhového třídění (Fin 2-04 U)</t>
  </si>
  <si>
    <t>Tabulkové přílohy:</t>
  </si>
  <si>
    <t>Bilance příjmů a výdajů státního rozpočtu v druhovém členění rozpočtové skladby</t>
  </si>
  <si>
    <t>Plnění závazných ukazatelů státního rozpočtu</t>
  </si>
  <si>
    <t>Rozbor zaměstnanosti a čerpání mzdových prostředků</t>
  </si>
  <si>
    <t>Doplňující tabulky:</t>
  </si>
  <si>
    <t>Tabulka č. 15</t>
  </si>
  <si>
    <t>Tabulka č. 17</t>
  </si>
  <si>
    <t>Tabulka č. 11</t>
  </si>
  <si>
    <t>Tabulka č. 18</t>
  </si>
  <si>
    <t>Tabulka č. 19</t>
  </si>
  <si>
    <t>Tabulka č. 16</t>
  </si>
  <si>
    <t>Přehled výdajů programového financování v jednotlivých programech</t>
  </si>
  <si>
    <t>Přehled výdajů programového financování v jednotlivých výdajových blocích</t>
  </si>
  <si>
    <t>Rozpočtové výdaje správců kapitol a jimi zřízených organizačních složek státu podle položek  druhého třídění  a  paragrafů odvětvového třídění a rozpočtové položky financování (Fin 2-04 U)</t>
  </si>
  <si>
    <t xml:space="preserve">Přehled výdajů státního rozpočtu na podporu výzkumu, vývoje a inovací    </t>
  </si>
  <si>
    <t>Přehled výdajů organizačních složek státu, příspěvků a dotací příspěvkovým a podobným organizacím, transferů a půjčených prostředků (návratných finančních výpomocí) krajům a obcím, podnikatelským a jiným subjektům z rozpočtu kapitoly</t>
  </si>
  <si>
    <t>Přehled účelových transferů a půjčených prostředků (návratných finančních výpomocí) krajům a obcím a jiným subjektům z rozpočtu kapitoly</t>
  </si>
  <si>
    <t>Výdaje kapitoly na financování společných programů/projektů České republiky, Evropské unie a finančních mechanismů</t>
  </si>
  <si>
    <t>Tabulka č. 9</t>
  </si>
  <si>
    <t>schválený</t>
  </si>
  <si>
    <t>Skutečnost</t>
  </si>
  <si>
    <t>Kapitola: 314 - Ministerstvo vnitra</t>
  </si>
  <si>
    <t xml:space="preserve">transferů a půjčených prostředků (návratných finančních výpomocí) krajům a obcím, podnikatelským  </t>
  </si>
  <si>
    <t xml:space="preserve">a jiným subjektům z rozpočtu kapitoly 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</si>
</sst>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#,##0.00&quot; &quot;;\-#,##0.00&quot; &quot;;&quot; &quot;;&quot; &quot;\ "/>
    <numFmt numFmtId="166" formatCode="#,##0.00;\-#,##0.00;#,##0.00;@"/>
    <numFmt numFmtId="167" formatCode="#,##0.0"/>
    <numFmt numFmtId="168" formatCode="#,##0.000"/>
    <numFmt numFmtId="169" formatCode="#,##0&quot; &quot;"/>
    <numFmt numFmtId="170" formatCode="_-* #,##0\ _K_č_-;\-* #,##0\ _K_č_-;_-* &quot;-&quot;??\ _K_č_-;_-@_-"/>
    <numFmt numFmtId="171" formatCode="#,##0\ "/>
    <numFmt numFmtId="172" formatCode="_-* #,##0.0\ _K_č_-;\-* #,##0.0\ _K_č_-;_-* &quot;-&quot;??\ _K_č_-;_-@_-"/>
    <numFmt numFmtId="173" formatCode="0.0"/>
    <numFmt numFmtId="174" formatCode="#,##0.00&quot; &quot;"/>
    <numFmt numFmtId="175" formatCode="#,##0.00&quot; &quot;;\-#,##0.00&quot; &quot;;&quot; 0,00&quot;;&quot; 0,00&quot;\ "/>
    <numFmt numFmtId="176" formatCode="\k\ dd/mm/yyyy"/>
    <numFmt numFmtId="177" formatCode="0.00;[Red]0.00"/>
    <numFmt numFmtId="178" formatCode="#,##0.00,;\-#,##0.00,;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##\ ###\ ###"/>
    <numFmt numFmtId="183" formatCode="#,##0;[Red]\-#,##0;&quot;  &quot;"/>
    <numFmt numFmtId="184" formatCode="0.000"/>
    <numFmt numFmtId="185" formatCode="#\ ###\ ##0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Kčs&quot;;\-#,##0\ &quot;Kčs&quot;"/>
    <numFmt numFmtId="195" formatCode="#,##0\ &quot;Kčs&quot;;[Red]\-#,##0\ &quot;Kčs&quot;"/>
    <numFmt numFmtId="196" formatCode="#,##0.00\ &quot;Kčs&quot;;\-#,##0.00\ &quot;Kčs&quot;"/>
    <numFmt numFmtId="197" formatCode="#,##0.00\ &quot;Kčs&quot;;[Red]\-#,##0.00\ &quot;Kčs&quot;"/>
    <numFmt numFmtId="198" formatCode="_-* #,##0\ &quot;Kčs&quot;_-;\-* #,##0\ &quot;Kčs&quot;_-;_-* &quot;-&quot;\ &quot;Kčs&quot;_-;_-@_-"/>
    <numFmt numFmtId="199" formatCode="_-* #,##0\ _K_č_s_-;\-* #,##0\ _K_č_s_-;_-* &quot;-&quot;\ _K_č_s_-;_-@_-"/>
    <numFmt numFmtId="200" formatCode="_-* #,##0.00\ &quot;Kčs&quot;_-;\-* #,##0.00\ &quot;Kčs&quot;_-;_-* &quot;-&quot;??\ &quot;Kčs&quot;_-;_-@_-"/>
    <numFmt numFmtId="201" formatCode="_-* #,##0.00\ _K_č_s_-;\-* #,##0.00\ _K_č_s_-;_-* &quot;-&quot;??\ _K_č_s_-;_-@_-"/>
    <numFmt numFmtId="202" formatCode="#,##0.0;[Red]\-#,##0.0;&quot;  &quot;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0.0000000"/>
    <numFmt numFmtId="209" formatCode="0.00_ ;\-0.00\ "/>
    <numFmt numFmtId="210" formatCode="#,##0_ ;[Red]\-#,##0\ "/>
    <numFmt numFmtId="211" formatCode="0_ ;[Red]\-0\ "/>
    <numFmt numFmtId="212" formatCode="#,##0;[Red]\-#,##0;\ &quot; &quot;"/>
    <numFmt numFmtId="213" formatCode="#,##0.0;[Red]\-#,##0.0;\ &quot; &quot;"/>
    <numFmt numFmtId="214" formatCode="#,##0.00;[Red]\-#,##0.00;\ &quot; &quot;"/>
    <numFmt numFmtId="215" formatCode="#,##0;[Red]\-#,##0;&quot; &quot;"/>
    <numFmt numFmtId="216" formatCode="#,##0;\-#,##0;&quot; &quot;"/>
    <numFmt numFmtId="217" formatCode="#,##0;[Red]#,##0"/>
    <numFmt numFmtId="218" formatCode="0.0%"/>
    <numFmt numFmtId="219" formatCode="#,##0;[Red]&quot;NELZE !&quot;"/>
    <numFmt numFmtId="220" formatCode="0_)"/>
    <numFmt numFmtId="221" formatCode="[$-405]d\.\ mmmm\ yyyy"/>
    <numFmt numFmtId="222" formatCode="000\ 00"/>
    <numFmt numFmtId="223" formatCode="0.E+00"/>
    <numFmt numFmtId="224" formatCode="General_)"/>
    <numFmt numFmtId="225" formatCode="#,##0.0000"/>
  </numFmts>
  <fonts count="101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Arial CE"/>
      <family val="2"/>
    </font>
    <font>
      <sz val="10"/>
      <color indexed="10"/>
      <name val="Arial CE"/>
      <family val="2"/>
    </font>
    <font>
      <sz val="10"/>
      <color indexed="19"/>
      <name val="Arial CE"/>
      <family val="0"/>
    </font>
    <font>
      <sz val="12"/>
      <color indexed="19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name val="Times New Roman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Times New Roman CE"/>
      <family val="0"/>
    </font>
    <font>
      <sz val="8"/>
      <name val="Times New Roman CE"/>
      <family val="0"/>
    </font>
    <font>
      <sz val="9"/>
      <name val="Arial CE"/>
      <family val="2"/>
    </font>
    <font>
      <sz val="6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8"/>
      <color indexed="11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b/>
      <sz val="8"/>
      <color indexed="11"/>
      <name val="Arial CE"/>
      <family val="2"/>
    </font>
    <font>
      <sz val="7"/>
      <name val="Arial CE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b/>
      <vertAlign val="superscript"/>
      <sz val="12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10"/>
      <name val="Arial CE"/>
      <family val="0"/>
    </font>
    <font>
      <sz val="8"/>
      <name val="Times New Roman"/>
      <family val="1"/>
    </font>
    <font>
      <u val="single"/>
      <sz val="9"/>
      <name val="Arial CE"/>
      <family val="2"/>
    </font>
    <font>
      <i/>
      <sz val="10"/>
      <name val="Times New Roman"/>
      <family val="1"/>
    </font>
    <font>
      <sz val="16"/>
      <name val="Arial"/>
      <family val="2"/>
    </font>
    <font>
      <b/>
      <sz val="9"/>
      <color indexed="8"/>
      <name val="Calibri"/>
      <family val="2"/>
    </font>
    <font>
      <sz val="18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/>
    </border>
    <border>
      <left style="medium"/>
      <right style="medium"/>
      <top/>
      <bottom>
        <color indexed="63"/>
      </bottom>
    </border>
    <border>
      <left style="medium"/>
      <right style="medium"/>
      <top style="double"/>
      <bottom style="hair"/>
    </border>
    <border>
      <left/>
      <right style="thin"/>
      <top style="hair"/>
      <bottom style="hair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/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/>
      <top style="hair"/>
      <bottom style="hair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5" borderId="0" applyNumberFormat="0" applyBorder="0" applyAlignment="0" applyProtection="0"/>
    <xf numFmtId="0" fontId="13" fillId="20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41" fillId="21" borderId="0" applyNumberFormat="0" applyBorder="0" applyAlignment="0" applyProtection="0"/>
    <xf numFmtId="0" fontId="42" fillId="31" borderId="1" applyNumberFormat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169" fontId="0" fillId="0" borderId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43" fontId="0" fillId="0" borderId="0" applyFont="0" applyFill="0" applyBorder="0" applyAlignment="0" applyProtection="0"/>
    <xf numFmtId="41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>
      <alignment/>
      <protection locked="0"/>
    </xf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>
      <alignment/>
      <protection locked="0"/>
    </xf>
    <xf numFmtId="0" fontId="25" fillId="35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5" fillId="0" borderId="0" applyNumberFormat="0" applyFill="0" applyBorder="0" applyAlignment="0" applyProtection="0"/>
    <xf numFmtId="0" fontId="18" fillId="25" borderId="6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7" fillId="29" borderId="1" applyNumberFormat="0" applyAlignment="0" applyProtection="0"/>
    <xf numFmtId="0" fontId="18" fillId="36" borderId="6" applyNumberFormat="0" applyAlignment="0" applyProtection="0"/>
    <xf numFmtId="0" fontId="18" fillId="36" borderId="6" applyNumberFormat="0" applyAlignment="0" applyProtection="0"/>
    <xf numFmtId="0" fontId="4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0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7" fillId="28" borderId="10" applyNumberFormat="0" applyFont="0" applyAlignment="0" applyProtection="0"/>
    <xf numFmtId="0" fontId="29" fillId="31" borderId="11" applyNumberFormat="0" applyAlignment="0" applyProtection="0"/>
    <xf numFmtId="0" fontId="15" fillId="0" borderId="0">
      <alignment/>
      <protection locked="0"/>
    </xf>
    <xf numFmtId="0" fontId="7" fillId="38" borderId="10" applyNumberFormat="0" applyFont="0" applyAlignment="0" applyProtection="0"/>
    <xf numFmtId="0" fontId="12" fillId="38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4" fontId="49" fillId="37" borderId="13" applyNumberFormat="0" applyProtection="0">
      <alignment vertical="center"/>
    </xf>
    <xf numFmtId="4" fontId="50" fillId="37" borderId="13" applyNumberFormat="0" applyProtection="0">
      <alignment vertical="center"/>
    </xf>
    <xf numFmtId="4" fontId="49" fillId="37" borderId="13" applyNumberFormat="0" applyProtection="0">
      <alignment horizontal="left" vertical="center" indent="1"/>
    </xf>
    <xf numFmtId="0" fontId="49" fillId="37" borderId="13" applyNumberFormat="0" applyProtection="0">
      <alignment horizontal="left" vertical="top" indent="1"/>
    </xf>
    <xf numFmtId="4" fontId="38" fillId="3" borderId="13" applyNumberFormat="0" applyProtection="0">
      <alignment horizontal="right" vertical="center"/>
    </xf>
    <xf numFmtId="4" fontId="38" fillId="9" borderId="13" applyNumberFormat="0" applyProtection="0">
      <alignment horizontal="right" vertical="center"/>
    </xf>
    <xf numFmtId="4" fontId="38" fillId="39" borderId="13" applyNumberFormat="0" applyProtection="0">
      <alignment horizontal="right" vertical="center"/>
    </xf>
    <xf numFmtId="4" fontId="38" fillId="11" borderId="13" applyNumberFormat="0" applyProtection="0">
      <alignment horizontal="right" vertical="center"/>
    </xf>
    <xf numFmtId="4" fontId="38" fillId="15" borderId="13" applyNumberFormat="0" applyProtection="0">
      <alignment horizontal="right" vertical="center"/>
    </xf>
    <xf numFmtId="4" fontId="38" fillId="40" borderId="13" applyNumberFormat="0" applyProtection="0">
      <alignment horizontal="right" vertical="center"/>
    </xf>
    <xf numFmtId="4" fontId="38" fillId="41" borderId="13" applyNumberFormat="0" applyProtection="0">
      <alignment horizontal="right" vertical="center"/>
    </xf>
    <xf numFmtId="4" fontId="38" fillId="42" borderId="13" applyNumberFormat="0" applyProtection="0">
      <alignment horizontal="right" vertical="center"/>
    </xf>
    <xf numFmtId="4" fontId="38" fillId="10" borderId="13" applyNumberFormat="0" applyProtection="0">
      <alignment horizontal="right" vertical="center"/>
    </xf>
    <xf numFmtId="4" fontId="49" fillId="43" borderId="14" applyNumberFormat="0" applyProtection="0">
      <alignment horizontal="left" vertical="center" indent="1"/>
    </xf>
    <xf numFmtId="0" fontId="11" fillId="0" borderId="0">
      <alignment/>
      <protection/>
    </xf>
    <xf numFmtId="0" fontId="10" fillId="0" borderId="0">
      <alignment horizontal="left"/>
      <protection/>
    </xf>
    <xf numFmtId="0" fontId="77" fillId="44" borderId="0">
      <alignment/>
      <protection/>
    </xf>
    <xf numFmtId="4" fontId="38" fillId="45" borderId="0" applyNumberFormat="0" applyProtection="0">
      <alignment horizontal="left" vertical="center" indent="1"/>
    </xf>
    <xf numFmtId="4" fontId="37" fillId="46" borderId="0" applyNumberFormat="0" applyProtection="0">
      <alignment horizontal="left" vertical="center" indent="1"/>
    </xf>
    <xf numFmtId="4" fontId="38" fillId="47" borderId="13" applyNumberFormat="0" applyProtection="0">
      <alignment horizontal="right" vertical="center"/>
    </xf>
    <xf numFmtId="4" fontId="38" fillId="45" borderId="0" applyNumberFormat="0" applyProtection="0">
      <alignment horizontal="left" vertical="center" indent="1"/>
    </xf>
    <xf numFmtId="4" fontId="38" fillId="47" borderId="0" applyNumberFormat="0" applyProtection="0">
      <alignment horizontal="left" vertical="center" indent="1"/>
    </xf>
    <xf numFmtId="0" fontId="7" fillId="46" borderId="13" applyNumberFormat="0" applyProtection="0">
      <alignment horizontal="left" vertical="center" indent="1"/>
    </xf>
    <xf numFmtId="0" fontId="7" fillId="46" borderId="13" applyNumberFormat="0" applyProtection="0">
      <alignment horizontal="left" vertical="top" indent="1"/>
    </xf>
    <xf numFmtId="0" fontId="7" fillId="47" borderId="13" applyNumberFormat="0" applyProtection="0">
      <alignment horizontal="left" vertical="center" indent="1"/>
    </xf>
    <xf numFmtId="0" fontId="7" fillId="47" borderId="13" applyNumberFormat="0" applyProtection="0">
      <alignment horizontal="left" vertical="top" indent="1"/>
    </xf>
    <xf numFmtId="0" fontId="7" fillId="8" borderId="13" applyNumberFormat="0" applyProtection="0">
      <alignment horizontal="left" vertical="center" indent="1"/>
    </xf>
    <xf numFmtId="0" fontId="7" fillId="8" borderId="13" applyNumberFormat="0" applyProtection="0">
      <alignment horizontal="left" vertical="top" indent="1"/>
    </xf>
    <xf numFmtId="0" fontId="7" fillId="45" borderId="13" applyNumberFormat="0" applyProtection="0">
      <alignment horizontal="left" vertical="center" indent="1"/>
    </xf>
    <xf numFmtId="0" fontId="7" fillId="45" borderId="13" applyNumberFormat="0" applyProtection="0">
      <alignment horizontal="left" vertical="top" indent="1"/>
    </xf>
    <xf numFmtId="4" fontId="10" fillId="14" borderId="15" applyNumberFormat="0" applyProtection="0">
      <alignment horizontal="left" vertical="center" indent="1"/>
    </xf>
    <xf numFmtId="0" fontId="7" fillId="48" borderId="16" applyNumberFormat="0">
      <alignment/>
      <protection locked="0"/>
    </xf>
    <xf numFmtId="0" fontId="11" fillId="46" borderId="17" applyBorder="0">
      <alignment/>
      <protection/>
    </xf>
    <xf numFmtId="4" fontId="38" fillId="38" borderId="13" applyNumberFormat="0" applyProtection="0">
      <alignment vertical="center"/>
    </xf>
    <xf numFmtId="4" fontId="51" fillId="38" borderId="13" applyNumberFormat="0" applyProtection="0">
      <alignment vertical="center"/>
    </xf>
    <xf numFmtId="4" fontId="38" fillId="38" borderId="13" applyNumberFormat="0" applyProtection="0">
      <alignment horizontal="left" vertical="center" indent="1"/>
    </xf>
    <xf numFmtId="0" fontId="38" fillId="38" borderId="13" applyNumberFormat="0" applyProtection="0">
      <alignment horizontal="left" vertical="top" indent="1"/>
    </xf>
    <xf numFmtId="4" fontId="10" fillId="0" borderId="15" applyNumberFormat="0" applyProtection="0">
      <alignment horizontal="right" vertical="center"/>
    </xf>
    <xf numFmtId="4" fontId="51" fillId="45" borderId="13" applyNumberFormat="0" applyProtection="0">
      <alignment horizontal="right" vertical="center"/>
    </xf>
    <xf numFmtId="4" fontId="10" fillId="14" borderId="15" applyNumberFormat="0" applyProtection="0">
      <alignment horizontal="left" vertical="center" indent="1"/>
    </xf>
    <xf numFmtId="0" fontId="38" fillId="47" borderId="13" applyNumberFormat="0" applyProtection="0">
      <alignment horizontal="left" vertical="top" indent="1"/>
    </xf>
    <xf numFmtId="4" fontId="52" fillId="49" borderId="0" applyNumberFormat="0" applyProtection="0">
      <alignment horizontal="left" vertical="center" indent="1"/>
    </xf>
    <xf numFmtId="0" fontId="10" fillId="50" borderId="16">
      <alignment/>
      <protection/>
    </xf>
    <xf numFmtId="4" fontId="53" fillId="45" borderId="13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18">
      <alignment/>
      <protection locked="0"/>
    </xf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51" borderId="1" applyNumberFormat="0" applyAlignment="0" applyProtection="0"/>
    <xf numFmtId="0" fontId="28" fillId="51" borderId="1" applyNumberFormat="0" applyAlignment="0" applyProtection="0"/>
    <xf numFmtId="0" fontId="29" fillId="51" borderId="11" applyNumberFormat="0" applyAlignment="0" applyProtection="0"/>
    <xf numFmtId="0" fontId="29" fillId="51" borderId="1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</cellStyleXfs>
  <cellXfs count="15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39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149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138" applyFont="1" applyFill="1">
      <alignment/>
      <protection/>
    </xf>
    <xf numFmtId="0" fontId="0" fillId="0" borderId="0" xfId="145" applyFont="1">
      <alignment/>
      <protection/>
    </xf>
    <xf numFmtId="0" fontId="7" fillId="0" borderId="0" xfId="0" applyFont="1" applyFill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3" fillId="0" borderId="0" xfId="0" applyFont="1" applyAlignment="1">
      <alignment horizontal="centerContinuous"/>
    </xf>
    <xf numFmtId="0" fontId="33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1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Font="1" applyFill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50" xfId="0" applyFont="1" applyBorder="1" applyAlignment="1">
      <alignment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51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53" xfId="0" applyFont="1" applyBorder="1" applyAlignment="1">
      <alignment horizontal="centerContinuous"/>
    </xf>
    <xf numFmtId="0" fontId="31" fillId="0" borderId="27" xfId="0" applyFont="1" applyBorder="1" applyAlignment="1">
      <alignment horizontal="centerContinuous"/>
    </xf>
    <xf numFmtId="0" fontId="31" fillId="0" borderId="51" xfId="0" applyFont="1" applyBorder="1" applyAlignment="1">
      <alignment horizontal="centerContinuous"/>
    </xf>
    <xf numFmtId="0" fontId="31" fillId="0" borderId="52" xfId="0" applyFont="1" applyBorder="1" applyAlignment="1">
      <alignment horizontal="centerContinuous"/>
    </xf>
    <xf numFmtId="0" fontId="31" fillId="0" borderId="0" xfId="0" applyFont="1" applyAlignment="1">
      <alignment/>
    </xf>
    <xf numFmtId="0" fontId="31" fillId="0" borderId="44" xfId="0" applyFont="1" applyBorder="1" applyAlignment="1">
      <alignment/>
    </xf>
    <xf numFmtId="0" fontId="31" fillId="0" borderId="45" xfId="0" applyFont="1" applyBorder="1" applyAlignment="1">
      <alignment/>
    </xf>
    <xf numFmtId="0" fontId="31" fillId="0" borderId="46" xfId="0" applyFont="1" applyBorder="1" applyAlignment="1">
      <alignment/>
    </xf>
    <xf numFmtId="0" fontId="31" fillId="0" borderId="54" xfId="0" applyFont="1" applyBorder="1" applyAlignment="1">
      <alignment horizontal="centerContinuous"/>
    </xf>
    <xf numFmtId="0" fontId="31" fillId="0" borderId="55" xfId="0" applyFont="1" applyBorder="1" applyAlignment="1">
      <alignment horizontal="centerContinuous"/>
    </xf>
    <xf numFmtId="0" fontId="31" fillId="0" borderId="45" xfId="0" applyFont="1" applyBorder="1" applyAlignment="1">
      <alignment horizontal="centerContinuous"/>
    </xf>
    <xf numFmtId="0" fontId="31" fillId="0" borderId="46" xfId="0" applyFont="1" applyBorder="1" applyAlignment="1">
      <alignment horizontal="centerContinuous"/>
    </xf>
    <xf numFmtId="0" fontId="36" fillId="0" borderId="0" xfId="0" applyFont="1" applyFill="1" applyAlignment="1">
      <alignment/>
    </xf>
    <xf numFmtId="0" fontId="0" fillId="0" borderId="4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8" xfId="0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1" fillId="0" borderId="58" xfId="0" applyFont="1" applyBorder="1" applyAlignment="1">
      <alignment horizontal="centerContinuous"/>
    </xf>
    <xf numFmtId="0" fontId="31" fillId="0" borderId="59" xfId="0" applyFont="1" applyBorder="1" applyAlignment="1">
      <alignment horizontal="centerContinuous"/>
    </xf>
    <xf numFmtId="0" fontId="31" fillId="0" borderId="50" xfId="0" applyFont="1" applyBorder="1" applyAlignment="1">
      <alignment horizontal="centerContinuous"/>
    </xf>
    <xf numFmtId="0" fontId="0" fillId="0" borderId="0" xfId="0" applyFont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0" xfId="139" applyFont="1" applyFill="1" applyBorder="1" applyAlignment="1">
      <alignment horizontal="left"/>
      <protection/>
    </xf>
    <xf numFmtId="0" fontId="3" fillId="0" borderId="0" xfId="139" applyFont="1" applyFill="1" applyAlignment="1">
      <alignment horizontal="left"/>
      <protection/>
    </xf>
    <xf numFmtId="0" fontId="0" fillId="0" borderId="0" xfId="139" applyFont="1" applyFill="1" applyAlignment="1">
      <alignment horizontal="left" vertical="center"/>
      <protection/>
    </xf>
    <xf numFmtId="0" fontId="3" fillId="0" borderId="0" xfId="139" applyFont="1" applyFill="1">
      <alignment/>
      <protection/>
    </xf>
    <xf numFmtId="4" fontId="3" fillId="0" borderId="0" xfId="139" applyNumberFormat="1" applyFont="1" applyFill="1">
      <alignment/>
      <protection/>
    </xf>
    <xf numFmtId="0" fontId="3" fillId="0" borderId="0" xfId="139" applyFont="1" applyFill="1" applyBorder="1" applyAlignment="1">
      <alignment horizontal="left" wrapText="1"/>
      <protection/>
    </xf>
    <xf numFmtId="0" fontId="1" fillId="0" borderId="0" xfId="139" applyFont="1" applyFill="1" applyAlignment="1">
      <alignment horizontal="centerContinuous" vertical="center" wrapText="1"/>
      <protection/>
    </xf>
    <xf numFmtId="0" fontId="3" fillId="0" borderId="0" xfId="139" applyFont="1" applyFill="1" applyAlignment="1">
      <alignment horizontal="centerContinuous" vertical="center"/>
      <protection/>
    </xf>
    <xf numFmtId="4" fontId="0" fillId="0" borderId="0" xfId="139" applyNumberFormat="1" applyFont="1" applyFill="1">
      <alignment/>
      <protection/>
    </xf>
    <xf numFmtId="0" fontId="0" fillId="0" borderId="0" xfId="139" applyFont="1" applyFill="1">
      <alignment/>
      <protection/>
    </xf>
    <xf numFmtId="0" fontId="0" fillId="0" borderId="0" xfId="139" applyFont="1" applyFill="1" applyAlignment="1">
      <alignment horizontal="left" vertical="top"/>
      <protection/>
    </xf>
    <xf numFmtId="0" fontId="3" fillId="0" borderId="19" xfId="139" applyFont="1" applyFill="1" applyBorder="1" applyAlignment="1">
      <alignment horizontal="left"/>
      <protection/>
    </xf>
    <xf numFmtId="0" fontId="3" fillId="0" borderId="0" xfId="139" applyFont="1" applyFill="1" applyAlignment="1">
      <alignment horizontal="centerContinuous"/>
      <protection/>
    </xf>
    <xf numFmtId="0" fontId="0" fillId="0" borderId="0" xfId="139" applyFont="1" applyFill="1" applyAlignment="1">
      <alignment horizontal="right" vertical="top"/>
      <protection/>
    </xf>
    <xf numFmtId="0" fontId="3" fillId="0" borderId="20" xfId="139" applyFont="1" applyFill="1" applyBorder="1" applyAlignment="1">
      <alignment horizontal="center" vertical="center"/>
      <protection/>
    </xf>
    <xf numFmtId="0" fontId="3" fillId="0" borderId="60" xfId="139" applyFont="1" applyFill="1" applyBorder="1" applyAlignment="1">
      <alignment horizontal="center" vertical="center"/>
      <protection/>
    </xf>
    <xf numFmtId="0" fontId="0" fillId="0" borderId="20" xfId="139" applyFont="1" applyFill="1" applyBorder="1" applyAlignment="1">
      <alignment/>
      <protection/>
    </xf>
    <xf numFmtId="0" fontId="3" fillId="0" borderId="61" xfId="139" applyFont="1" applyFill="1" applyBorder="1" applyAlignment="1">
      <alignment horizontal="left"/>
      <protection/>
    </xf>
    <xf numFmtId="0" fontId="3" fillId="0" borderId="62" xfId="139" applyFont="1" applyFill="1" applyBorder="1" applyAlignment="1">
      <alignment horizontal="centerContinuous" vertical="center"/>
      <protection/>
    </xf>
    <xf numFmtId="0" fontId="3" fillId="0" borderId="63" xfId="139" applyFont="1" applyFill="1" applyBorder="1" applyAlignment="1">
      <alignment horizontal="centerContinuous"/>
      <protection/>
    </xf>
    <xf numFmtId="0" fontId="3" fillId="0" borderId="60" xfId="139" applyFont="1" applyFill="1" applyBorder="1" applyAlignment="1">
      <alignment horizontal="center"/>
      <protection/>
    </xf>
    <xf numFmtId="0" fontId="3" fillId="0" borderId="64" xfId="139" applyFont="1" applyFill="1" applyBorder="1" applyAlignment="1">
      <alignment horizontal="center"/>
      <protection/>
    </xf>
    <xf numFmtId="0" fontId="3" fillId="0" borderId="65" xfId="139" applyFont="1" applyFill="1" applyBorder="1" applyAlignment="1">
      <alignment horizontal="center" vertical="center" wrapText="1"/>
      <protection/>
    </xf>
    <xf numFmtId="0" fontId="3" fillId="0" borderId="66" xfId="139" applyFont="1" applyFill="1" applyBorder="1" applyAlignment="1">
      <alignment horizontal="center" vertical="center" wrapText="1"/>
      <protection/>
    </xf>
    <xf numFmtId="0" fontId="3" fillId="0" borderId="66" xfId="139" applyFont="1" applyFill="1" applyBorder="1" applyAlignment="1">
      <alignment horizontal="center" vertical="center"/>
      <protection/>
    </xf>
    <xf numFmtId="0" fontId="57" fillId="0" borderId="65" xfId="139" applyFont="1" applyFill="1" applyBorder="1" applyAlignment="1">
      <alignment horizontal="center"/>
      <protection/>
    </xf>
    <xf numFmtId="0" fontId="3" fillId="0" borderId="31" xfId="139" applyFont="1" applyFill="1" applyBorder="1" applyAlignment="1">
      <alignment horizontal="centerContinuous"/>
      <protection/>
    </xf>
    <xf numFmtId="0" fontId="3" fillId="0" borderId="31" xfId="139" applyFont="1" applyFill="1" applyBorder="1" applyAlignment="1">
      <alignment horizontal="center"/>
      <protection/>
    </xf>
    <xf numFmtId="0" fontId="3" fillId="0" borderId="0" xfId="139" applyFont="1" applyFill="1" applyBorder="1" applyAlignment="1">
      <alignment horizontal="center"/>
      <protection/>
    </xf>
    <xf numFmtId="0" fontId="3" fillId="0" borderId="66" xfId="139" applyFont="1" applyFill="1" applyBorder="1" applyAlignment="1">
      <alignment horizontal="center"/>
      <protection/>
    </xf>
    <xf numFmtId="0" fontId="58" fillId="0" borderId="26" xfId="139" applyFont="1" applyFill="1" applyBorder="1" applyAlignment="1">
      <alignment horizontal="center"/>
      <protection/>
    </xf>
    <xf numFmtId="0" fontId="3" fillId="0" borderId="65" xfId="139" applyFont="1" applyFill="1" applyBorder="1" applyAlignment="1">
      <alignment horizontal="center" vertical="center"/>
      <protection/>
    </xf>
    <xf numFmtId="0" fontId="0" fillId="0" borderId="65" xfId="139" applyFont="1" applyFill="1" applyBorder="1">
      <alignment/>
      <protection/>
    </xf>
    <xf numFmtId="0" fontId="3" fillId="0" borderId="28" xfId="139" applyFont="1" applyFill="1" applyBorder="1">
      <alignment/>
      <protection/>
    </xf>
    <xf numFmtId="0" fontId="3" fillId="0" borderId="28" xfId="139" applyFont="1" applyFill="1" applyBorder="1" applyAlignment="1">
      <alignment horizontal="center" vertical="top"/>
      <protection/>
    </xf>
    <xf numFmtId="0" fontId="3" fillId="0" borderId="28" xfId="139" applyFont="1" applyFill="1" applyBorder="1" applyAlignment="1">
      <alignment horizontal="center"/>
      <protection/>
    </xf>
    <xf numFmtId="0" fontId="3" fillId="0" borderId="67" xfId="139" applyNumberFormat="1" applyFont="1" applyFill="1" applyBorder="1" applyAlignment="1" quotePrefix="1">
      <alignment horizontal="center"/>
      <protection/>
    </xf>
    <xf numFmtId="0" fontId="3" fillId="0" borderId="25" xfId="139" applyNumberFormat="1" applyFont="1" applyFill="1" applyBorder="1" applyAlignment="1" quotePrefix="1">
      <alignment horizontal="center"/>
      <protection/>
    </xf>
    <xf numFmtId="0" fontId="3" fillId="0" borderId="68" xfId="139" applyFont="1" applyFill="1" applyBorder="1" applyAlignment="1">
      <alignment horizontal="center" vertical="center"/>
      <protection/>
    </xf>
    <xf numFmtId="0" fontId="3" fillId="0" borderId="69" xfId="139" applyFont="1" applyFill="1" applyBorder="1" applyAlignment="1">
      <alignment horizontal="center" vertical="center"/>
      <protection/>
    </xf>
    <xf numFmtId="0" fontId="0" fillId="0" borderId="68" xfId="139" applyFont="1" applyFill="1" applyBorder="1">
      <alignment/>
      <protection/>
    </xf>
    <xf numFmtId="0" fontId="59" fillId="0" borderId="29" xfId="139" applyFont="1" applyFill="1" applyBorder="1" applyAlignment="1">
      <alignment horizontal="center"/>
      <protection/>
    </xf>
    <xf numFmtId="0" fontId="59" fillId="0" borderId="19" xfId="139" applyFont="1" applyFill="1" applyBorder="1" applyAlignment="1">
      <alignment horizontal="center"/>
      <protection/>
    </xf>
    <xf numFmtId="0" fontId="59" fillId="0" borderId="69" xfId="139" applyFont="1" applyFill="1" applyBorder="1" applyAlignment="1">
      <alignment horizontal="center"/>
      <protection/>
    </xf>
    <xf numFmtId="0" fontId="59" fillId="0" borderId="30" xfId="139" applyFont="1" applyFill="1" applyBorder="1" applyAlignment="1">
      <alignment horizontal="center"/>
      <protection/>
    </xf>
    <xf numFmtId="0" fontId="60" fillId="0" borderId="20" xfId="139" applyFont="1" applyFill="1" applyBorder="1" applyAlignment="1">
      <alignment horizontal="left"/>
      <protection/>
    </xf>
    <xf numFmtId="0" fontId="60" fillId="0" borderId="60" xfId="139" applyFont="1" applyFill="1" applyBorder="1" applyAlignment="1">
      <alignment horizontal="left"/>
      <protection/>
    </xf>
    <xf numFmtId="0" fontId="60" fillId="0" borderId="61" xfId="139" applyFont="1" applyFill="1" applyBorder="1" applyAlignment="1">
      <alignment horizontal="left" wrapText="1"/>
      <protection/>
    </xf>
    <xf numFmtId="0" fontId="60" fillId="0" borderId="60" xfId="139" applyFont="1" applyFill="1" applyBorder="1" applyAlignment="1">
      <alignment horizontal="left" wrapText="1"/>
      <protection/>
    </xf>
    <xf numFmtId="0" fontId="31" fillId="0" borderId="20" xfId="139" applyFont="1" applyFill="1" applyBorder="1" applyAlignment="1" applyProtection="1">
      <alignment horizontal="center" vertical="center" wrapText="1"/>
      <protection locked="0"/>
    </xf>
    <xf numFmtId="165" fontId="31" fillId="0" borderId="60" xfId="139" applyNumberFormat="1" applyFont="1" applyFill="1" applyBorder="1" applyAlignment="1">
      <alignment horizontal="right" vertical="center"/>
      <protection/>
    </xf>
    <xf numFmtId="165" fontId="0" fillId="0" borderId="60" xfId="139" applyNumberFormat="1" applyFont="1" applyFill="1" applyBorder="1" applyAlignment="1">
      <alignment horizontal="right"/>
      <protection/>
    </xf>
    <xf numFmtId="165" fontId="31" fillId="0" borderId="64" xfId="139" applyNumberFormat="1" applyFont="1" applyFill="1" applyBorder="1" applyAlignment="1">
      <alignment horizontal="right" vertical="center"/>
      <protection/>
    </xf>
    <xf numFmtId="4" fontId="31" fillId="0" borderId="0" xfId="139" applyNumberFormat="1" applyFont="1" applyFill="1">
      <alignment/>
      <protection/>
    </xf>
    <xf numFmtId="0" fontId="31" fillId="0" borderId="0" xfId="139" applyFont="1" applyFill="1">
      <alignment/>
      <protection/>
    </xf>
    <xf numFmtId="0" fontId="3" fillId="0" borderId="70" xfId="139" applyFont="1" applyFill="1" applyBorder="1" applyAlignment="1">
      <alignment horizontal="left"/>
      <protection/>
    </xf>
    <xf numFmtId="0" fontId="3" fillId="0" borderId="71" xfId="139" applyFont="1" applyFill="1" applyBorder="1" applyAlignment="1">
      <alignment horizontal="left"/>
      <protection/>
    </xf>
    <xf numFmtId="0" fontId="3" fillId="0" borderId="72" xfId="139" applyFont="1" applyFill="1" applyBorder="1" applyAlignment="1">
      <alignment horizontal="left" wrapText="1"/>
      <protection/>
    </xf>
    <xf numFmtId="0" fontId="61" fillId="0" borderId="71" xfId="139" applyFont="1" applyFill="1" applyBorder="1" applyAlignment="1">
      <alignment horizontal="left" wrapText="1"/>
      <protection/>
    </xf>
    <xf numFmtId="0" fontId="3" fillId="0" borderId="70" xfId="139" applyFont="1" applyFill="1" applyBorder="1" applyAlignment="1" applyProtection="1">
      <alignment wrapText="1"/>
      <protection locked="0"/>
    </xf>
    <xf numFmtId="165" fontId="0" fillId="0" borderId="71" xfId="139" applyNumberFormat="1" applyFont="1" applyFill="1" applyBorder="1" applyAlignment="1">
      <alignment horizontal="right"/>
      <protection/>
    </xf>
    <xf numFmtId="165" fontId="0" fillId="0" borderId="73" xfId="139" applyNumberFormat="1" applyFont="1" applyFill="1" applyBorder="1" applyAlignment="1">
      <alignment horizontal="right"/>
      <protection/>
    </xf>
    <xf numFmtId="0" fontId="3" fillId="0" borderId="71" xfId="139" applyFont="1" applyFill="1" applyBorder="1" applyAlignment="1">
      <alignment horizontal="left" wrapText="1"/>
      <protection/>
    </xf>
    <xf numFmtId="0" fontId="60" fillId="0" borderId="70" xfId="139" applyFont="1" applyFill="1" applyBorder="1" applyAlignment="1">
      <alignment horizontal="left"/>
      <protection/>
    </xf>
    <xf numFmtId="0" fontId="62" fillId="0" borderId="72" xfId="139" applyFont="1" applyFill="1" applyBorder="1" applyAlignment="1">
      <alignment horizontal="left" vertical="center" wrapText="1"/>
      <protection/>
    </xf>
    <xf numFmtId="0" fontId="60" fillId="0" borderId="72" xfId="139" applyFont="1" applyFill="1" applyBorder="1" applyAlignment="1">
      <alignment horizontal="left" wrapText="1"/>
      <protection/>
    </xf>
    <xf numFmtId="0" fontId="60" fillId="0" borderId="71" xfId="139" applyFont="1" applyFill="1" applyBorder="1" applyAlignment="1">
      <alignment horizontal="left" wrapText="1"/>
      <protection/>
    </xf>
    <xf numFmtId="0" fontId="63" fillId="0" borderId="70" xfId="139" applyFont="1" applyFill="1" applyBorder="1" applyAlignment="1" applyProtection="1">
      <alignment wrapText="1"/>
      <protection locked="0"/>
    </xf>
    <xf numFmtId="165" fontId="31" fillId="0" borderId="71" xfId="139" applyNumberFormat="1" applyFont="1" applyFill="1" applyBorder="1" applyAlignment="1">
      <alignment horizontal="right"/>
      <protection/>
    </xf>
    <xf numFmtId="165" fontId="31" fillId="0" borderId="73" xfId="139" applyNumberFormat="1" applyFont="1" applyFill="1" applyBorder="1" applyAlignment="1">
      <alignment horizontal="right"/>
      <protection/>
    </xf>
    <xf numFmtId="0" fontId="60" fillId="0" borderId="72" xfId="139" applyFont="1" applyFill="1" applyBorder="1" applyAlignment="1">
      <alignment horizontal="left" wrapText="1"/>
      <protection/>
    </xf>
    <xf numFmtId="0" fontId="60" fillId="0" borderId="71" xfId="139" applyFont="1" applyFill="1" applyBorder="1" applyAlignment="1">
      <alignment horizontal="left"/>
      <protection/>
    </xf>
    <xf numFmtId="0" fontId="60" fillId="0" borderId="70" xfId="139" applyFont="1" applyFill="1" applyBorder="1" applyAlignment="1" applyProtection="1">
      <alignment wrapText="1"/>
      <protection locked="0"/>
    </xf>
    <xf numFmtId="0" fontId="3" fillId="0" borderId="71" xfId="139" applyFont="1" applyFill="1" applyBorder="1" applyAlignment="1">
      <alignment horizontal="left" vertical="center" wrapText="1"/>
      <protection/>
    </xf>
    <xf numFmtId="0" fontId="3" fillId="0" borderId="72" xfId="139" applyFont="1" applyFill="1" applyBorder="1" applyAlignment="1">
      <alignment horizontal="left" vertical="center" wrapText="1"/>
      <protection/>
    </xf>
    <xf numFmtId="0" fontId="60" fillId="0" borderId="71" xfId="139" applyFont="1" applyFill="1" applyBorder="1" applyAlignment="1">
      <alignment horizontal="left"/>
      <protection/>
    </xf>
    <xf numFmtId="0" fontId="60" fillId="0" borderId="71" xfId="139" applyFont="1" applyFill="1" applyBorder="1" applyAlignment="1">
      <alignment horizontal="left" vertical="center" wrapText="1"/>
      <protection/>
    </xf>
    <xf numFmtId="165" fontId="31" fillId="0" borderId="74" xfId="139" applyNumberFormat="1" applyFont="1" applyFill="1" applyBorder="1" applyAlignment="1">
      <alignment horizontal="right"/>
      <protection/>
    </xf>
    <xf numFmtId="165" fontId="31" fillId="0" borderId="75" xfId="139" applyNumberFormat="1" applyFont="1" applyFill="1" applyBorder="1" applyAlignment="1">
      <alignment horizontal="right"/>
      <protection/>
    </xf>
    <xf numFmtId="165" fontId="31" fillId="0" borderId="76" xfId="139" applyNumberFormat="1" applyFont="1" applyFill="1" applyBorder="1" applyAlignment="1">
      <alignment horizontal="right"/>
      <protection/>
    </xf>
    <xf numFmtId="0" fontId="60" fillId="0" borderId="77" xfId="139" applyFont="1" applyFill="1" applyBorder="1" applyAlignment="1">
      <alignment horizontal="left"/>
      <protection/>
    </xf>
    <xf numFmtId="0" fontId="60" fillId="0" borderId="78" xfId="139" applyFont="1" applyFill="1" applyBorder="1" applyAlignment="1">
      <alignment horizontal="left"/>
      <protection/>
    </xf>
    <xf numFmtId="0" fontId="60" fillId="0" borderId="79" xfId="139" applyFont="1" applyFill="1" applyBorder="1" applyAlignment="1">
      <alignment horizontal="left" wrapText="1"/>
      <protection/>
    </xf>
    <xf numFmtId="0" fontId="60" fillId="0" borderId="80" xfId="139" applyFont="1" applyFill="1" applyBorder="1" applyAlignment="1">
      <alignment horizontal="left" wrapText="1"/>
      <protection/>
    </xf>
    <xf numFmtId="0" fontId="31" fillId="0" borderId="77" xfId="139" applyFont="1" applyFill="1" applyBorder="1" applyAlignment="1" applyProtection="1">
      <alignment vertical="center" wrapText="1"/>
      <protection locked="0"/>
    </xf>
    <xf numFmtId="165" fontId="31" fillId="0" borderId="79" xfId="139" applyNumberFormat="1" applyFont="1" applyFill="1" applyBorder="1" applyAlignment="1">
      <alignment horizontal="right"/>
      <protection/>
    </xf>
    <xf numFmtId="165" fontId="31" fillId="0" borderId="78" xfId="139" applyNumberFormat="1" applyFont="1" applyFill="1" applyBorder="1" applyAlignment="1">
      <alignment horizontal="right"/>
      <protection/>
    </xf>
    <xf numFmtId="165" fontId="31" fillId="0" borderId="81" xfId="139" applyNumberFormat="1" applyFont="1" applyFill="1" applyBorder="1" applyAlignment="1">
      <alignment horizontal="right"/>
      <protection/>
    </xf>
    <xf numFmtId="49" fontId="60" fillId="0" borderId="79" xfId="139" applyNumberFormat="1" applyFont="1" applyFill="1" applyBorder="1" applyAlignment="1">
      <alignment horizontal="left"/>
      <protection/>
    </xf>
    <xf numFmtId="0" fontId="60" fillId="0" borderId="82" xfId="139" applyFont="1" applyFill="1" applyBorder="1" applyAlignment="1">
      <alignment horizontal="left" wrapText="1"/>
      <protection/>
    </xf>
    <xf numFmtId="0" fontId="64" fillId="0" borderId="77" xfId="139" applyFont="1" applyFill="1" applyBorder="1" applyAlignment="1" applyProtection="1">
      <alignment vertical="center" wrapText="1"/>
      <protection locked="0"/>
    </xf>
    <xf numFmtId="165" fontId="31" fillId="0" borderId="29" xfId="139" applyNumberFormat="1" applyFont="1" applyFill="1" applyBorder="1" applyAlignment="1">
      <alignment horizontal="right"/>
      <protection/>
    </xf>
    <xf numFmtId="165" fontId="31" fillId="0" borderId="69" xfId="139" applyNumberFormat="1" applyFont="1" applyFill="1" applyBorder="1" applyAlignment="1">
      <alignment horizontal="right"/>
      <protection/>
    </xf>
    <xf numFmtId="165" fontId="31" fillId="0" borderId="30" xfId="139" applyNumberFormat="1" applyFont="1" applyFill="1" applyBorder="1" applyAlignment="1">
      <alignment horizontal="right"/>
      <protection/>
    </xf>
    <xf numFmtId="0" fontId="3" fillId="0" borderId="72" xfId="139" applyFont="1" applyFill="1" applyBorder="1" applyAlignment="1">
      <alignment horizontal="left"/>
      <protection/>
    </xf>
    <xf numFmtId="0" fontId="3" fillId="0" borderId="70" xfId="139" applyFont="1" applyFill="1" applyBorder="1" applyAlignment="1">
      <alignment wrapText="1"/>
      <protection/>
    </xf>
    <xf numFmtId="0" fontId="60" fillId="0" borderId="72" xfId="139" applyFont="1" applyFill="1" applyBorder="1" applyAlignment="1">
      <alignment horizontal="left"/>
      <protection/>
    </xf>
    <xf numFmtId="0" fontId="63" fillId="0" borderId="70" xfId="139" applyFont="1" applyFill="1" applyBorder="1" applyAlignment="1">
      <alignment wrapText="1"/>
      <protection/>
    </xf>
    <xf numFmtId="0" fontId="60" fillId="0" borderId="66" xfId="139" applyFont="1" applyFill="1" applyBorder="1" applyAlignment="1">
      <alignment horizontal="left"/>
      <protection/>
    </xf>
    <xf numFmtId="0" fontId="60" fillId="0" borderId="31" xfId="139" applyFont="1" applyFill="1" applyBorder="1" applyAlignment="1">
      <alignment horizontal="left"/>
      <protection/>
    </xf>
    <xf numFmtId="0" fontId="63" fillId="0" borderId="65" xfId="139" applyFont="1" applyFill="1" applyBorder="1" applyAlignment="1">
      <alignment wrapText="1"/>
      <protection/>
    </xf>
    <xf numFmtId="165" fontId="31" fillId="0" borderId="83" xfId="139" applyNumberFormat="1" applyFont="1" applyFill="1" applyBorder="1" applyAlignment="1">
      <alignment horizontal="right"/>
      <protection/>
    </xf>
    <xf numFmtId="165" fontId="31" fillId="0" borderId="84" xfId="139" applyNumberFormat="1" applyFont="1" applyFill="1" applyBorder="1" applyAlignment="1">
      <alignment horizontal="right"/>
      <protection/>
    </xf>
    <xf numFmtId="165" fontId="31" fillId="0" borderId="85" xfId="139" applyNumberFormat="1" applyFont="1" applyFill="1" applyBorder="1" applyAlignment="1">
      <alignment horizontal="right"/>
      <protection/>
    </xf>
    <xf numFmtId="0" fontId="60" fillId="0" borderId="86" xfId="139" applyFont="1" applyFill="1" applyBorder="1" applyAlignment="1">
      <alignment horizontal="left"/>
      <protection/>
    </xf>
    <xf numFmtId="0" fontId="60" fillId="0" borderId="87" xfId="139" applyFont="1" applyFill="1" applyBorder="1" applyAlignment="1">
      <alignment horizontal="left"/>
      <protection/>
    </xf>
    <xf numFmtId="0" fontId="3" fillId="0" borderId="87" xfId="139" applyFont="1" applyFill="1" applyBorder="1" applyAlignment="1">
      <alignment horizontal="left"/>
      <protection/>
    </xf>
    <xf numFmtId="0" fontId="3" fillId="0" borderId="88" xfId="139" applyFont="1" applyFill="1" applyBorder="1" applyAlignment="1">
      <alignment horizontal="left"/>
      <protection/>
    </xf>
    <xf numFmtId="0" fontId="3" fillId="0" borderId="86" xfId="139" applyFont="1" applyFill="1" applyBorder="1" applyAlignment="1">
      <alignment wrapText="1"/>
      <protection/>
    </xf>
    <xf numFmtId="165" fontId="0" fillId="0" borderId="83" xfId="139" applyNumberFormat="1" applyFont="1" applyFill="1" applyBorder="1" applyAlignment="1">
      <alignment horizontal="right"/>
      <protection/>
    </xf>
    <xf numFmtId="165" fontId="0" fillId="0" borderId="84" xfId="139" applyNumberFormat="1" applyFont="1" applyFill="1" applyBorder="1" applyAlignment="1">
      <alignment horizontal="right"/>
      <protection/>
    </xf>
    <xf numFmtId="165" fontId="0" fillId="0" borderId="85" xfId="139" applyNumberFormat="1" applyFont="1" applyFill="1" applyBorder="1" applyAlignment="1">
      <alignment horizontal="right"/>
      <protection/>
    </xf>
    <xf numFmtId="0" fontId="60" fillId="0" borderId="89" xfId="139" applyFont="1" applyFill="1" applyBorder="1" applyAlignment="1">
      <alignment horizontal="left"/>
      <protection/>
    </xf>
    <xf numFmtId="0" fontId="60" fillId="0" borderId="74" xfId="139" applyFont="1" applyFill="1" applyBorder="1" applyAlignment="1">
      <alignment horizontal="left"/>
      <protection/>
    </xf>
    <xf numFmtId="0" fontId="60" fillId="0" borderId="75" xfId="139" applyFont="1" applyFill="1" applyBorder="1" applyAlignment="1">
      <alignment horizontal="left"/>
      <protection/>
    </xf>
    <xf numFmtId="0" fontId="63" fillId="0" borderId="89" xfId="139" applyFont="1" applyFill="1" applyBorder="1" applyAlignment="1">
      <alignment wrapText="1"/>
      <protection/>
    </xf>
    <xf numFmtId="0" fontId="60" fillId="0" borderId="78" xfId="139" applyFont="1" applyFill="1" applyBorder="1" applyAlignment="1">
      <alignment horizontal="left" wrapText="1"/>
      <protection/>
    </xf>
    <xf numFmtId="0" fontId="60" fillId="0" borderId="79" xfId="139" applyFont="1" applyFill="1" applyBorder="1" applyAlignment="1">
      <alignment horizontal="left"/>
      <protection/>
    </xf>
    <xf numFmtId="0" fontId="31" fillId="0" borderId="77" xfId="139" applyFont="1" applyFill="1" applyBorder="1" applyAlignment="1">
      <alignment vertical="center" wrapText="1"/>
      <protection/>
    </xf>
    <xf numFmtId="0" fontId="3" fillId="0" borderId="77" xfId="139" applyFont="1" applyFill="1" applyBorder="1" applyAlignment="1">
      <alignment horizontal="left"/>
      <protection/>
    </xf>
    <xf numFmtId="0" fontId="60" fillId="0" borderId="90" xfId="139" applyFont="1" applyFill="1" applyBorder="1" applyAlignment="1">
      <alignment horizontal="left"/>
      <protection/>
    </xf>
    <xf numFmtId="0" fontId="60" fillId="0" borderId="80" xfId="139" applyFont="1" applyFill="1" applyBorder="1" applyAlignment="1">
      <alignment horizontal="left"/>
      <protection/>
    </xf>
    <xf numFmtId="0" fontId="60" fillId="0" borderId="0" xfId="139" applyFont="1" applyFill="1" applyBorder="1" applyAlignment="1">
      <alignment horizontal="left"/>
      <protection/>
    </xf>
    <xf numFmtId="0" fontId="31" fillId="0" borderId="0" xfId="139" applyFont="1" applyFill="1" applyBorder="1" applyAlignment="1">
      <alignment vertical="center" wrapText="1"/>
      <protection/>
    </xf>
    <xf numFmtId="165" fontId="0" fillId="0" borderId="78" xfId="139" applyNumberFormat="1" applyFont="1" applyFill="1" applyBorder="1" applyAlignment="1">
      <alignment horizontal="right"/>
      <protection/>
    </xf>
    <xf numFmtId="165" fontId="0" fillId="0" borderId="81" xfId="139" applyNumberFormat="1" applyFont="1" applyFill="1" applyBorder="1" applyAlignment="1">
      <alignment horizontal="right"/>
      <protection/>
    </xf>
    <xf numFmtId="0" fontId="0" fillId="0" borderId="77" xfId="139" applyFont="1" applyFill="1" applyBorder="1" applyAlignment="1">
      <alignment vertical="center" wrapText="1"/>
      <protection/>
    </xf>
    <xf numFmtId="165" fontId="0" fillId="0" borderId="79" xfId="139" applyNumberFormat="1" applyFont="1" applyFill="1" applyBorder="1" applyAlignment="1">
      <alignment horizontal="right"/>
      <protection/>
    </xf>
    <xf numFmtId="0" fontId="60" fillId="0" borderId="65" xfId="139" applyFont="1" applyFill="1" applyBorder="1" applyAlignment="1">
      <alignment horizontal="left"/>
      <protection/>
    </xf>
    <xf numFmtId="0" fontId="31" fillId="0" borderId="65" xfId="139" applyFont="1" applyFill="1" applyBorder="1" applyAlignment="1">
      <alignment horizontal="center" wrapText="1"/>
      <protection/>
    </xf>
    <xf numFmtId="0" fontId="67" fillId="0" borderId="70" xfId="139" applyFont="1" applyFill="1" applyBorder="1" applyAlignment="1">
      <alignment wrapText="1"/>
      <protection/>
    </xf>
    <xf numFmtId="0" fontId="3" fillId="0" borderId="70" xfId="139" applyFont="1" applyFill="1" applyBorder="1" applyAlignment="1">
      <alignment horizontal="left" wrapText="1"/>
      <protection/>
    </xf>
    <xf numFmtId="0" fontId="62" fillId="0" borderId="70" xfId="139" applyFont="1" applyFill="1" applyBorder="1" applyAlignment="1">
      <alignment horizontal="left"/>
      <protection/>
    </xf>
    <xf numFmtId="0" fontId="62" fillId="0" borderId="71" xfId="139" applyFont="1" applyFill="1" applyBorder="1" applyAlignment="1">
      <alignment horizontal="left"/>
      <protection/>
    </xf>
    <xf numFmtId="0" fontId="61" fillId="0" borderId="71" xfId="139" applyFont="1" applyFill="1" applyBorder="1" applyAlignment="1">
      <alignment horizontal="left"/>
      <protection/>
    </xf>
    <xf numFmtId="0" fontId="3" fillId="0" borderId="86" xfId="139" applyFont="1" applyFill="1" applyBorder="1" applyAlignment="1">
      <alignment wrapText="1"/>
      <protection/>
    </xf>
    <xf numFmtId="0" fontId="63" fillId="0" borderId="86" xfId="139" applyFont="1" applyFill="1" applyBorder="1" applyAlignment="1">
      <alignment wrapText="1"/>
      <protection/>
    </xf>
    <xf numFmtId="0" fontId="3" fillId="0" borderId="66" xfId="139" applyFont="1" applyFill="1" applyBorder="1" applyAlignment="1">
      <alignment horizontal="left"/>
      <protection/>
    </xf>
    <xf numFmtId="0" fontId="3" fillId="0" borderId="79" xfId="139" applyFont="1" applyFill="1" applyBorder="1" applyAlignment="1">
      <alignment horizontal="left"/>
      <protection/>
    </xf>
    <xf numFmtId="0" fontId="62" fillId="0" borderId="68" xfId="139" applyFont="1" applyFill="1" applyBorder="1" applyAlignment="1">
      <alignment horizontal="left"/>
      <protection/>
    </xf>
    <xf numFmtId="0" fontId="60" fillId="0" borderId="69" xfId="139" applyFont="1" applyFill="1" applyBorder="1" applyAlignment="1">
      <alignment horizontal="left"/>
      <protection/>
    </xf>
    <xf numFmtId="0" fontId="60" fillId="0" borderId="29" xfId="139" applyFont="1" applyFill="1" applyBorder="1" applyAlignment="1">
      <alignment horizontal="left"/>
      <protection/>
    </xf>
    <xf numFmtId="0" fontId="60" fillId="0" borderId="19" xfId="139" applyFont="1" applyFill="1" applyBorder="1" applyAlignment="1">
      <alignment horizontal="left"/>
      <protection/>
    </xf>
    <xf numFmtId="0" fontId="31" fillId="0" borderId="68" xfId="139" applyFont="1" applyFill="1" applyBorder="1" applyAlignment="1">
      <alignment wrapText="1"/>
      <protection/>
    </xf>
    <xf numFmtId="0" fontId="69" fillId="0" borderId="0" xfId="139" applyFont="1" applyFill="1" applyAlignment="1">
      <alignment wrapText="1"/>
      <protection/>
    </xf>
    <xf numFmtId="165" fontId="0" fillId="0" borderId="80" xfId="139" applyNumberFormat="1" applyFont="1" applyFill="1" applyBorder="1" applyAlignment="1">
      <alignment horizontal="right"/>
      <protection/>
    </xf>
    <xf numFmtId="0" fontId="61" fillId="0" borderId="79" xfId="139" applyFont="1" applyFill="1" applyBorder="1" applyAlignment="1">
      <alignment horizontal="left"/>
      <protection/>
    </xf>
    <xf numFmtId="0" fontId="3" fillId="0" borderId="82" xfId="139" applyFont="1" applyFill="1" applyBorder="1" applyAlignment="1">
      <alignment horizontal="left"/>
      <protection/>
    </xf>
    <xf numFmtId="0" fontId="3" fillId="0" borderId="77" xfId="139" applyFont="1" applyFill="1" applyBorder="1" applyAlignment="1" applyProtection="1">
      <alignment vertical="center"/>
      <protection locked="0"/>
    </xf>
    <xf numFmtId="0" fontId="3" fillId="0" borderId="53" xfId="139" applyFont="1" applyFill="1" applyBorder="1" applyAlignment="1">
      <alignment horizontal="left"/>
      <protection/>
    </xf>
    <xf numFmtId="0" fontId="3" fillId="0" borderId="27" xfId="139" applyFont="1" applyFill="1" applyBorder="1" applyAlignment="1">
      <alignment horizontal="left"/>
      <protection/>
    </xf>
    <xf numFmtId="0" fontId="3" fillId="0" borderId="91" xfId="139" applyFont="1" applyFill="1" applyBorder="1" applyAlignment="1">
      <alignment horizontal="left"/>
      <protection/>
    </xf>
    <xf numFmtId="0" fontId="64" fillId="0" borderId="38" xfId="139" applyFont="1" applyFill="1" applyBorder="1" applyAlignment="1" applyProtection="1">
      <alignment horizontal="center" vertical="center"/>
      <protection locked="0"/>
    </xf>
    <xf numFmtId="165" fontId="0" fillId="0" borderId="92" xfId="139" applyNumberFormat="1" applyFont="1" applyFill="1" applyBorder="1" applyAlignment="1">
      <alignment horizontal="right"/>
      <protection/>
    </xf>
    <xf numFmtId="0" fontId="3" fillId="0" borderId="93" xfId="139" applyFont="1" applyFill="1" applyBorder="1" applyAlignment="1">
      <alignment horizontal="left"/>
      <protection/>
    </xf>
    <xf numFmtId="0" fontId="57" fillId="0" borderId="70" xfId="139" applyFont="1" applyFill="1" applyBorder="1" applyAlignment="1">
      <alignment wrapText="1"/>
      <protection/>
    </xf>
    <xf numFmtId="0" fontId="3" fillId="0" borderId="93" xfId="138" applyFont="1" applyFill="1" applyBorder="1" applyAlignment="1">
      <alignment horizontal="left"/>
      <protection/>
    </xf>
    <xf numFmtId="0" fontId="57" fillId="0" borderId="70" xfId="138" applyFont="1" applyFill="1" applyBorder="1" applyAlignment="1">
      <alignment wrapText="1"/>
      <protection/>
    </xf>
    <xf numFmtId="0" fontId="3" fillId="0" borderId="94" xfId="139" applyFont="1" applyFill="1" applyBorder="1" applyAlignment="1">
      <alignment horizontal="left"/>
      <protection/>
    </xf>
    <xf numFmtId="0" fontId="57" fillId="0" borderId="86" xfId="139" applyFont="1" applyFill="1" applyBorder="1" applyAlignment="1">
      <alignment wrapText="1"/>
      <protection/>
    </xf>
    <xf numFmtId="0" fontId="3" fillId="0" borderId="94" xfId="138" applyFont="1" applyFill="1" applyBorder="1" applyAlignment="1">
      <alignment horizontal="left"/>
      <protection/>
    </xf>
    <xf numFmtId="0" fontId="57" fillId="0" borderId="86" xfId="138" applyFont="1" applyFill="1" applyBorder="1" applyAlignment="1">
      <alignment wrapText="1"/>
      <protection/>
    </xf>
    <xf numFmtId="0" fontId="57" fillId="0" borderId="86" xfId="138" applyFont="1" applyFill="1" applyBorder="1" applyAlignment="1">
      <alignment wrapText="1"/>
      <protection/>
    </xf>
    <xf numFmtId="0" fontId="3" fillId="0" borderId="71" xfId="138" applyFont="1" applyFill="1" applyBorder="1" applyAlignment="1">
      <alignment horizontal="left"/>
      <protection/>
    </xf>
    <xf numFmtId="0" fontId="60" fillId="0" borderId="95" xfId="139" applyFont="1" applyFill="1" applyBorder="1" applyAlignment="1">
      <alignment horizontal="left"/>
      <protection/>
    </xf>
    <xf numFmtId="0" fontId="3" fillId="0" borderId="95" xfId="139" applyFont="1" applyFill="1" applyBorder="1" applyAlignment="1">
      <alignment horizontal="left"/>
      <protection/>
    </xf>
    <xf numFmtId="0" fontId="3" fillId="0" borderId="83" xfId="139" applyFont="1" applyFill="1" applyBorder="1" applyAlignment="1">
      <alignment horizontal="left"/>
      <protection/>
    </xf>
    <xf numFmtId="0" fontId="3" fillId="0" borderId="71" xfId="139" applyFont="1" applyFill="1" applyBorder="1" applyAlignment="1">
      <alignment horizontal="left"/>
      <protection/>
    </xf>
    <xf numFmtId="0" fontId="3" fillId="0" borderId="96" xfId="139" applyFont="1" applyFill="1" applyBorder="1" applyAlignment="1">
      <alignment horizontal="left"/>
      <protection/>
    </xf>
    <xf numFmtId="0" fontId="57" fillId="0" borderId="95" xfId="139" applyFont="1" applyFill="1" applyBorder="1" applyAlignment="1">
      <alignment wrapText="1"/>
      <protection/>
    </xf>
    <xf numFmtId="165" fontId="0" fillId="0" borderId="71" xfId="139" applyNumberFormat="1" applyFont="1" applyFill="1" applyBorder="1" applyAlignment="1">
      <alignment horizontal="right"/>
      <protection/>
    </xf>
    <xf numFmtId="165" fontId="0" fillId="0" borderId="73" xfId="139" applyNumberFormat="1" applyFont="1" applyFill="1" applyBorder="1" applyAlignment="1">
      <alignment horizontal="right"/>
      <protection/>
    </xf>
    <xf numFmtId="0" fontId="60" fillId="0" borderId="83" xfId="139" applyFont="1" applyFill="1" applyBorder="1" applyAlignment="1">
      <alignment horizontal="left"/>
      <protection/>
    </xf>
    <xf numFmtId="0" fontId="3" fillId="0" borderId="96" xfId="139" applyFont="1" applyFill="1" applyBorder="1" applyAlignment="1">
      <alignment horizontal="left"/>
      <protection/>
    </xf>
    <xf numFmtId="0" fontId="63" fillId="0" borderId="95" xfId="139" applyFont="1" applyFill="1" applyBorder="1" applyAlignment="1">
      <alignment wrapText="1"/>
      <protection/>
    </xf>
    <xf numFmtId="0" fontId="57" fillId="0" borderId="95" xfId="139" applyFont="1" applyFill="1" applyBorder="1" applyAlignment="1">
      <alignment wrapText="1"/>
      <protection/>
    </xf>
    <xf numFmtId="0" fontId="3" fillId="0" borderId="74" xfId="139" applyFont="1" applyFill="1" applyBorder="1" applyAlignment="1">
      <alignment horizontal="left"/>
      <protection/>
    </xf>
    <xf numFmtId="0" fontId="3" fillId="0" borderId="97" xfId="139" applyFont="1" applyFill="1" applyBorder="1" applyAlignment="1">
      <alignment horizontal="left"/>
      <protection/>
    </xf>
    <xf numFmtId="165" fontId="31" fillId="0" borderId="66" xfId="139" applyNumberFormat="1" applyFont="1" applyFill="1" applyBorder="1" applyAlignment="1">
      <alignment horizontal="right"/>
      <protection/>
    </xf>
    <xf numFmtId="165" fontId="31" fillId="0" borderId="26" xfId="139" applyNumberFormat="1" applyFont="1" applyFill="1" applyBorder="1" applyAlignment="1">
      <alignment horizontal="right"/>
      <protection/>
    </xf>
    <xf numFmtId="0" fontId="60" fillId="0" borderId="0" xfId="139" applyFont="1" applyFill="1" applyAlignment="1">
      <alignment horizontal="left"/>
      <protection/>
    </xf>
    <xf numFmtId="0" fontId="3" fillId="0" borderId="29" xfId="139" applyFont="1" applyFill="1" applyBorder="1" applyAlignment="1">
      <alignment horizontal="left"/>
      <protection/>
    </xf>
    <xf numFmtId="0" fontId="3" fillId="0" borderId="98" xfId="139" applyFont="1" applyFill="1" applyBorder="1" applyAlignment="1">
      <alignment horizontal="left"/>
      <protection/>
    </xf>
    <xf numFmtId="0" fontId="31" fillId="0" borderId="99" xfId="139" applyFont="1" applyFill="1" applyBorder="1" applyAlignment="1">
      <alignment vertical="center" wrapText="1"/>
      <protection/>
    </xf>
    <xf numFmtId="165" fontId="0" fillId="0" borderId="0" xfId="139" applyNumberFormat="1" applyFont="1" applyFill="1" applyBorder="1" applyAlignment="1">
      <alignment horizontal="right" vertical="center"/>
      <protection/>
    </xf>
    <xf numFmtId="0" fontId="64" fillId="0" borderId="90" xfId="139" applyFont="1" applyFill="1" applyBorder="1" applyAlignment="1" applyProtection="1">
      <alignment vertical="center"/>
      <protection locked="0"/>
    </xf>
    <xf numFmtId="0" fontId="7" fillId="0" borderId="0" xfId="139" applyFill="1">
      <alignment/>
      <protection/>
    </xf>
    <xf numFmtId="0" fontId="31" fillId="0" borderId="0" xfId="139" applyFont="1" applyFill="1" applyAlignment="1">
      <alignment horizontal="left"/>
      <protection/>
    </xf>
    <xf numFmtId="0" fontId="0" fillId="0" borderId="0" xfId="139" applyFont="1" applyFill="1" applyAlignment="1">
      <alignment horizontal="left"/>
      <protection/>
    </xf>
    <xf numFmtId="0" fontId="31" fillId="0" borderId="0" xfId="139" applyFont="1" applyFill="1" applyAlignment="1">
      <alignment horizontal="left"/>
      <protection/>
    </xf>
    <xf numFmtId="49" fontId="70" fillId="0" borderId="0" xfId="141" applyNumberFormat="1" applyFont="1" applyFill="1" applyAlignment="1">
      <alignment wrapText="1"/>
      <protection/>
    </xf>
    <xf numFmtId="0" fontId="12" fillId="0" borderId="0" xfId="141" applyFill="1">
      <alignment/>
      <protection/>
    </xf>
    <xf numFmtId="49" fontId="71" fillId="0" borderId="100" xfId="141" applyNumberFormat="1" applyFont="1" applyFill="1" applyBorder="1" applyAlignment="1">
      <alignment horizontal="center" vertical="center" wrapText="1"/>
      <protection/>
    </xf>
    <xf numFmtId="49" fontId="71" fillId="0" borderId="100" xfId="141" applyNumberFormat="1" applyFont="1" applyFill="1" applyBorder="1" applyAlignment="1">
      <alignment horizontal="left" vertical="center" wrapText="1"/>
      <protection/>
    </xf>
    <xf numFmtId="166" fontId="71" fillId="0" borderId="100" xfId="141" applyNumberFormat="1" applyFont="1" applyFill="1" applyBorder="1" applyAlignment="1">
      <alignment horizontal="right" vertical="center" wrapText="1"/>
      <protection/>
    </xf>
    <xf numFmtId="49" fontId="71" fillId="0" borderId="100" xfId="141" applyNumberFormat="1" applyFont="1" applyFill="1" applyBorder="1" applyAlignment="1">
      <alignment horizontal="right" vertical="center" wrapText="1"/>
      <protection/>
    </xf>
    <xf numFmtId="0" fontId="12" fillId="0" borderId="0" xfId="141" applyFill="1" applyAlignment="1">
      <alignment horizontal="center"/>
      <protection/>
    </xf>
    <xf numFmtId="49" fontId="37" fillId="0" borderId="0" xfId="141" applyNumberFormat="1" applyFont="1" applyFill="1" applyAlignment="1">
      <alignment horizontal="center" wrapText="1"/>
      <protection/>
    </xf>
    <xf numFmtId="49" fontId="72" fillId="0" borderId="100" xfId="141" applyNumberFormat="1" applyFont="1" applyFill="1" applyBorder="1" applyAlignment="1">
      <alignment horizontal="left" vertical="center" wrapText="1"/>
      <protection/>
    </xf>
    <xf numFmtId="0" fontId="74" fillId="0" borderId="0" xfId="141" applyFont="1" applyFill="1">
      <alignment/>
      <protection/>
    </xf>
    <xf numFmtId="0" fontId="32" fillId="0" borderId="0" xfId="0" applyFont="1" applyFill="1" applyAlignment="1">
      <alignment horizontal="centerContinuous"/>
    </xf>
    <xf numFmtId="0" fontId="75" fillId="0" borderId="0" xfId="0" applyFont="1" applyFill="1" applyAlignment="1">
      <alignment horizontal="center"/>
    </xf>
    <xf numFmtId="168" fontId="75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1" fillId="0" borderId="101" xfId="0" applyFont="1" applyFill="1" applyBorder="1" applyAlignment="1">
      <alignment/>
    </xf>
    <xf numFmtId="3" fontId="64" fillId="0" borderId="65" xfId="0" applyNumberFormat="1" applyFont="1" applyFill="1" applyBorder="1" applyAlignment="1">
      <alignment horizontal="center"/>
    </xf>
    <xf numFmtId="3" fontId="64" fillId="0" borderId="91" xfId="0" applyNumberFormat="1" applyFont="1" applyFill="1" applyBorder="1" applyAlignment="1">
      <alignment/>
    </xf>
    <xf numFmtId="3" fontId="64" fillId="0" borderId="102" xfId="0" applyNumberFormat="1" applyFont="1" applyFill="1" applyBorder="1" applyAlignment="1">
      <alignment/>
    </xf>
    <xf numFmtId="3" fontId="64" fillId="0" borderId="66" xfId="0" applyNumberFormat="1" applyFont="1" applyFill="1" applyBorder="1" applyAlignment="1">
      <alignment/>
    </xf>
    <xf numFmtId="3" fontId="64" fillId="0" borderId="26" xfId="0" applyNumberFormat="1" applyFont="1" applyFill="1" applyBorder="1" applyAlignment="1">
      <alignment horizontal="center"/>
    </xf>
    <xf numFmtId="3" fontId="64" fillId="0" borderId="26" xfId="0" applyNumberFormat="1" applyFont="1" applyFill="1" applyBorder="1" applyAlignment="1">
      <alignment/>
    </xf>
    <xf numFmtId="3" fontId="64" fillId="0" borderId="20" xfId="0" applyNumberFormat="1" applyFont="1" applyFill="1" applyBorder="1" applyAlignment="1">
      <alignment/>
    </xf>
    <xf numFmtId="3" fontId="64" fillId="0" borderId="61" xfId="0" applyNumberFormat="1" applyFont="1" applyFill="1" applyBorder="1" applyAlignment="1">
      <alignment/>
    </xf>
    <xf numFmtId="3" fontId="64" fillId="0" borderId="103" xfId="0" applyNumberFormat="1" applyFont="1" applyFill="1" applyBorder="1" applyAlignment="1">
      <alignment/>
    </xf>
    <xf numFmtId="3" fontId="64" fillId="0" borderId="104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3" fontId="64" fillId="0" borderId="66" xfId="0" applyNumberFormat="1" applyFont="1" applyFill="1" applyBorder="1" applyAlignment="1">
      <alignment horizontal="center"/>
    </xf>
    <xf numFmtId="3" fontId="64" fillId="0" borderId="31" xfId="0" applyNumberFormat="1" applyFont="1" applyFill="1" applyBorder="1" applyAlignment="1">
      <alignment horizontal="center"/>
    </xf>
    <xf numFmtId="3" fontId="64" fillId="0" borderId="105" xfId="0" applyNumberFormat="1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center"/>
    </xf>
    <xf numFmtId="0" fontId="31" fillId="0" borderId="106" xfId="0" applyFont="1" applyFill="1" applyBorder="1" applyAlignment="1">
      <alignment/>
    </xf>
    <xf numFmtId="3" fontId="64" fillId="0" borderId="68" xfId="0" applyNumberFormat="1" applyFont="1" applyFill="1" applyBorder="1" applyAlignment="1">
      <alignment horizontal="center"/>
    </xf>
    <xf numFmtId="3" fontId="64" fillId="0" borderId="69" xfId="0" applyNumberFormat="1" applyFont="1" applyFill="1" applyBorder="1" applyAlignment="1">
      <alignment horizontal="center"/>
    </xf>
    <xf numFmtId="3" fontId="64" fillId="0" borderId="30" xfId="0" applyNumberFormat="1" applyFont="1" applyFill="1" applyBorder="1" applyAlignment="1">
      <alignment horizontal="center"/>
    </xf>
    <xf numFmtId="3" fontId="64" fillId="0" borderId="29" xfId="0" applyNumberFormat="1" applyFont="1" applyFill="1" applyBorder="1" applyAlignment="1">
      <alignment horizontal="center"/>
    </xf>
    <xf numFmtId="3" fontId="64" fillId="0" borderId="107" xfId="0" applyNumberFormat="1" applyFont="1" applyFill="1" applyBorder="1" applyAlignment="1">
      <alignment horizontal="center"/>
    </xf>
    <xf numFmtId="3" fontId="64" fillId="0" borderId="19" xfId="0" applyNumberFormat="1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76" fillId="0" borderId="68" xfId="0" applyFont="1" applyFill="1" applyBorder="1" applyAlignment="1">
      <alignment horizontal="center"/>
    </xf>
    <xf numFmtId="0" fontId="76" fillId="0" borderId="69" xfId="0" applyFont="1" applyFill="1" applyBorder="1" applyAlignment="1">
      <alignment horizontal="center"/>
    </xf>
    <xf numFmtId="0" fontId="76" fillId="0" borderId="30" xfId="0" applyFont="1" applyFill="1" applyBorder="1" applyAlignment="1">
      <alignment horizontal="center"/>
    </xf>
    <xf numFmtId="0" fontId="76" fillId="0" borderId="109" xfId="0" applyFont="1" applyFill="1" applyBorder="1" applyAlignment="1">
      <alignment horizontal="center"/>
    </xf>
    <xf numFmtId="0" fontId="76" fillId="0" borderId="29" xfId="0" applyFont="1" applyFill="1" applyBorder="1" applyAlignment="1">
      <alignment horizontal="center"/>
    </xf>
    <xf numFmtId="0" fontId="76" fillId="0" borderId="98" xfId="0" applyFont="1" applyFill="1" applyBorder="1" applyAlignment="1">
      <alignment horizontal="center"/>
    </xf>
    <xf numFmtId="0" fontId="76" fillId="0" borderId="107" xfId="0" applyFont="1" applyFill="1" applyBorder="1" applyAlignment="1">
      <alignment horizontal="center"/>
    </xf>
    <xf numFmtId="0" fontId="76" fillId="0" borderId="1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" fillId="0" borderId="111" xfId="0" applyFont="1" applyFill="1" applyBorder="1" applyAlignment="1">
      <alignment vertical="center"/>
    </xf>
    <xf numFmtId="0" fontId="1" fillId="0" borderId="112" xfId="0" applyFont="1" applyFill="1" applyBorder="1" applyAlignment="1">
      <alignment horizontal="centerContinuous" vertical="center"/>
    </xf>
    <xf numFmtId="0" fontId="1" fillId="0" borderId="113" xfId="0" applyFont="1" applyFill="1" applyBorder="1" applyAlignment="1">
      <alignment horizontal="centerContinuous" vertical="center"/>
    </xf>
    <xf numFmtId="0" fontId="1" fillId="0" borderId="114" xfId="0" applyFont="1" applyFill="1" applyBorder="1" applyAlignment="1">
      <alignment horizontal="centerContinuous" vertical="center"/>
    </xf>
    <xf numFmtId="0" fontId="1" fillId="0" borderId="115" xfId="0" applyFont="1" applyFill="1" applyBorder="1" applyAlignment="1">
      <alignment horizontal="centerContinuous" vertical="center" wrapText="1"/>
    </xf>
    <xf numFmtId="0" fontId="1" fillId="0" borderId="116" xfId="0" applyFont="1" applyFill="1" applyBorder="1" applyAlignment="1">
      <alignment horizontal="centerContinuous" vertical="center" wrapText="1"/>
    </xf>
    <xf numFmtId="0" fontId="1" fillId="0" borderId="117" xfId="0" applyFont="1" applyFill="1" applyBorder="1" applyAlignment="1">
      <alignment horizontal="centerContinuous" vertical="center"/>
    </xf>
    <xf numFmtId="0" fontId="1" fillId="0" borderId="11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0" xfId="136" applyFont="1" applyFill="1">
      <alignment/>
      <protection/>
    </xf>
    <xf numFmtId="0" fontId="81" fillId="0" borderId="0" xfId="136" applyFont="1" applyFill="1">
      <alignment/>
      <protection/>
    </xf>
    <xf numFmtId="0" fontId="8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149" applyAlignment="1">
      <alignment horizontal="right"/>
      <protection/>
    </xf>
    <xf numFmtId="0" fontId="32" fillId="0" borderId="0" xfId="149" applyFont="1">
      <alignment/>
      <protection/>
    </xf>
    <xf numFmtId="0" fontId="32" fillId="0" borderId="0" xfId="149" applyFont="1" applyAlignment="1">
      <alignment horizontal="center"/>
      <protection/>
    </xf>
    <xf numFmtId="0" fontId="31" fillId="51" borderId="77" xfId="149" applyFont="1" applyFill="1" applyBorder="1">
      <alignment/>
      <protection/>
    </xf>
    <xf numFmtId="0" fontId="31" fillId="51" borderId="119" xfId="149" applyFont="1" applyFill="1" applyBorder="1">
      <alignment/>
      <protection/>
    </xf>
    <xf numFmtId="0" fontId="31" fillId="51" borderId="120" xfId="149" applyFont="1" applyFill="1" applyBorder="1">
      <alignment/>
      <protection/>
    </xf>
    <xf numFmtId="0" fontId="31" fillId="51" borderId="121" xfId="149" applyFont="1" applyFill="1" applyBorder="1">
      <alignment/>
      <protection/>
    </xf>
    <xf numFmtId="3" fontId="31" fillId="0" borderId="79" xfId="149" applyNumberFormat="1" applyFont="1" applyFill="1" applyBorder="1">
      <alignment/>
      <protection/>
    </xf>
    <xf numFmtId="10" fontId="31" fillId="0" borderId="79" xfId="149" applyNumberFormat="1" applyFont="1" applyFill="1" applyBorder="1" applyAlignment="1">
      <alignment horizontal="right"/>
      <protection/>
    </xf>
    <xf numFmtId="10" fontId="31" fillId="51" borderId="79" xfId="149" applyNumberFormat="1" applyFont="1" applyFill="1" applyBorder="1" applyAlignment="1">
      <alignment horizontal="right"/>
      <protection/>
    </xf>
    <xf numFmtId="3" fontId="31" fillId="51" borderId="79" xfId="149" applyNumberFormat="1" applyFont="1" applyFill="1" applyBorder="1">
      <alignment/>
      <protection/>
    </xf>
    <xf numFmtId="10" fontId="31" fillId="51" borderId="122" xfId="149" applyNumberFormat="1" applyFont="1" applyFill="1" applyBorder="1" applyAlignment="1">
      <alignment horizontal="right"/>
      <protection/>
    </xf>
    <xf numFmtId="0" fontId="0" fillId="0" borderId="123" xfId="149" applyBorder="1">
      <alignment/>
      <protection/>
    </xf>
    <xf numFmtId="0" fontId="76" fillId="0" borderId="124" xfId="149" applyFont="1" applyBorder="1">
      <alignment/>
      <protection/>
    </xf>
    <xf numFmtId="0" fontId="76" fillId="0" borderId="125" xfId="149" applyFont="1" applyBorder="1">
      <alignment/>
      <protection/>
    </xf>
    <xf numFmtId="0" fontId="76" fillId="0" borderId="126" xfId="149" applyFont="1" applyBorder="1">
      <alignment/>
      <protection/>
    </xf>
    <xf numFmtId="3" fontId="76" fillId="0" borderId="16" xfId="149" applyNumberFormat="1" applyFont="1" applyFill="1" applyBorder="1">
      <alignment/>
      <protection/>
    </xf>
    <xf numFmtId="10" fontId="76" fillId="0" borderId="127" xfId="149" applyNumberFormat="1" applyFont="1" applyFill="1" applyBorder="1" applyAlignment="1">
      <alignment horizontal="right"/>
      <protection/>
    </xf>
    <xf numFmtId="10" fontId="76" fillId="0" borderId="127" xfId="149" applyNumberFormat="1" applyFont="1" applyBorder="1" applyAlignment="1">
      <alignment horizontal="right"/>
      <protection/>
    </xf>
    <xf numFmtId="3" fontId="76" fillId="0" borderId="127" xfId="149" applyNumberFormat="1" applyFont="1" applyBorder="1">
      <alignment/>
      <protection/>
    </xf>
    <xf numFmtId="10" fontId="76" fillId="0" borderId="128" xfId="149" applyNumberFormat="1" applyFont="1" applyBorder="1" applyAlignment="1">
      <alignment horizontal="right"/>
      <protection/>
    </xf>
    <xf numFmtId="0" fontId="0" fillId="0" borderId="22" xfId="149" applyBorder="1">
      <alignment/>
      <protection/>
    </xf>
    <xf numFmtId="0" fontId="76" fillId="0" borderId="129" xfId="149" applyFont="1" applyBorder="1">
      <alignment/>
      <protection/>
    </xf>
    <xf numFmtId="0" fontId="76" fillId="0" borderId="130" xfId="149" applyFont="1" applyBorder="1">
      <alignment/>
      <protection/>
    </xf>
    <xf numFmtId="0" fontId="76" fillId="0" borderId="131" xfId="149" applyFont="1" applyBorder="1">
      <alignment/>
      <protection/>
    </xf>
    <xf numFmtId="3" fontId="76" fillId="0" borderId="127" xfId="149" applyNumberFormat="1" applyFont="1" applyFill="1" applyBorder="1">
      <alignment/>
      <protection/>
    </xf>
    <xf numFmtId="0" fontId="0" fillId="0" borderId="41" xfId="149" applyBorder="1">
      <alignment/>
      <protection/>
    </xf>
    <xf numFmtId="0" fontId="76" fillId="0" borderId="132" xfId="149" applyFont="1" applyBorder="1">
      <alignment/>
      <protection/>
    </xf>
    <xf numFmtId="0" fontId="76" fillId="0" borderId="133" xfId="149" applyFont="1" applyBorder="1">
      <alignment/>
      <protection/>
    </xf>
    <xf numFmtId="0" fontId="76" fillId="0" borderId="134" xfId="149" applyFont="1" applyBorder="1">
      <alignment/>
      <protection/>
    </xf>
    <xf numFmtId="3" fontId="76" fillId="0" borderId="39" xfId="149" applyNumberFormat="1" applyFont="1" applyFill="1" applyBorder="1">
      <alignment/>
      <protection/>
    </xf>
    <xf numFmtId="10" fontId="76" fillId="0" borderId="55" xfId="149" applyNumberFormat="1" applyFont="1" applyFill="1" applyBorder="1" applyAlignment="1">
      <alignment horizontal="right"/>
      <protection/>
    </xf>
    <xf numFmtId="10" fontId="76" fillId="0" borderId="55" xfId="149" applyNumberFormat="1" applyFont="1" applyBorder="1" applyAlignment="1">
      <alignment horizontal="right"/>
      <protection/>
    </xf>
    <xf numFmtId="3" fontId="76" fillId="0" borderId="55" xfId="149" applyNumberFormat="1" applyFont="1" applyBorder="1">
      <alignment/>
      <protection/>
    </xf>
    <xf numFmtId="10" fontId="76" fillId="0" borderId="135" xfId="149" applyNumberFormat="1" applyFont="1" applyBorder="1" applyAlignment="1">
      <alignment horizontal="right"/>
      <protection/>
    </xf>
    <xf numFmtId="0" fontId="76" fillId="0" borderId="22" xfId="149" applyFont="1" applyBorder="1">
      <alignment/>
      <protection/>
    </xf>
    <xf numFmtId="10" fontId="76" fillId="0" borderId="39" xfId="149" applyNumberFormat="1" applyFont="1" applyFill="1" applyBorder="1" applyAlignment="1">
      <alignment horizontal="right"/>
      <protection/>
    </xf>
    <xf numFmtId="10" fontId="76" fillId="0" borderId="39" xfId="149" applyNumberFormat="1" applyFont="1" applyBorder="1" applyAlignment="1">
      <alignment horizontal="right"/>
      <protection/>
    </xf>
    <xf numFmtId="3" fontId="76" fillId="0" borderId="39" xfId="149" applyNumberFormat="1" applyFont="1" applyBorder="1">
      <alignment/>
      <protection/>
    </xf>
    <xf numFmtId="10" fontId="76" fillId="0" borderId="136" xfId="149" applyNumberFormat="1" applyFont="1" applyBorder="1" applyAlignment="1">
      <alignment horizontal="right"/>
      <protection/>
    </xf>
    <xf numFmtId="0" fontId="31" fillId="0" borderId="22" xfId="149" applyFont="1" applyBorder="1">
      <alignment/>
      <protection/>
    </xf>
    <xf numFmtId="0" fontId="31" fillId="0" borderId="129" xfId="149" applyFont="1" applyBorder="1">
      <alignment/>
      <protection/>
    </xf>
    <xf numFmtId="10" fontId="31" fillId="0" borderId="79" xfId="149" applyNumberFormat="1" applyFont="1" applyBorder="1" applyAlignment="1">
      <alignment horizontal="right"/>
      <protection/>
    </xf>
    <xf numFmtId="3" fontId="31" fillId="0" borderId="79" xfId="149" applyNumberFormat="1" applyFont="1" applyBorder="1">
      <alignment/>
      <protection/>
    </xf>
    <xf numFmtId="10" fontId="31" fillId="0" borderId="122" xfId="149" applyNumberFormat="1" applyFont="1" applyBorder="1" applyAlignment="1">
      <alignment horizontal="right"/>
      <protection/>
    </xf>
    <xf numFmtId="0" fontId="31" fillId="0" borderId="0" xfId="149" applyFont="1">
      <alignment/>
      <protection/>
    </xf>
    <xf numFmtId="0" fontId="39" fillId="0" borderId="0" xfId="149" applyFont="1" applyFill="1" applyProtection="1">
      <alignment/>
      <protection locked="0"/>
    </xf>
    <xf numFmtId="0" fontId="39" fillId="0" borderId="0" xfId="143" applyFont="1" applyFill="1" applyProtection="1">
      <alignment/>
      <protection locked="0"/>
    </xf>
    <xf numFmtId="0" fontId="7" fillId="0" borderId="0" xfId="149" applyFont="1">
      <alignment/>
      <protection/>
    </xf>
    <xf numFmtId="0" fontId="64" fillId="0" borderId="16" xfId="149" applyFont="1" applyBorder="1" applyAlignment="1">
      <alignment horizontal="center" vertical="center" wrapText="1"/>
      <protection/>
    </xf>
    <xf numFmtId="0" fontId="31" fillId="0" borderId="0" xfId="149" applyFont="1">
      <alignment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37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2" fillId="0" borderId="36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 wrapText="1"/>
    </xf>
    <xf numFmtId="0" fontId="83" fillId="0" borderId="138" xfId="0" applyFont="1" applyFill="1" applyBorder="1" applyAlignment="1">
      <alignment horizontal="center" vertical="center"/>
    </xf>
    <xf numFmtId="0" fontId="83" fillId="0" borderId="32" xfId="0" applyFont="1" applyFill="1" applyBorder="1" applyAlignment="1">
      <alignment horizontal="center" vertical="center"/>
    </xf>
    <xf numFmtId="0" fontId="83" fillId="0" borderId="139" xfId="0" applyFont="1" applyFill="1" applyBorder="1" applyAlignment="1">
      <alignment horizontal="center" vertical="center"/>
    </xf>
    <xf numFmtId="0" fontId="83" fillId="0" borderId="39" xfId="0" applyFont="1" applyFill="1" applyBorder="1" applyAlignment="1">
      <alignment horizontal="center" vertical="center"/>
    </xf>
    <xf numFmtId="0" fontId="83" fillId="0" borderId="14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20" xfId="0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indent="1"/>
    </xf>
    <xf numFmtId="3" fontId="7" fillId="0" borderId="61" xfId="0" applyNumberFormat="1" applyFont="1" applyFill="1" applyBorder="1" applyAlignment="1">
      <alignment horizontal="right" indent="1"/>
    </xf>
    <xf numFmtId="3" fontId="7" fillId="0" borderId="104" xfId="0" applyNumberFormat="1" applyFont="1" applyFill="1" applyBorder="1" applyAlignment="1">
      <alignment horizontal="right" indent="1"/>
    </xf>
    <xf numFmtId="167" fontId="7" fillId="0" borderId="61" xfId="0" applyNumberFormat="1" applyFont="1" applyFill="1" applyBorder="1" applyAlignment="1">
      <alignment horizontal="center"/>
    </xf>
    <xf numFmtId="167" fontId="7" fillId="0" borderId="103" xfId="0" applyNumberFormat="1" applyFont="1" applyFill="1" applyBorder="1" applyAlignment="1">
      <alignment horizontal="center"/>
    </xf>
    <xf numFmtId="0" fontId="7" fillId="0" borderId="141" xfId="0" applyFont="1" applyFill="1" applyBorder="1" applyAlignment="1">
      <alignment/>
    </xf>
    <xf numFmtId="49" fontId="7" fillId="0" borderId="142" xfId="0" applyNumberFormat="1" applyFont="1" applyFill="1" applyBorder="1" applyAlignment="1">
      <alignment horizontal="left" indent="1"/>
    </xf>
    <xf numFmtId="3" fontId="7" fillId="0" borderId="70" xfId="0" applyNumberFormat="1" applyFont="1" applyFill="1" applyBorder="1" applyAlignment="1">
      <alignment horizontal="right" indent="1"/>
    </xf>
    <xf numFmtId="3" fontId="7" fillId="0" borderId="72" xfId="0" applyNumberFormat="1" applyFont="1" applyFill="1" applyBorder="1" applyAlignment="1">
      <alignment horizontal="right" indent="1"/>
    </xf>
    <xf numFmtId="3" fontId="7" fillId="0" borderId="93" xfId="0" applyNumberFormat="1" applyFont="1" applyFill="1" applyBorder="1" applyAlignment="1">
      <alignment horizontal="right" indent="1"/>
    </xf>
    <xf numFmtId="167" fontId="7" fillId="0" borderId="72" xfId="0" applyNumberFormat="1" applyFont="1" applyFill="1" applyBorder="1" applyAlignment="1">
      <alignment horizontal="center"/>
    </xf>
    <xf numFmtId="167" fontId="7" fillId="0" borderId="142" xfId="0" applyNumberFormat="1" applyFont="1" applyFill="1" applyBorder="1" applyAlignment="1">
      <alignment horizontal="center"/>
    </xf>
    <xf numFmtId="0" fontId="84" fillId="0" borderId="35" xfId="0" applyFont="1" applyFill="1" applyBorder="1" applyAlignment="1">
      <alignment/>
    </xf>
    <xf numFmtId="49" fontId="84" fillId="0" borderId="143" xfId="0" applyNumberFormat="1" applyFont="1" applyFill="1" applyBorder="1" applyAlignment="1">
      <alignment horizontal="left" indent="1"/>
    </xf>
    <xf numFmtId="3" fontId="84" fillId="0" borderId="144" xfId="0" applyNumberFormat="1" applyFont="1" applyFill="1" applyBorder="1" applyAlignment="1">
      <alignment horizontal="right" indent="1"/>
    </xf>
    <xf numFmtId="3" fontId="84" fillId="0" borderId="28" xfId="0" applyNumberFormat="1" applyFont="1" applyFill="1" applyBorder="1" applyAlignment="1">
      <alignment horizontal="right" indent="1"/>
    </xf>
    <xf numFmtId="3" fontId="85" fillId="0" borderId="28" xfId="0" applyNumberFormat="1" applyFont="1" applyFill="1" applyBorder="1" applyAlignment="1">
      <alignment horizontal="right" indent="1"/>
    </xf>
    <xf numFmtId="3" fontId="85" fillId="0" borderId="145" xfId="0" applyNumberFormat="1" applyFont="1" applyFill="1" applyBorder="1" applyAlignment="1">
      <alignment horizontal="right" indent="1"/>
    </xf>
    <xf numFmtId="167" fontId="85" fillId="0" borderId="28" xfId="0" applyNumberFormat="1" applyFont="1" applyFill="1" applyBorder="1" applyAlignment="1">
      <alignment horizontal="center"/>
    </xf>
    <xf numFmtId="167" fontId="85" fillId="0" borderId="143" xfId="0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85" fillId="0" borderId="38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left" indent="1"/>
    </xf>
    <xf numFmtId="3" fontId="85" fillId="0" borderId="22" xfId="0" applyNumberFormat="1" applyFont="1" applyFill="1" applyBorder="1" applyAlignment="1">
      <alignment horizontal="right" indent="1"/>
    </xf>
    <xf numFmtId="3" fontId="85" fillId="0" borderId="16" xfId="0" applyNumberFormat="1" applyFont="1" applyFill="1" applyBorder="1" applyAlignment="1">
      <alignment horizontal="right" indent="1"/>
    </xf>
    <xf numFmtId="3" fontId="85" fillId="0" borderId="146" xfId="0" applyNumberFormat="1" applyFont="1" applyFill="1" applyBorder="1" applyAlignment="1">
      <alignment horizontal="right" indent="1"/>
    </xf>
    <xf numFmtId="167" fontId="85" fillId="0" borderId="16" xfId="0" applyNumberFormat="1" applyFont="1" applyFill="1" applyBorder="1" applyAlignment="1">
      <alignment horizontal="center"/>
    </xf>
    <xf numFmtId="167" fontId="85" fillId="0" borderId="24" xfId="0" applyNumberFormat="1" applyFont="1" applyFill="1" applyBorder="1" applyAlignment="1">
      <alignment horizontal="center"/>
    </xf>
    <xf numFmtId="0" fontId="77" fillId="0" borderId="36" xfId="0" applyFont="1" applyFill="1" applyBorder="1" applyAlignment="1">
      <alignment/>
    </xf>
    <xf numFmtId="0" fontId="77" fillId="0" borderId="107" xfId="0" applyFont="1" applyFill="1" applyBorder="1" applyAlignment="1">
      <alignment horizontal="left" indent="1"/>
    </xf>
    <xf numFmtId="3" fontId="77" fillId="0" borderId="65" xfId="0" applyNumberFormat="1" applyFont="1" applyFill="1" applyBorder="1" applyAlignment="1">
      <alignment horizontal="right" indent="1"/>
    </xf>
    <xf numFmtId="3" fontId="77" fillId="0" borderId="31" xfId="0" applyNumberFormat="1" applyFont="1" applyFill="1" applyBorder="1" applyAlignment="1">
      <alignment horizontal="right" indent="1"/>
    </xf>
    <xf numFmtId="3" fontId="77" fillId="0" borderId="147" xfId="0" applyNumberFormat="1" applyFont="1" applyFill="1" applyBorder="1" applyAlignment="1">
      <alignment horizontal="right" indent="1"/>
    </xf>
    <xf numFmtId="167" fontId="77" fillId="0" borderId="31" xfId="0" applyNumberFormat="1" applyFont="1" applyFill="1" applyBorder="1" applyAlignment="1">
      <alignment horizontal="center"/>
    </xf>
    <xf numFmtId="167" fontId="77" fillId="0" borderId="105" xfId="0" applyNumberFormat="1" applyFont="1" applyFill="1" applyBorder="1" applyAlignment="1">
      <alignment horizontal="center"/>
    </xf>
    <xf numFmtId="0" fontId="7" fillId="0" borderId="148" xfId="0" applyFont="1" applyFill="1" applyBorder="1" applyAlignment="1">
      <alignment/>
    </xf>
    <xf numFmtId="49" fontId="7" fillId="0" borderId="103" xfId="0" applyNumberFormat="1" applyFont="1" applyFill="1" applyBorder="1" applyAlignment="1">
      <alignment horizontal="left" indent="1"/>
    </xf>
    <xf numFmtId="4" fontId="7" fillId="0" borderId="60" xfId="0" applyNumberFormat="1" applyFont="1" applyFill="1" applyBorder="1" applyAlignment="1">
      <alignment horizontal="right" indent="1"/>
    </xf>
    <xf numFmtId="4" fontId="7" fillId="0" borderId="61" xfId="0" applyNumberFormat="1" applyFont="1" applyFill="1" applyBorder="1" applyAlignment="1">
      <alignment horizontal="right" indent="1"/>
    </xf>
    <xf numFmtId="4" fontId="7" fillId="0" borderId="20" xfId="0" applyNumberFormat="1" applyFont="1" applyFill="1" applyBorder="1" applyAlignment="1">
      <alignment horizontal="right" indent="1"/>
    </xf>
    <xf numFmtId="10" fontId="7" fillId="0" borderId="61" xfId="157" applyNumberFormat="1" applyFont="1" applyFill="1" applyBorder="1" applyAlignment="1">
      <alignment horizontal="center"/>
    </xf>
    <xf numFmtId="10" fontId="7" fillId="0" borderId="103" xfId="157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4" fontId="7" fillId="0" borderId="66" xfId="0" applyNumberFormat="1" applyFont="1" applyFill="1" applyBorder="1" applyAlignment="1">
      <alignment horizontal="right" indent="1"/>
    </xf>
    <xf numFmtId="4" fontId="7" fillId="0" borderId="31" xfId="0" applyNumberFormat="1" applyFont="1" applyFill="1" applyBorder="1" applyAlignment="1">
      <alignment horizontal="right" indent="1"/>
    </xf>
    <xf numFmtId="4" fontId="7" fillId="0" borderId="65" xfId="0" applyNumberFormat="1" applyFont="1" applyFill="1" applyBorder="1" applyAlignment="1">
      <alignment horizontal="right" indent="1"/>
    </xf>
    <xf numFmtId="10" fontId="7" fillId="0" borderId="31" xfId="157" applyNumberFormat="1" applyFont="1" applyFill="1" applyBorder="1" applyAlignment="1">
      <alignment horizontal="center"/>
    </xf>
    <xf numFmtId="10" fontId="7" fillId="0" borderId="105" xfId="157" applyNumberFormat="1" applyFont="1" applyFill="1" applyBorder="1" applyAlignment="1">
      <alignment horizontal="center"/>
    </xf>
    <xf numFmtId="4" fontId="7" fillId="0" borderId="71" xfId="0" applyNumberFormat="1" applyFont="1" applyFill="1" applyBorder="1" applyAlignment="1">
      <alignment horizontal="right" indent="1"/>
    </xf>
    <xf numFmtId="4" fontId="7" fillId="0" borderId="72" xfId="0" applyNumberFormat="1" applyFont="1" applyFill="1" applyBorder="1" applyAlignment="1">
      <alignment horizontal="right" indent="1"/>
    </xf>
    <xf numFmtId="4" fontId="7" fillId="0" borderId="70" xfId="0" applyNumberFormat="1" applyFont="1" applyFill="1" applyBorder="1" applyAlignment="1">
      <alignment horizontal="right" indent="1"/>
    </xf>
    <xf numFmtId="10" fontId="7" fillId="0" borderId="142" xfId="157" applyNumberFormat="1" applyFont="1" applyFill="1" applyBorder="1" applyAlignment="1">
      <alignment horizontal="center"/>
    </xf>
    <xf numFmtId="0" fontId="85" fillId="0" borderId="35" xfId="0" applyFont="1" applyFill="1" applyBorder="1" applyAlignment="1">
      <alignment/>
    </xf>
    <xf numFmtId="0" fontId="85" fillId="0" borderId="37" xfId="0" applyFont="1" applyFill="1" applyBorder="1" applyAlignment="1">
      <alignment/>
    </xf>
    <xf numFmtId="49" fontId="7" fillId="0" borderId="140" xfId="0" applyNumberFormat="1" applyFont="1" applyFill="1" applyBorder="1" applyAlignment="1">
      <alignment horizontal="left" indent="1"/>
    </xf>
    <xf numFmtId="3" fontId="85" fillId="0" borderId="138" xfId="0" applyNumberFormat="1" applyFont="1" applyFill="1" applyBorder="1" applyAlignment="1">
      <alignment horizontal="right" indent="1"/>
    </xf>
    <xf numFmtId="3" fontId="85" fillId="0" borderId="32" xfId="0" applyNumberFormat="1" applyFont="1" applyFill="1" applyBorder="1" applyAlignment="1">
      <alignment horizontal="right" indent="1"/>
    </xf>
    <xf numFmtId="4" fontId="85" fillId="0" borderId="138" xfId="0" applyNumberFormat="1" applyFont="1" applyFill="1" applyBorder="1" applyAlignment="1">
      <alignment horizontal="right" indent="1"/>
    </xf>
    <xf numFmtId="4" fontId="85" fillId="0" borderId="32" xfId="0" applyNumberFormat="1" applyFont="1" applyFill="1" applyBorder="1" applyAlignment="1">
      <alignment horizontal="right" indent="1"/>
    </xf>
    <xf numFmtId="4" fontId="85" fillId="0" borderId="139" xfId="0" applyNumberFormat="1" applyFont="1" applyFill="1" applyBorder="1" applyAlignment="1">
      <alignment horizontal="right" indent="1"/>
    </xf>
    <xf numFmtId="4" fontId="7" fillId="0" borderId="83" xfId="157" applyNumberFormat="1" applyFont="1" applyFill="1" applyBorder="1" applyAlignment="1">
      <alignment horizontal="center"/>
    </xf>
    <xf numFmtId="4" fontId="7" fillId="0" borderId="149" xfId="157" applyNumberFormat="1" applyFont="1" applyFill="1" applyBorder="1" applyAlignment="1">
      <alignment horizontal="center"/>
    </xf>
    <xf numFmtId="0" fontId="85" fillId="0" borderId="36" xfId="0" applyFont="1" applyFill="1" applyBorder="1" applyAlignment="1">
      <alignment/>
    </xf>
    <xf numFmtId="3" fontId="85" fillId="0" borderId="65" xfId="0" applyNumberFormat="1" applyFont="1" applyFill="1" applyBorder="1" applyAlignment="1">
      <alignment horizontal="right" indent="1"/>
    </xf>
    <xf numFmtId="3" fontId="85" fillId="0" borderId="31" xfId="0" applyNumberFormat="1" applyFont="1" applyFill="1" applyBorder="1" applyAlignment="1">
      <alignment horizontal="right" indent="1"/>
    </xf>
    <xf numFmtId="4" fontId="85" fillId="0" borderId="65" xfId="0" applyNumberFormat="1" applyFont="1" applyFill="1" applyBorder="1" applyAlignment="1">
      <alignment horizontal="right" indent="1"/>
    </xf>
    <xf numFmtId="4" fontId="85" fillId="0" borderId="31" xfId="0" applyNumberFormat="1" applyFont="1" applyFill="1" applyBorder="1" applyAlignment="1">
      <alignment horizontal="right" indent="1"/>
    </xf>
    <xf numFmtId="4" fontId="7" fillId="0" borderId="31" xfId="157" applyNumberFormat="1" applyFont="1" applyFill="1" applyBorder="1" applyAlignment="1">
      <alignment horizontal="center"/>
    </xf>
    <xf numFmtId="4" fontId="7" fillId="0" borderId="105" xfId="157" applyNumberFormat="1" applyFont="1" applyFill="1" applyBorder="1" applyAlignment="1">
      <alignment horizontal="center"/>
    </xf>
    <xf numFmtId="4" fontId="7" fillId="0" borderId="142" xfId="157" applyNumberFormat="1" applyFont="1" applyFill="1" applyBorder="1" applyAlignment="1">
      <alignment horizontal="center"/>
    </xf>
    <xf numFmtId="0" fontId="85" fillId="0" borderId="150" xfId="0" applyFont="1" applyFill="1" applyBorder="1" applyAlignment="1">
      <alignment/>
    </xf>
    <xf numFmtId="10" fontId="7" fillId="0" borderId="83" xfId="157" applyNumberFormat="1" applyFont="1" applyFill="1" applyBorder="1" applyAlignment="1">
      <alignment horizontal="center"/>
    </xf>
    <xf numFmtId="10" fontId="7" fillId="0" borderId="149" xfId="157" applyNumberFormat="1" applyFont="1" applyFill="1" applyBorder="1" applyAlignment="1">
      <alignment horizontal="center"/>
    </xf>
    <xf numFmtId="49" fontId="85" fillId="0" borderId="143" xfId="0" applyNumberFormat="1" applyFont="1" applyFill="1" applyBorder="1" applyAlignment="1">
      <alignment horizontal="left" indent="1"/>
    </xf>
    <xf numFmtId="3" fontId="85" fillId="0" borderId="144" xfId="0" applyNumberFormat="1" applyFont="1" applyFill="1" applyBorder="1" applyAlignment="1">
      <alignment horizontal="right" indent="1"/>
    </xf>
    <xf numFmtId="3" fontId="85" fillId="0" borderId="139" xfId="0" applyNumberFormat="1" applyFont="1" applyFill="1" applyBorder="1" applyAlignment="1">
      <alignment horizontal="right" indent="1"/>
    </xf>
    <xf numFmtId="167" fontId="85" fillId="0" borderId="32" xfId="0" applyNumberFormat="1" applyFont="1" applyFill="1" applyBorder="1" applyAlignment="1">
      <alignment horizontal="center"/>
    </xf>
    <xf numFmtId="167" fontId="85" fillId="0" borderId="140" xfId="0" applyNumberFormat="1" applyFont="1" applyFill="1" applyBorder="1" applyAlignment="1">
      <alignment horizontal="center"/>
    </xf>
    <xf numFmtId="49" fontId="85" fillId="0" borderId="151" xfId="0" applyNumberFormat="1" applyFont="1" applyFill="1" applyBorder="1" applyAlignment="1">
      <alignment horizontal="left" indent="1"/>
    </xf>
    <xf numFmtId="3" fontId="85" fillId="0" borderId="152" xfId="0" applyNumberFormat="1" applyFont="1" applyFill="1" applyBorder="1" applyAlignment="1">
      <alignment horizontal="right" indent="1"/>
    </xf>
    <xf numFmtId="3" fontId="85" fillId="0" borderId="153" xfId="0" applyNumberFormat="1" applyFont="1" applyFill="1" applyBorder="1" applyAlignment="1">
      <alignment horizontal="right" indent="1"/>
    </xf>
    <xf numFmtId="3" fontId="85" fillId="0" borderId="154" xfId="0" applyNumberFormat="1" applyFont="1" applyFill="1" applyBorder="1" applyAlignment="1">
      <alignment horizontal="right" indent="1"/>
    </xf>
    <xf numFmtId="167" fontId="85" fillId="0" borderId="153" xfId="0" applyNumberFormat="1" applyFont="1" applyFill="1" applyBorder="1" applyAlignment="1">
      <alignment horizontal="center"/>
    </xf>
    <xf numFmtId="167" fontId="85" fillId="0" borderId="151" xfId="0" applyNumberFormat="1" applyFont="1" applyFill="1" applyBorder="1" applyAlignment="1">
      <alignment horizontal="center"/>
    </xf>
    <xf numFmtId="3" fontId="85" fillId="0" borderId="147" xfId="0" applyNumberFormat="1" applyFont="1" applyFill="1" applyBorder="1" applyAlignment="1">
      <alignment horizontal="right" indent="1"/>
    </xf>
    <xf numFmtId="167" fontId="85" fillId="0" borderId="31" xfId="0" applyNumberFormat="1" applyFont="1" applyFill="1" applyBorder="1" applyAlignment="1">
      <alignment horizontal="center"/>
    </xf>
    <xf numFmtId="167" fontId="85" fillId="0" borderId="105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3" fontId="7" fillId="0" borderId="41" xfId="0" applyNumberFormat="1" applyFont="1" applyFill="1" applyBorder="1" applyAlignment="1">
      <alignment horizontal="right" indent="1"/>
    </xf>
    <xf numFmtId="3" fontId="7" fillId="0" borderId="39" xfId="0" applyNumberFormat="1" applyFont="1" applyFill="1" applyBorder="1" applyAlignment="1">
      <alignment horizontal="right" indent="1"/>
    </xf>
    <xf numFmtId="3" fontId="7" fillId="0" borderId="155" xfId="0" applyNumberFormat="1" applyFont="1" applyFill="1" applyBorder="1" applyAlignment="1">
      <alignment horizontal="right" indent="1"/>
    </xf>
    <xf numFmtId="167" fontId="7" fillId="0" borderId="39" xfId="0" applyNumberFormat="1" applyFont="1" applyFill="1" applyBorder="1" applyAlignment="1">
      <alignment horizontal="center"/>
    </xf>
    <xf numFmtId="167" fontId="7" fillId="0" borderId="136" xfId="0" applyNumberFormat="1" applyFont="1" applyFill="1" applyBorder="1" applyAlignment="1">
      <alignment horizontal="center"/>
    </xf>
    <xf numFmtId="0" fontId="7" fillId="0" borderId="77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122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 horizontal="right" indent="1"/>
    </xf>
    <xf numFmtId="167" fontId="7" fillId="0" borderId="0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103" xfId="0" applyNumberFormat="1" applyFont="1" applyFill="1" applyBorder="1" applyAlignment="1">
      <alignment horizontal="right" indent="1"/>
    </xf>
    <xf numFmtId="3" fontId="7" fillId="0" borderId="60" xfId="0" applyNumberFormat="1" applyFont="1" applyFill="1" applyBorder="1" applyAlignment="1">
      <alignment horizontal="right" indent="1"/>
    </xf>
    <xf numFmtId="3" fontId="7" fillId="0" borderId="142" xfId="0" applyNumberFormat="1" applyFont="1" applyFill="1" applyBorder="1" applyAlignment="1">
      <alignment horizontal="right" indent="1"/>
    </xf>
    <xf numFmtId="3" fontId="7" fillId="0" borderId="71" xfId="0" applyNumberFormat="1" applyFont="1" applyFill="1" applyBorder="1" applyAlignment="1">
      <alignment horizontal="right" indent="1"/>
    </xf>
    <xf numFmtId="3" fontId="85" fillId="0" borderId="143" xfId="0" applyNumberFormat="1" applyFont="1" applyFill="1" applyBorder="1" applyAlignment="1">
      <alignment horizontal="right" indent="1"/>
    </xf>
    <xf numFmtId="3" fontId="85" fillId="0" borderId="67" xfId="0" applyNumberFormat="1" applyFont="1" applyFill="1" applyBorder="1" applyAlignment="1">
      <alignment horizontal="right" indent="1"/>
    </xf>
    <xf numFmtId="3" fontId="85" fillId="0" borderId="0" xfId="0" applyNumberFormat="1" applyFont="1" applyFill="1" applyBorder="1" applyAlignment="1">
      <alignment horizontal="right" indent="1"/>
    </xf>
    <xf numFmtId="167" fontId="85" fillId="0" borderId="0" xfId="0" applyNumberFormat="1" applyFont="1" applyFill="1" applyBorder="1" applyAlignment="1">
      <alignment horizontal="center"/>
    </xf>
    <xf numFmtId="3" fontId="85" fillId="0" borderId="24" xfId="0" applyNumberFormat="1" applyFont="1" applyFill="1" applyBorder="1" applyAlignment="1">
      <alignment horizontal="right" indent="1"/>
    </xf>
    <xf numFmtId="3" fontId="85" fillId="0" borderId="137" xfId="0" applyNumberFormat="1" applyFont="1" applyFill="1" applyBorder="1" applyAlignment="1">
      <alignment horizontal="right" indent="1"/>
    </xf>
    <xf numFmtId="3" fontId="77" fillId="0" borderId="68" xfId="0" applyNumberFormat="1" applyFont="1" applyFill="1" applyBorder="1" applyAlignment="1">
      <alignment horizontal="right" indent="1"/>
    </xf>
    <xf numFmtId="3" fontId="77" fillId="0" borderId="29" xfId="0" applyNumberFormat="1" applyFont="1" applyFill="1" applyBorder="1" applyAlignment="1">
      <alignment horizontal="right" indent="1"/>
    </xf>
    <xf numFmtId="3" fontId="77" fillId="0" borderId="107" xfId="0" applyNumberFormat="1" applyFont="1" applyFill="1" applyBorder="1" applyAlignment="1">
      <alignment horizontal="right" indent="1"/>
    </xf>
    <xf numFmtId="3" fontId="77" fillId="0" borderId="66" xfId="0" applyNumberFormat="1" applyFont="1" applyFill="1" applyBorder="1" applyAlignment="1">
      <alignment horizontal="right" indent="1"/>
    </xf>
    <xf numFmtId="3" fontId="77" fillId="0" borderId="105" xfId="0" applyNumberFormat="1" applyFont="1" applyFill="1" applyBorder="1" applyAlignment="1">
      <alignment horizontal="right" indent="1"/>
    </xf>
    <xf numFmtId="3" fontId="77" fillId="0" borderId="0" xfId="0" applyNumberFormat="1" applyFont="1" applyFill="1" applyBorder="1" applyAlignment="1">
      <alignment horizontal="right" indent="1"/>
    </xf>
    <xf numFmtId="167" fontId="77" fillId="0" borderId="0" xfId="0" applyNumberFormat="1" applyFont="1" applyFill="1" applyBorder="1" applyAlignment="1">
      <alignment horizontal="center"/>
    </xf>
    <xf numFmtId="4" fontId="7" fillId="0" borderId="103" xfId="0" applyNumberFormat="1" applyFont="1" applyFill="1" applyBorder="1" applyAlignment="1">
      <alignment horizontal="right" indent="1"/>
    </xf>
    <xf numFmtId="4" fontId="7" fillId="0" borderId="0" xfId="0" applyNumberFormat="1" applyFont="1" applyFill="1" applyBorder="1" applyAlignment="1">
      <alignment horizontal="right" indent="1"/>
    </xf>
    <xf numFmtId="4" fontId="77" fillId="0" borderId="0" xfId="0" applyNumberFormat="1" applyFont="1" applyFill="1" applyBorder="1" applyAlignment="1">
      <alignment horizontal="right" indent="1"/>
    </xf>
    <xf numFmtId="4" fontId="7" fillId="0" borderId="105" xfId="0" applyNumberFormat="1" applyFont="1" applyFill="1" applyBorder="1" applyAlignment="1">
      <alignment horizontal="right" indent="1"/>
    </xf>
    <xf numFmtId="4" fontId="85" fillId="0" borderId="0" xfId="0" applyNumberFormat="1" applyFont="1" applyFill="1" applyBorder="1" applyAlignment="1">
      <alignment horizontal="right" indent="1"/>
    </xf>
    <xf numFmtId="4" fontId="85" fillId="0" borderId="156" xfId="0" applyNumberFormat="1" applyFont="1" applyFill="1" applyBorder="1" applyAlignment="1">
      <alignment horizontal="right" indent="1"/>
    </xf>
    <xf numFmtId="4" fontId="85" fillId="0" borderId="66" xfId="0" applyNumberFormat="1" applyFont="1" applyFill="1" applyBorder="1" applyAlignment="1">
      <alignment horizontal="right" indent="1"/>
    </xf>
    <xf numFmtId="3" fontId="85" fillId="0" borderId="140" xfId="0" applyNumberFormat="1" applyFont="1" applyFill="1" applyBorder="1" applyAlignment="1">
      <alignment horizontal="right" indent="1"/>
    </xf>
    <xf numFmtId="3" fontId="85" fillId="0" borderId="151" xfId="0" applyNumberFormat="1" applyFont="1" applyFill="1" applyBorder="1" applyAlignment="1">
      <alignment horizontal="right" indent="1"/>
    </xf>
    <xf numFmtId="3" fontId="85" fillId="0" borderId="105" xfId="0" applyNumberFormat="1" applyFont="1" applyFill="1" applyBorder="1" applyAlignment="1">
      <alignment horizontal="right" indent="1"/>
    </xf>
    <xf numFmtId="3" fontId="7" fillId="0" borderId="136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/>
    </xf>
    <xf numFmtId="3" fontId="7" fillId="0" borderId="158" xfId="0" applyNumberFormat="1" applyFont="1" applyFill="1" applyBorder="1" applyAlignment="1">
      <alignment horizontal="right" indent="1"/>
    </xf>
    <xf numFmtId="3" fontId="7" fillId="0" borderId="159" xfId="0" applyNumberFormat="1" applyFont="1" applyFill="1" applyBorder="1" applyAlignment="1">
      <alignment horizontal="right" indent="1"/>
    </xf>
    <xf numFmtId="4" fontId="7" fillId="0" borderId="159" xfId="0" applyNumberFormat="1" applyFont="1" applyFill="1" applyBorder="1" applyAlignment="1">
      <alignment horizontal="right" indent="1"/>
    </xf>
    <xf numFmtId="3" fontId="7" fillId="0" borderId="160" xfId="0" applyNumberFormat="1" applyFont="1" applyFill="1" applyBorder="1" applyAlignment="1">
      <alignment horizontal="right" indent="1"/>
    </xf>
    <xf numFmtId="10" fontId="7" fillId="0" borderId="159" xfId="157" applyNumberFormat="1" applyFont="1" applyFill="1" applyBorder="1" applyAlignment="1">
      <alignment horizontal="center"/>
    </xf>
    <xf numFmtId="10" fontId="7" fillId="0" borderId="161" xfId="157" applyNumberFormat="1" applyFont="1" applyFill="1" applyBorder="1" applyAlignment="1">
      <alignment horizontal="center"/>
    </xf>
    <xf numFmtId="0" fontId="7" fillId="0" borderId="162" xfId="0" applyFont="1" applyFill="1" applyBorder="1" applyAlignment="1">
      <alignment/>
    </xf>
    <xf numFmtId="49" fontId="7" fillId="0" borderId="163" xfId="0" applyNumberFormat="1" applyFont="1" applyFill="1" applyBorder="1" applyAlignment="1">
      <alignment horizontal="left" indent="1"/>
    </xf>
    <xf numFmtId="3" fontId="7" fillId="0" borderId="86" xfId="0" applyNumberFormat="1" applyFont="1" applyFill="1" applyBorder="1" applyAlignment="1">
      <alignment horizontal="right" indent="1"/>
    </xf>
    <xf numFmtId="3" fontId="7" fillId="0" borderId="87" xfId="0" applyNumberFormat="1" applyFont="1" applyFill="1" applyBorder="1" applyAlignment="1">
      <alignment horizontal="right" indent="1"/>
    </xf>
    <xf numFmtId="4" fontId="7" fillId="0" borderId="87" xfId="0" applyNumberFormat="1" applyFont="1" applyFill="1" applyBorder="1" applyAlignment="1">
      <alignment horizontal="right" indent="1"/>
    </xf>
    <xf numFmtId="3" fontId="7" fillId="0" borderId="88" xfId="0" applyNumberFormat="1" applyFont="1" applyFill="1" applyBorder="1" applyAlignment="1">
      <alignment horizontal="right" indent="1"/>
    </xf>
    <xf numFmtId="4" fontId="7" fillId="0" borderId="86" xfId="0" applyNumberFormat="1" applyFont="1" applyFill="1" applyBorder="1" applyAlignment="1">
      <alignment horizontal="right" indent="1"/>
    </xf>
    <xf numFmtId="10" fontId="7" fillId="0" borderId="163" xfId="157" applyNumberFormat="1" applyFont="1" applyFill="1" applyBorder="1" applyAlignment="1">
      <alignment horizontal="center"/>
    </xf>
    <xf numFmtId="0" fontId="85" fillId="0" borderId="162" xfId="0" applyFont="1" applyFill="1" applyBorder="1" applyAlignment="1">
      <alignment/>
    </xf>
    <xf numFmtId="49" fontId="85" fillId="0" borderId="163" xfId="0" applyNumberFormat="1" applyFont="1" applyFill="1" applyBorder="1" applyAlignment="1">
      <alignment horizontal="left" indent="1"/>
    </xf>
    <xf numFmtId="3" fontId="85" fillId="0" borderId="86" xfId="0" applyNumberFormat="1" applyFont="1" applyFill="1" applyBorder="1" applyAlignment="1">
      <alignment horizontal="right" indent="1"/>
    </xf>
    <xf numFmtId="3" fontId="85" fillId="0" borderId="87" xfId="0" applyNumberFormat="1" applyFont="1" applyFill="1" applyBorder="1" applyAlignment="1">
      <alignment horizontal="right" indent="1"/>
    </xf>
    <xf numFmtId="3" fontId="85" fillId="0" borderId="88" xfId="0" applyNumberFormat="1" applyFont="1" applyFill="1" applyBorder="1" applyAlignment="1">
      <alignment horizontal="right" indent="1"/>
    </xf>
    <xf numFmtId="10" fontId="7" fillId="0" borderId="87" xfId="157" applyNumberFormat="1" applyFont="1" applyFill="1" applyBorder="1" applyAlignment="1">
      <alignment horizontal="center"/>
    </xf>
    <xf numFmtId="49" fontId="7" fillId="0" borderId="151" xfId="0" applyNumberFormat="1" applyFont="1" applyFill="1" applyBorder="1" applyAlignment="1">
      <alignment horizontal="left" indent="1"/>
    </xf>
    <xf numFmtId="3" fontId="85" fillId="0" borderId="164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/>
    </xf>
    <xf numFmtId="0" fontId="7" fillId="0" borderId="165" xfId="0" applyFont="1" applyFill="1" applyBorder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/>
    </xf>
    <xf numFmtId="0" fontId="7" fillId="0" borderId="16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161" xfId="0" applyNumberFormat="1" applyFont="1" applyFill="1" applyBorder="1" applyAlignment="1">
      <alignment horizontal="right" indent="1"/>
    </xf>
    <xf numFmtId="4" fontId="7" fillId="0" borderId="163" xfId="0" applyNumberFormat="1" applyFont="1" applyFill="1" applyBorder="1" applyAlignment="1">
      <alignment horizontal="right" indent="1"/>
    </xf>
    <xf numFmtId="0" fontId="7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7" fillId="0" borderId="9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right" indent="1"/>
    </xf>
    <xf numFmtId="0" fontId="39" fillId="0" borderId="0" xfId="0" applyFont="1" applyFill="1" applyBorder="1" applyAlignment="1">
      <alignment horizontal="right" inden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39" fillId="0" borderId="146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49" fontId="82" fillId="0" borderId="167" xfId="0" applyNumberFormat="1" applyFont="1" applyFill="1" applyBorder="1" applyAlignment="1">
      <alignment horizontal="left" indent="1"/>
    </xf>
    <xf numFmtId="3" fontId="39" fillId="0" borderId="70" xfId="0" applyNumberFormat="1" applyFont="1" applyFill="1" applyBorder="1" applyAlignment="1">
      <alignment horizontal="right" indent="1"/>
    </xf>
    <xf numFmtId="3" fontId="39" fillId="0" borderId="93" xfId="0" applyNumberFormat="1" applyFont="1" applyFill="1" applyBorder="1" applyAlignment="1">
      <alignment horizontal="right" indent="1"/>
    </xf>
    <xf numFmtId="3" fontId="39" fillId="0" borderId="168" xfId="0" applyNumberFormat="1" applyFont="1" applyFill="1" applyBorder="1" applyAlignment="1">
      <alignment horizontal="right" indent="1"/>
    </xf>
    <xf numFmtId="3" fontId="39" fillId="0" borderId="159" xfId="0" applyNumberFormat="1" applyFont="1" applyFill="1" applyBorder="1" applyAlignment="1">
      <alignment horizontal="right" indent="1"/>
    </xf>
    <xf numFmtId="167" fontId="39" fillId="0" borderId="169" xfId="0" applyNumberFormat="1" applyFont="1" applyFill="1" applyBorder="1" applyAlignment="1">
      <alignment horizontal="center"/>
    </xf>
    <xf numFmtId="0" fontId="7" fillId="0" borderId="161" xfId="0" applyFont="1" applyFill="1" applyBorder="1" applyAlignment="1">
      <alignment/>
    </xf>
    <xf numFmtId="49" fontId="39" fillId="0" borderId="167" xfId="0" applyNumberFormat="1" applyFont="1" applyFill="1" applyBorder="1" applyAlignment="1">
      <alignment horizontal="left" indent="1"/>
    </xf>
    <xf numFmtId="49" fontId="39" fillId="0" borderId="170" xfId="0" applyNumberFormat="1" applyFont="1" applyFill="1" applyBorder="1" applyAlignment="1">
      <alignment horizontal="left" indent="1"/>
    </xf>
    <xf numFmtId="49" fontId="39" fillId="0" borderId="171" xfId="0" applyNumberFormat="1" applyFont="1" applyFill="1" applyBorder="1" applyAlignment="1">
      <alignment horizontal="left" indent="1"/>
    </xf>
    <xf numFmtId="3" fontId="39" fillId="0" borderId="152" xfId="0" applyNumberFormat="1" applyFont="1" applyFill="1" applyBorder="1" applyAlignment="1">
      <alignment horizontal="right" indent="1"/>
    </xf>
    <xf numFmtId="3" fontId="39" fillId="0" borderId="154" xfId="0" applyNumberFormat="1" applyFont="1" applyFill="1" applyBorder="1" applyAlignment="1">
      <alignment horizontal="right" indent="1"/>
    </xf>
    <xf numFmtId="3" fontId="39" fillId="0" borderId="97" xfId="0" applyNumberFormat="1" applyFont="1" applyFill="1" applyBorder="1" applyAlignment="1">
      <alignment horizontal="right" indent="1"/>
    </xf>
    <xf numFmtId="3" fontId="39" fillId="0" borderId="74" xfId="0" applyNumberFormat="1" applyFont="1" applyFill="1" applyBorder="1" applyAlignment="1">
      <alignment horizontal="right" indent="1"/>
    </xf>
    <xf numFmtId="167" fontId="39" fillId="0" borderId="172" xfId="0" applyNumberFormat="1" applyFont="1" applyFill="1" applyBorder="1" applyAlignment="1">
      <alignment horizontal="center"/>
    </xf>
    <xf numFmtId="0" fontId="7" fillId="0" borderId="173" xfId="0" applyFont="1" applyFill="1" applyBorder="1" applyAlignment="1">
      <alignment/>
    </xf>
    <xf numFmtId="0" fontId="39" fillId="0" borderId="0" xfId="0" applyFont="1" applyBorder="1" applyAlignment="1">
      <alignment horizontal="center" vertical="center"/>
    </xf>
    <xf numFmtId="167" fontId="39" fillId="0" borderId="168" xfId="0" applyNumberFormat="1" applyFont="1" applyFill="1" applyBorder="1" applyAlignment="1">
      <alignment horizontal="center"/>
    </xf>
    <xf numFmtId="49" fontId="39" fillId="0" borderId="174" xfId="0" applyNumberFormat="1" applyFont="1" applyFill="1" applyBorder="1" applyAlignment="1">
      <alignment horizontal="left" indent="1"/>
    </xf>
    <xf numFmtId="3" fontId="39" fillId="0" borderId="95" xfId="0" applyNumberFormat="1" applyFont="1" applyFill="1" applyBorder="1" applyAlignment="1">
      <alignment horizontal="right" indent="1"/>
    </xf>
    <xf numFmtId="3" fontId="39" fillId="0" borderId="96" xfId="0" applyNumberFormat="1" applyFont="1" applyFill="1" applyBorder="1" applyAlignment="1">
      <alignment horizontal="right" indent="1"/>
    </xf>
    <xf numFmtId="167" fontId="39" fillId="0" borderId="97" xfId="0" applyNumberFormat="1" applyFont="1" applyFill="1" applyBorder="1" applyAlignment="1">
      <alignment horizontal="center"/>
    </xf>
    <xf numFmtId="0" fontId="79" fillId="0" borderId="175" xfId="0" applyFont="1" applyBorder="1" applyAlignment="1">
      <alignment/>
    </xf>
    <xf numFmtId="4" fontId="79" fillId="0" borderId="144" xfId="0" applyNumberFormat="1" applyFont="1" applyFill="1" applyBorder="1" applyAlignment="1">
      <alignment horizontal="center"/>
    </xf>
    <xf numFmtId="4" fontId="79" fillId="0" borderId="145" xfId="0" applyNumberFormat="1" applyFont="1" applyFill="1" applyBorder="1" applyAlignment="1">
      <alignment horizontal="center"/>
    </xf>
    <xf numFmtId="0" fontId="39" fillId="0" borderId="162" xfId="0" applyFont="1" applyFill="1" applyBorder="1" applyAlignment="1">
      <alignment horizontal="left" indent="1"/>
    </xf>
    <xf numFmtId="0" fontId="79" fillId="0" borderId="176" xfId="0" applyFont="1" applyFill="1" applyBorder="1" applyAlignment="1">
      <alignment horizontal="center" wrapText="1"/>
    </xf>
    <xf numFmtId="0" fontId="79" fillId="0" borderId="177" xfId="0" applyFont="1" applyFill="1" applyBorder="1" applyAlignment="1">
      <alignment horizontal="center" wrapText="1"/>
    </xf>
    <xf numFmtId="0" fontId="79" fillId="0" borderId="178" xfId="0" applyFont="1" applyFill="1" applyBorder="1" applyAlignment="1">
      <alignment horizontal="center" wrapText="1"/>
    </xf>
    <xf numFmtId="0" fontId="79" fillId="0" borderId="70" xfId="0" applyFont="1" applyFill="1" applyBorder="1" applyAlignment="1">
      <alignment horizontal="center" wrapText="1"/>
    </xf>
    <xf numFmtId="0" fontId="79" fillId="0" borderId="72" xfId="0" applyFont="1" applyFill="1" applyBorder="1" applyAlignment="1">
      <alignment horizontal="center" wrapText="1"/>
    </xf>
    <xf numFmtId="4" fontId="39" fillId="0" borderId="86" xfId="0" applyNumberFormat="1" applyFont="1" applyFill="1" applyBorder="1" applyAlignment="1">
      <alignment horizontal="center" wrapText="1"/>
    </xf>
    <xf numFmtId="4" fontId="39" fillId="0" borderId="87" xfId="0" applyNumberFormat="1" applyFont="1" applyFill="1" applyBorder="1" applyAlignment="1">
      <alignment horizontal="center" wrapText="1"/>
    </xf>
    <xf numFmtId="0" fontId="79" fillId="0" borderId="86" xfId="0" applyFont="1" applyFill="1" applyBorder="1" applyAlignment="1">
      <alignment horizontal="center" wrapText="1"/>
    </xf>
    <xf numFmtId="0" fontId="79" fillId="0" borderId="87" xfId="0" applyFont="1" applyFill="1" applyBorder="1" applyAlignment="1">
      <alignment horizontal="center" wrapText="1"/>
    </xf>
    <xf numFmtId="0" fontId="39" fillId="0" borderId="86" xfId="0" applyFont="1" applyFill="1" applyBorder="1" applyAlignment="1">
      <alignment horizontal="center"/>
    </xf>
    <xf numFmtId="0" fontId="39" fillId="0" borderId="87" xfId="0" applyFont="1" applyFill="1" applyBorder="1" applyAlignment="1">
      <alignment horizontal="center"/>
    </xf>
    <xf numFmtId="0" fontId="39" fillId="0" borderId="178" xfId="0" applyFont="1" applyFill="1" applyBorder="1" applyAlignment="1">
      <alignment horizontal="center"/>
    </xf>
    <xf numFmtId="4" fontId="39" fillId="0" borderId="86" xfId="0" applyNumberFormat="1" applyFont="1" applyFill="1" applyBorder="1" applyAlignment="1">
      <alignment horizontal="center"/>
    </xf>
    <xf numFmtId="4" fontId="39" fillId="0" borderId="87" xfId="0" applyNumberFormat="1" applyFont="1" applyFill="1" applyBorder="1" applyAlignment="1">
      <alignment horizontal="center"/>
    </xf>
    <xf numFmtId="3" fontId="39" fillId="0" borderId="86" xfId="0" applyNumberFormat="1" applyFont="1" applyFill="1" applyBorder="1" applyAlignment="1">
      <alignment/>
    </xf>
    <xf numFmtId="3" fontId="39" fillId="0" borderId="87" xfId="0" applyNumberFormat="1" applyFont="1" applyFill="1" applyBorder="1" applyAlignment="1">
      <alignment/>
    </xf>
    <xf numFmtId="3" fontId="39" fillId="0" borderId="178" xfId="0" applyNumberFormat="1" applyFont="1" applyFill="1" applyBorder="1" applyAlignment="1">
      <alignment/>
    </xf>
    <xf numFmtId="49" fontId="39" fillId="0" borderId="109" xfId="0" applyNumberFormat="1" applyFont="1" applyFill="1" applyBorder="1" applyAlignment="1">
      <alignment horizontal="left" indent="1"/>
    </xf>
    <xf numFmtId="4" fontId="39" fillId="0" borderId="89" xfId="0" applyNumberFormat="1" applyFont="1" applyFill="1" applyBorder="1" applyAlignment="1">
      <alignment horizontal="center"/>
    </xf>
    <xf numFmtId="4" fontId="39" fillId="0" borderId="74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39" fillId="0" borderId="99" xfId="0" applyFont="1" applyFill="1" applyBorder="1" applyAlignment="1">
      <alignment horizontal="center" vertical="center" wrapText="1"/>
    </xf>
    <xf numFmtId="0" fontId="39" fillId="0" borderId="30" xfId="0" applyFont="1" applyBorder="1" applyAlignment="1">
      <alignment horizontal="right" vertical="center" wrapText="1" indent="1"/>
    </xf>
    <xf numFmtId="0" fontId="39" fillId="0" borderId="0" xfId="0" applyFont="1" applyBorder="1" applyAlignment="1">
      <alignment horizontal="right" vertical="center" wrapText="1" indent="1"/>
    </xf>
    <xf numFmtId="0" fontId="39" fillId="0" borderId="137" xfId="0" applyFont="1" applyFill="1" applyBorder="1" applyAlignment="1">
      <alignment horizontal="center" vertical="center" wrapText="1"/>
    </xf>
    <xf numFmtId="0" fontId="39" fillId="0" borderId="17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49" fontId="39" fillId="0" borderId="180" xfId="0" applyNumberFormat="1" applyFont="1" applyFill="1" applyBorder="1" applyAlignment="1">
      <alignment horizontal="left" indent="1"/>
    </xf>
    <xf numFmtId="3" fontId="39" fillId="0" borderId="158" xfId="0" applyNumberFormat="1" applyFont="1" applyFill="1" applyBorder="1" applyAlignment="1">
      <alignment horizontal="right" indent="1"/>
    </xf>
    <xf numFmtId="3" fontId="39" fillId="0" borderId="161" xfId="0" applyNumberFormat="1" applyFont="1" applyFill="1" applyBorder="1" applyAlignment="1">
      <alignment horizontal="right" indent="1"/>
    </xf>
    <xf numFmtId="3" fontId="39" fillId="0" borderId="0" xfId="0" applyNumberFormat="1" applyFont="1" applyFill="1" applyBorder="1" applyAlignment="1">
      <alignment horizontal="right" indent="1"/>
    </xf>
    <xf numFmtId="167" fontId="39" fillId="0" borderId="0" xfId="0" applyNumberFormat="1" applyFont="1" applyFill="1" applyBorder="1" applyAlignment="1">
      <alignment horizontal="center"/>
    </xf>
    <xf numFmtId="49" fontId="39" fillId="0" borderId="181" xfId="0" applyNumberFormat="1" applyFont="1" applyFill="1" applyBorder="1" applyAlignment="1">
      <alignment horizontal="left" indent="1"/>
    </xf>
    <xf numFmtId="3" fontId="39" fillId="0" borderId="65" xfId="0" applyNumberFormat="1" applyFont="1" applyFill="1" applyBorder="1" applyAlignment="1">
      <alignment horizontal="right" indent="1"/>
    </xf>
    <xf numFmtId="3" fontId="39" fillId="0" borderId="31" xfId="0" applyNumberFormat="1" applyFont="1" applyFill="1" applyBorder="1" applyAlignment="1">
      <alignment horizontal="right" indent="1"/>
    </xf>
    <xf numFmtId="3" fontId="39" fillId="0" borderId="147" xfId="0" applyNumberFormat="1" applyFont="1" applyFill="1" applyBorder="1" applyAlignment="1">
      <alignment horizontal="right" indent="1"/>
    </xf>
    <xf numFmtId="3" fontId="39" fillId="0" borderId="105" xfId="0" applyNumberFormat="1" applyFont="1" applyFill="1" applyBorder="1" applyAlignment="1">
      <alignment horizontal="right" indent="1"/>
    </xf>
    <xf numFmtId="49" fontId="39" fillId="0" borderId="182" xfId="0" applyNumberFormat="1" applyFont="1" applyFill="1" applyBorder="1" applyAlignment="1">
      <alignment horizontal="left" indent="1"/>
    </xf>
    <xf numFmtId="3" fontId="79" fillId="0" borderId="41" xfId="0" applyNumberFormat="1" applyFont="1" applyFill="1" applyBorder="1" applyAlignment="1">
      <alignment horizontal="right" indent="1"/>
    </xf>
    <xf numFmtId="3" fontId="79" fillId="0" borderId="166" xfId="0" applyNumberFormat="1" applyFont="1" applyFill="1" applyBorder="1" applyAlignment="1">
      <alignment horizontal="right" indent="1"/>
    </xf>
    <xf numFmtId="3" fontId="79" fillId="0" borderId="155" xfId="0" applyNumberFormat="1" applyFont="1" applyFill="1" applyBorder="1" applyAlignment="1">
      <alignment horizontal="right" indent="1"/>
    </xf>
    <xf numFmtId="3" fontId="79" fillId="0" borderId="39" xfId="0" applyNumberFormat="1" applyFont="1" applyFill="1" applyBorder="1" applyAlignment="1">
      <alignment horizontal="right" indent="1"/>
    </xf>
    <xf numFmtId="3" fontId="79" fillId="0" borderId="42" xfId="0" applyNumberFormat="1" applyFont="1" applyFill="1" applyBorder="1" applyAlignment="1">
      <alignment horizontal="right" indent="1"/>
    </xf>
    <xf numFmtId="3" fontId="79" fillId="0" borderId="0" xfId="0" applyNumberFormat="1" applyFont="1" applyFill="1" applyBorder="1" applyAlignment="1">
      <alignment horizontal="right" indent="1"/>
    </xf>
    <xf numFmtId="167" fontId="79" fillId="0" borderId="0" xfId="0" applyNumberFormat="1" applyFont="1" applyFill="1" applyBorder="1" applyAlignment="1">
      <alignment horizontal="center"/>
    </xf>
    <xf numFmtId="0" fontId="39" fillId="0" borderId="180" xfId="0" applyFont="1" applyBorder="1" applyAlignment="1">
      <alignment horizontal="left" indent="1"/>
    </xf>
    <xf numFmtId="0" fontId="39" fillId="0" borderId="158" xfId="0" applyFont="1" applyBorder="1" applyAlignment="1">
      <alignment horizontal="center"/>
    </xf>
    <xf numFmtId="0" fontId="39" fillId="0" borderId="159" xfId="0" applyFont="1" applyBorder="1" applyAlignment="1">
      <alignment horizontal="center"/>
    </xf>
    <xf numFmtId="0" fontId="39" fillId="0" borderId="168" xfId="0" applyFont="1" applyBorder="1" applyAlignment="1">
      <alignment horizontal="center"/>
    </xf>
    <xf numFmtId="0" fontId="39" fillId="0" borderId="161" xfId="0" applyFont="1" applyBorder="1" applyAlignment="1">
      <alignment horizontal="center"/>
    </xf>
    <xf numFmtId="0" fontId="39" fillId="0" borderId="170" xfId="0" applyFont="1" applyBorder="1" applyAlignment="1">
      <alignment horizontal="left" indent="1"/>
    </xf>
    <xf numFmtId="0" fontId="39" fillId="0" borderId="86" xfId="0" applyFont="1" applyBorder="1" applyAlignment="1">
      <alignment horizontal="center"/>
    </xf>
    <xf numFmtId="0" fontId="39" fillId="0" borderId="87" xfId="0" applyFont="1" applyBorder="1" applyAlignment="1">
      <alignment horizontal="center"/>
    </xf>
    <xf numFmtId="0" fontId="39" fillId="0" borderId="94" xfId="0" applyFont="1" applyBorder="1" applyAlignment="1">
      <alignment horizontal="center"/>
    </xf>
    <xf numFmtId="0" fontId="39" fillId="0" borderId="163" xfId="0" applyFont="1" applyBorder="1" applyAlignment="1">
      <alignment horizontal="center"/>
    </xf>
    <xf numFmtId="3" fontId="39" fillId="0" borderId="68" xfId="0" applyNumberFormat="1" applyFont="1" applyFill="1" applyBorder="1" applyAlignment="1">
      <alignment horizontal="right" indent="1"/>
    </xf>
    <xf numFmtId="3" fontId="39" fillId="0" borderId="29" xfId="0" applyNumberFormat="1" applyFont="1" applyFill="1" applyBorder="1" applyAlignment="1">
      <alignment horizontal="right" indent="1"/>
    </xf>
    <xf numFmtId="3" fontId="39" fillId="0" borderId="98" xfId="0" applyNumberFormat="1" applyFont="1" applyFill="1" applyBorder="1" applyAlignment="1">
      <alignment horizontal="right" indent="1"/>
    </xf>
    <xf numFmtId="3" fontId="39" fillId="0" borderId="107" xfId="0" applyNumberFormat="1" applyFont="1" applyFill="1" applyBorder="1" applyAlignment="1">
      <alignment horizontal="right" indent="1"/>
    </xf>
    <xf numFmtId="3" fontId="39" fillId="0" borderId="153" xfId="0" applyNumberFormat="1" applyFont="1" applyFill="1" applyBorder="1" applyAlignment="1">
      <alignment horizontal="right" indent="1"/>
    </xf>
    <xf numFmtId="3" fontId="39" fillId="0" borderId="151" xfId="0" applyNumberFormat="1" applyFont="1" applyFill="1" applyBorder="1" applyAlignment="1">
      <alignment horizontal="right" indent="1"/>
    </xf>
    <xf numFmtId="0" fontId="39" fillId="0" borderId="90" xfId="0" applyFont="1" applyBorder="1" applyAlignment="1">
      <alignment/>
    </xf>
    <xf numFmtId="0" fontId="39" fillId="0" borderId="80" xfId="0" applyFont="1" applyBorder="1" applyAlignment="1">
      <alignment/>
    </xf>
    <xf numFmtId="0" fontId="39" fillId="0" borderId="81" xfId="0" applyFont="1" applyBorder="1" applyAlignment="1">
      <alignment/>
    </xf>
    <xf numFmtId="0" fontId="39" fillId="0" borderId="0" xfId="0" applyFont="1" applyBorder="1" applyAlignment="1">
      <alignment/>
    </xf>
    <xf numFmtId="0" fontId="79" fillId="0" borderId="183" xfId="0" applyFont="1" applyBorder="1" applyAlignment="1">
      <alignment/>
    </xf>
    <xf numFmtId="3" fontId="39" fillId="0" borderId="78" xfId="0" applyNumberFormat="1" applyFont="1" applyFill="1" applyBorder="1" applyAlignment="1">
      <alignment horizontal="right" indent="1"/>
    </xf>
    <xf numFmtId="3" fontId="39" fillId="0" borderId="184" xfId="0" applyNumberFormat="1" applyFont="1" applyFill="1" applyBorder="1" applyAlignment="1">
      <alignment horizontal="right" inden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41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3" fontId="39" fillId="0" borderId="83" xfId="0" applyNumberFormat="1" applyFont="1" applyFill="1" applyBorder="1" applyAlignment="1">
      <alignment horizontal="right" indent="1"/>
    </xf>
    <xf numFmtId="4" fontId="39" fillId="0" borderId="96" xfId="0" applyNumberFormat="1" applyFont="1" applyFill="1" applyBorder="1" applyAlignment="1">
      <alignment horizontal="right" indent="1"/>
    </xf>
    <xf numFmtId="4" fontId="39" fillId="0" borderId="154" xfId="0" applyNumberFormat="1" applyFont="1" applyFill="1" applyBorder="1" applyAlignment="1">
      <alignment horizontal="right" indent="1"/>
    </xf>
    <xf numFmtId="4" fontId="39" fillId="0" borderId="68" xfId="0" applyNumberFormat="1" applyFont="1" applyFill="1" applyBorder="1" applyAlignment="1">
      <alignment horizontal="right" indent="1"/>
    </xf>
    <xf numFmtId="4" fontId="39" fillId="0" borderId="29" xfId="0" applyNumberFormat="1" applyFont="1" applyFill="1" applyBorder="1" applyAlignment="1">
      <alignment horizontal="right" indent="1"/>
    </xf>
    <xf numFmtId="3" fontId="39" fillId="0" borderId="149" xfId="0" applyNumberFormat="1" applyFont="1" applyFill="1" applyBorder="1" applyAlignment="1">
      <alignment horizontal="right" indent="1"/>
    </xf>
    <xf numFmtId="49" fontId="79" fillId="0" borderId="109" xfId="0" applyNumberFormat="1" applyFont="1" applyFill="1" applyBorder="1" applyAlignment="1">
      <alignment horizontal="left" indent="1"/>
    </xf>
    <xf numFmtId="0" fontId="86" fillId="0" borderId="0" xfId="0" applyFont="1" applyFill="1" applyAlignment="1">
      <alignment/>
    </xf>
    <xf numFmtId="0" fontId="86" fillId="0" borderId="137" xfId="0" applyFont="1" applyFill="1" applyBorder="1" applyAlignment="1">
      <alignment horizontal="center" vertical="center" wrapText="1"/>
    </xf>
    <xf numFmtId="0" fontId="86" fillId="0" borderId="65" xfId="0" applyFont="1" applyFill="1" applyBorder="1" applyAlignment="1">
      <alignment horizontal="center" vertical="center" wrapText="1"/>
    </xf>
    <xf numFmtId="0" fontId="86" fillId="0" borderId="31" xfId="0" applyFont="1" applyFill="1" applyBorder="1" applyAlignment="1">
      <alignment horizontal="center" vertical="center" wrapText="1"/>
    </xf>
    <xf numFmtId="0" fontId="86" fillId="0" borderId="147" xfId="0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0" fontId="86" fillId="0" borderId="143" xfId="0" applyFont="1" applyFill="1" applyBorder="1" applyAlignment="1">
      <alignment horizontal="center" vertical="center" wrapText="1"/>
    </xf>
    <xf numFmtId="3" fontId="86" fillId="0" borderId="0" xfId="0" applyNumberFormat="1" applyFont="1" applyFill="1" applyBorder="1" applyAlignment="1">
      <alignment horizontal="right" indent="1"/>
    </xf>
    <xf numFmtId="167" fontId="86" fillId="0" borderId="0" xfId="0" applyNumberFormat="1" applyFont="1" applyFill="1" applyBorder="1" applyAlignment="1">
      <alignment horizontal="center"/>
    </xf>
    <xf numFmtId="0" fontId="86" fillId="0" borderId="140" xfId="0" applyFont="1" applyFill="1" applyBorder="1" applyAlignment="1">
      <alignment horizontal="center" vertical="center" wrapText="1"/>
    </xf>
    <xf numFmtId="0" fontId="86" fillId="0" borderId="41" xfId="0" applyFont="1" applyFill="1" applyBorder="1" applyAlignment="1">
      <alignment horizontal="center" vertical="center"/>
    </xf>
    <xf numFmtId="0" fontId="86" fillId="0" borderId="39" xfId="0" applyFont="1" applyFill="1" applyBorder="1" applyAlignment="1">
      <alignment horizontal="center" vertical="center" wrapText="1"/>
    </xf>
    <xf numFmtId="0" fontId="86" fillId="0" borderId="39" xfId="0" applyFont="1" applyFill="1" applyBorder="1" applyAlignment="1">
      <alignment horizontal="center" vertical="center"/>
    </xf>
    <xf numFmtId="0" fontId="86" fillId="0" borderId="136" xfId="0" applyFont="1" applyFill="1" applyBorder="1" applyAlignment="1">
      <alignment horizontal="center" vertical="center"/>
    </xf>
    <xf numFmtId="0" fontId="86" fillId="0" borderId="166" xfId="0" applyFont="1" applyFill="1" applyBorder="1" applyAlignment="1">
      <alignment horizontal="center" vertical="center"/>
    </xf>
    <xf numFmtId="0" fontId="86" fillId="0" borderId="155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 wrapText="1"/>
    </xf>
    <xf numFmtId="0" fontId="86" fillId="0" borderId="139" xfId="0" applyFont="1" applyFill="1" applyBorder="1" applyAlignment="1">
      <alignment horizontal="center" vertical="center" wrapText="1"/>
    </xf>
    <xf numFmtId="0" fontId="86" fillId="0" borderId="36" xfId="0" applyFont="1" applyFill="1" applyBorder="1" applyAlignment="1">
      <alignment horizontal="center" vertical="center"/>
    </xf>
    <xf numFmtId="0" fontId="86" fillId="0" borderId="105" xfId="0" applyFont="1" applyFill="1" applyBorder="1" applyAlignment="1">
      <alignment horizontal="center" vertical="center" wrapText="1"/>
    </xf>
    <xf numFmtId="0" fontId="86" fillId="0" borderId="138" xfId="0" applyFont="1" applyFill="1" applyBorder="1" applyAlignment="1">
      <alignment horizontal="center" vertical="center"/>
    </xf>
    <xf numFmtId="0" fontId="86" fillId="0" borderId="32" xfId="0" applyFont="1" applyFill="1" applyBorder="1" applyAlignment="1">
      <alignment horizontal="center" vertical="center"/>
    </xf>
    <xf numFmtId="0" fontId="86" fillId="0" borderId="139" xfId="0" applyFont="1" applyFill="1" applyBorder="1" applyAlignment="1">
      <alignment horizontal="center" vertical="center"/>
    </xf>
    <xf numFmtId="0" fontId="86" fillId="0" borderId="140" xfId="0" applyFont="1" applyFill="1" applyBorder="1" applyAlignment="1">
      <alignment horizontal="center" vertical="center"/>
    </xf>
    <xf numFmtId="49" fontId="86" fillId="0" borderId="142" xfId="0" applyNumberFormat="1" applyFont="1" applyFill="1" applyBorder="1" applyAlignment="1">
      <alignment horizontal="left" indent="1"/>
    </xf>
    <xf numFmtId="49" fontId="86" fillId="0" borderId="24" xfId="0" applyNumberFormat="1" applyFont="1" applyFill="1" applyBorder="1" applyAlignment="1">
      <alignment horizontal="left" indent="1"/>
    </xf>
    <xf numFmtId="49" fontId="86" fillId="0" borderId="103" xfId="0" applyNumberFormat="1" applyFont="1" applyFill="1" applyBorder="1" applyAlignment="1">
      <alignment horizontal="left" indent="1"/>
    </xf>
    <xf numFmtId="49" fontId="86" fillId="0" borderId="105" xfId="0" applyNumberFormat="1" applyFont="1" applyFill="1" applyBorder="1" applyAlignment="1">
      <alignment horizontal="left" indent="1"/>
    </xf>
    <xf numFmtId="49" fontId="86" fillId="0" borderId="140" xfId="0" applyNumberFormat="1" applyFont="1" applyFill="1" applyBorder="1" applyAlignment="1">
      <alignment horizontal="left" indent="1"/>
    </xf>
    <xf numFmtId="49" fontId="86" fillId="0" borderId="161" xfId="0" applyNumberFormat="1" applyFont="1" applyFill="1" applyBorder="1" applyAlignment="1">
      <alignment horizontal="left" indent="1"/>
    </xf>
    <xf numFmtId="49" fontId="86" fillId="0" borderId="163" xfId="0" applyNumberFormat="1" applyFont="1" applyFill="1" applyBorder="1" applyAlignment="1">
      <alignment horizontal="left" indent="1"/>
    </xf>
    <xf numFmtId="0" fontId="88" fillId="0" borderId="40" xfId="0" applyFont="1" applyFill="1" applyBorder="1" applyAlignment="1">
      <alignment/>
    </xf>
    <xf numFmtId="3" fontId="88" fillId="0" borderId="0" xfId="0" applyNumberFormat="1" applyFont="1" applyFill="1" applyBorder="1" applyAlignment="1">
      <alignment horizontal="right" indent="1"/>
    </xf>
    <xf numFmtId="167" fontId="88" fillId="0" borderId="0" xfId="0" applyNumberFormat="1" applyFont="1" applyFill="1" applyBorder="1" applyAlignment="1">
      <alignment horizontal="center"/>
    </xf>
    <xf numFmtId="0" fontId="87" fillId="0" borderId="40" xfId="0" applyFont="1" applyFill="1" applyBorder="1" applyAlignment="1">
      <alignment/>
    </xf>
    <xf numFmtId="0" fontId="87" fillId="0" borderId="0" xfId="0" applyFont="1" applyFill="1" applyAlignment="1">
      <alignment/>
    </xf>
    <xf numFmtId="3" fontId="87" fillId="0" borderId="0" xfId="0" applyNumberFormat="1" applyFont="1" applyFill="1" applyBorder="1" applyAlignment="1">
      <alignment horizontal="right" indent="1"/>
    </xf>
    <xf numFmtId="4" fontId="87" fillId="0" borderId="0" xfId="0" applyNumberFormat="1" applyFont="1" applyFill="1" applyBorder="1" applyAlignment="1">
      <alignment horizontal="right" indent="1"/>
    </xf>
    <xf numFmtId="167" fontId="87" fillId="0" borderId="0" xfId="0" applyNumberFormat="1" applyFont="1" applyFill="1" applyBorder="1" applyAlignment="1">
      <alignment horizontal="center"/>
    </xf>
    <xf numFmtId="0" fontId="89" fillId="0" borderId="0" xfId="0" applyFont="1" applyFill="1" applyAlignment="1">
      <alignment/>
    </xf>
    <xf numFmtId="0" fontId="57" fillId="0" borderId="185" xfId="145" applyFont="1" applyBorder="1" applyAlignment="1">
      <alignment horizontal="left"/>
      <protection/>
    </xf>
    <xf numFmtId="49" fontId="79" fillId="0" borderId="0" xfId="0" applyNumberFormat="1" applyFont="1" applyFill="1" applyBorder="1" applyAlignment="1">
      <alignment horizontal="left" indent="1"/>
    </xf>
    <xf numFmtId="0" fontId="39" fillId="0" borderId="180" xfId="0" applyFont="1" applyBorder="1" applyAlignment="1">
      <alignment horizontal="left"/>
    </xf>
    <xf numFmtId="4" fontId="39" fillId="0" borderId="158" xfId="0" applyNumberFormat="1" applyFont="1" applyBorder="1" applyAlignment="1">
      <alignment horizontal="center"/>
    </xf>
    <xf numFmtId="4" fontId="39" fillId="0" borderId="168" xfId="0" applyNumberFormat="1" applyFont="1" applyBorder="1" applyAlignment="1">
      <alignment horizontal="center"/>
    </xf>
    <xf numFmtId="4" fontId="39" fillId="0" borderId="159" xfId="0" applyNumberFormat="1" applyFont="1" applyBorder="1" applyAlignment="1">
      <alignment horizontal="center"/>
    </xf>
    <xf numFmtId="4" fontId="39" fillId="0" borderId="169" xfId="0" applyNumberFormat="1" applyFont="1" applyBorder="1" applyAlignment="1">
      <alignment horizontal="center"/>
    </xf>
    <xf numFmtId="10" fontId="39" fillId="0" borderId="161" xfId="157" applyNumberFormat="1" applyFont="1" applyFill="1" applyBorder="1" applyAlignment="1">
      <alignment horizontal="center"/>
    </xf>
    <xf numFmtId="0" fontId="39" fillId="0" borderId="167" xfId="0" applyFont="1" applyBorder="1" applyAlignment="1">
      <alignment horizontal="left"/>
    </xf>
    <xf numFmtId="4" fontId="39" fillId="0" borderId="70" xfId="0" applyNumberFormat="1" applyFont="1" applyBorder="1" applyAlignment="1">
      <alignment horizontal="center"/>
    </xf>
    <xf numFmtId="4" fontId="39" fillId="0" borderId="93" xfId="0" applyNumberFormat="1" applyFont="1" applyBorder="1" applyAlignment="1">
      <alignment horizontal="center"/>
    </xf>
    <xf numFmtId="4" fontId="39" fillId="0" borderId="72" xfId="0" applyNumberFormat="1" applyFont="1" applyBorder="1" applyAlignment="1">
      <alignment horizontal="center"/>
    </xf>
    <xf numFmtId="4" fontId="39" fillId="0" borderId="186" xfId="0" applyNumberFormat="1" applyFont="1" applyBorder="1" applyAlignment="1">
      <alignment horizontal="center"/>
    </xf>
    <xf numFmtId="10" fontId="39" fillId="0" borderId="163" xfId="157" applyNumberFormat="1" applyFont="1" applyFill="1" applyBorder="1" applyAlignment="1">
      <alignment horizontal="center"/>
    </xf>
    <xf numFmtId="0" fontId="39" fillId="0" borderId="170" xfId="0" applyFont="1" applyBorder="1" applyAlignment="1">
      <alignment horizontal="left"/>
    </xf>
    <xf numFmtId="2" fontId="39" fillId="0" borderId="86" xfId="0" applyNumberFormat="1" applyFont="1" applyBorder="1" applyAlignment="1">
      <alignment horizontal="center"/>
    </xf>
    <xf numFmtId="2" fontId="39" fillId="0" borderId="94" xfId="0" applyNumberFormat="1" applyFont="1" applyBorder="1" applyAlignment="1">
      <alignment horizontal="center"/>
    </xf>
    <xf numFmtId="0" fontId="39" fillId="0" borderId="178" xfId="0" applyFont="1" applyBorder="1" applyAlignment="1">
      <alignment horizontal="center"/>
    </xf>
    <xf numFmtId="0" fontId="39" fillId="0" borderId="187" xfId="0" applyFont="1" applyBorder="1" applyAlignment="1">
      <alignment horizontal="left"/>
    </xf>
    <xf numFmtId="0" fontId="39" fillId="0" borderId="89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39" fillId="0" borderId="75" xfId="0" applyFont="1" applyBorder="1" applyAlignment="1">
      <alignment horizontal="center"/>
    </xf>
    <xf numFmtId="10" fontId="39" fillId="0" borderId="173" xfId="157" applyNumberFormat="1" applyFont="1" applyFill="1" applyBorder="1" applyAlignment="1">
      <alignment horizontal="center"/>
    </xf>
    <xf numFmtId="0" fontId="39" fillId="0" borderId="161" xfId="0" applyFont="1" applyFill="1" applyBorder="1" applyAlignment="1">
      <alignment/>
    </xf>
    <xf numFmtId="0" fontId="39" fillId="0" borderId="173" xfId="0" applyFont="1" applyFill="1" applyBorder="1" applyAlignment="1">
      <alignment/>
    </xf>
    <xf numFmtId="0" fontId="39" fillId="0" borderId="90" xfId="0" applyFont="1" applyFill="1" applyBorder="1" applyAlignment="1">
      <alignment/>
    </xf>
    <xf numFmtId="0" fontId="39" fillId="0" borderId="80" xfId="0" applyFont="1" applyFill="1" applyBorder="1" applyAlignment="1">
      <alignment/>
    </xf>
    <xf numFmtId="0" fontId="39" fillId="0" borderId="122" xfId="0" applyFont="1" applyFill="1" applyBorder="1" applyAlignment="1">
      <alignment/>
    </xf>
    <xf numFmtId="10" fontId="79" fillId="0" borderId="62" xfId="157" applyNumberFormat="1" applyFont="1" applyFill="1" applyBorder="1" applyAlignment="1">
      <alignment horizontal="center"/>
    </xf>
    <xf numFmtId="0" fontId="39" fillId="0" borderId="31" xfId="0" applyFont="1" applyFill="1" applyBorder="1" applyAlignment="1">
      <alignment horizontal="left" wrapText="1" indent="1"/>
    </xf>
    <xf numFmtId="0" fontId="39" fillId="0" borderId="72" xfId="0" applyFont="1" applyFill="1" applyBorder="1" applyAlignment="1">
      <alignment horizontal="left" wrapText="1" indent="1"/>
    </xf>
    <xf numFmtId="0" fontId="39" fillId="0" borderId="105" xfId="0" applyFont="1" applyFill="1" applyBorder="1" applyAlignment="1">
      <alignment/>
    </xf>
    <xf numFmtId="0" fontId="39" fillId="0" borderId="87" xfId="0" applyFont="1" applyFill="1" applyBorder="1" applyAlignment="1">
      <alignment/>
    </xf>
    <xf numFmtId="0" fontId="39" fillId="0" borderId="177" xfId="0" applyFont="1" applyFill="1" applyBorder="1" applyAlignment="1">
      <alignment/>
    </xf>
    <xf numFmtId="0" fontId="39" fillId="0" borderId="142" xfId="0" applyFont="1" applyFill="1" applyBorder="1" applyAlignment="1">
      <alignment/>
    </xf>
    <xf numFmtId="0" fontId="39" fillId="0" borderId="72" xfId="0" applyFont="1" applyFill="1" applyBorder="1" applyAlignment="1">
      <alignment/>
    </xf>
    <xf numFmtId="0" fontId="39" fillId="0" borderId="163" xfId="0" applyFont="1" applyFill="1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66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39" fillId="0" borderId="155" xfId="0" applyFont="1" applyFill="1" applyBorder="1" applyAlignment="1">
      <alignment horizontal="center" vertical="center"/>
    </xf>
    <xf numFmtId="0" fontId="39" fillId="0" borderId="13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9" fillId="0" borderId="6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142" xfId="0" applyFont="1" applyBorder="1" applyAlignment="1">
      <alignment horizontal="center" vertical="center"/>
    </xf>
    <xf numFmtId="0" fontId="39" fillId="0" borderId="152" xfId="0" applyFont="1" applyBorder="1" applyAlignment="1">
      <alignment horizontal="center" vertical="center"/>
    </xf>
    <xf numFmtId="0" fontId="39" fillId="0" borderId="154" xfId="0" applyFont="1" applyBorder="1" applyAlignment="1">
      <alignment horizontal="center" vertical="center"/>
    </xf>
    <xf numFmtId="0" fontId="39" fillId="0" borderId="153" xfId="0" applyFont="1" applyBorder="1" applyAlignment="1">
      <alignment horizontal="center" vertical="center"/>
    </xf>
    <xf numFmtId="0" fontId="39" fillId="0" borderId="151" xfId="0" applyFont="1" applyBorder="1" applyAlignment="1">
      <alignment horizontal="center" vertical="center"/>
    </xf>
    <xf numFmtId="10" fontId="39" fillId="0" borderId="151" xfId="157" applyNumberFormat="1" applyFont="1" applyFill="1" applyBorder="1" applyAlignment="1">
      <alignment horizontal="center"/>
    </xf>
    <xf numFmtId="10" fontId="39" fillId="0" borderId="142" xfId="157" applyNumberFormat="1" applyFont="1" applyFill="1" applyBorder="1" applyAlignment="1">
      <alignment horizontal="center"/>
    </xf>
    <xf numFmtId="0" fontId="91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4" fillId="0" borderId="0" xfId="145" applyFont="1">
      <alignment/>
      <protection/>
    </xf>
    <xf numFmtId="0" fontId="92" fillId="0" borderId="0" xfId="145" applyFont="1">
      <alignment/>
      <protection/>
    </xf>
    <xf numFmtId="0" fontId="4" fillId="0" borderId="0" xfId="145" applyFont="1" applyAlignment="1">
      <alignment horizontal="right"/>
      <protection/>
    </xf>
    <xf numFmtId="0" fontId="3" fillId="0" borderId="0" xfId="145" applyFont="1" applyAlignment="1">
      <alignment horizontal="left"/>
      <protection/>
    </xf>
    <xf numFmtId="0" fontId="1" fillId="0" borderId="0" xfId="145" applyFont="1" applyAlignment="1">
      <alignment horizontal="center"/>
      <protection/>
    </xf>
    <xf numFmtId="0" fontId="1" fillId="0" borderId="0" xfId="145" applyFont="1" applyAlignment="1">
      <alignment/>
      <protection/>
    </xf>
    <xf numFmtId="0" fontId="1" fillId="0" borderId="0" xfId="145" applyFont="1">
      <alignment/>
      <protection/>
    </xf>
    <xf numFmtId="0" fontId="1" fillId="0" borderId="0" xfId="145" applyFont="1" applyAlignment="1">
      <alignment horizontal="left"/>
      <protection/>
    </xf>
    <xf numFmtId="0" fontId="1" fillId="0" borderId="0" xfId="145" applyFont="1" applyAlignment="1">
      <alignment horizontal="centerContinuous"/>
      <protection/>
    </xf>
    <xf numFmtId="0" fontId="0" fillId="0" borderId="0" xfId="145" applyFont="1" applyAlignment="1">
      <alignment horizontal="centerContinuous"/>
      <protection/>
    </xf>
    <xf numFmtId="0" fontId="0" fillId="0" borderId="0" xfId="145" applyFont="1" applyAlignment="1">
      <alignment horizontal="right"/>
      <protection/>
    </xf>
    <xf numFmtId="0" fontId="0" fillId="0" borderId="188" xfId="145" applyFont="1" applyBorder="1" applyAlignment="1">
      <alignment horizontal="center"/>
      <protection/>
    </xf>
    <xf numFmtId="0" fontId="0" fillId="0" borderId="51" xfId="145" applyFont="1" applyBorder="1" applyAlignment="1">
      <alignment horizontal="center"/>
      <protection/>
    </xf>
    <xf numFmtId="0" fontId="0" fillId="0" borderId="52" xfId="145" applyFont="1" applyBorder="1" applyAlignment="1">
      <alignment horizontal="center"/>
      <protection/>
    </xf>
    <xf numFmtId="0" fontId="60" fillId="0" borderId="51" xfId="145" applyFont="1" applyFill="1" applyBorder="1" applyAlignment="1">
      <alignment horizontal="centerContinuous"/>
      <protection/>
    </xf>
    <xf numFmtId="0" fontId="0" fillId="0" borderId="52" xfId="145" applyFont="1" applyFill="1" applyBorder="1" applyAlignment="1">
      <alignment horizontal="centerContinuous"/>
      <protection/>
    </xf>
    <xf numFmtId="0" fontId="60" fillId="0" borderId="51" xfId="145" applyFont="1" applyBorder="1" applyAlignment="1">
      <alignment horizontal="centerContinuous"/>
      <protection/>
    </xf>
    <xf numFmtId="0" fontId="0" fillId="0" borderId="52" xfId="145" applyFont="1" applyBorder="1" applyAlignment="1">
      <alignment horizontal="centerContinuous"/>
      <protection/>
    </xf>
    <xf numFmtId="0" fontId="3" fillId="0" borderId="189" xfId="145" applyFont="1" applyBorder="1" applyAlignment="1">
      <alignment horizontal="center"/>
      <protection/>
    </xf>
    <xf numFmtId="0" fontId="31" fillId="0" borderId="0" xfId="145" applyFont="1" applyBorder="1" applyAlignment="1">
      <alignment horizontal="centerContinuous"/>
      <protection/>
    </xf>
    <xf numFmtId="0" fontId="0" fillId="0" borderId="48" xfId="145" applyFont="1" applyBorder="1" applyAlignment="1">
      <alignment horizontal="centerContinuous"/>
      <protection/>
    </xf>
    <xf numFmtId="0" fontId="60" fillId="0" borderId="125" xfId="145" applyFont="1" applyFill="1" applyBorder="1" applyAlignment="1">
      <alignment horizontal="centerContinuous"/>
      <protection/>
    </xf>
    <xf numFmtId="0" fontId="31" fillId="0" borderId="190" xfId="145" applyFont="1" applyFill="1" applyBorder="1" applyAlignment="1">
      <alignment horizontal="centerContinuous"/>
      <protection/>
    </xf>
    <xf numFmtId="0" fontId="60" fillId="0" borderId="125" xfId="145" applyFont="1" applyBorder="1" applyAlignment="1">
      <alignment horizontal="centerContinuous"/>
      <protection/>
    </xf>
    <xf numFmtId="0" fontId="0" fillId="0" borderId="190" xfId="145" applyFont="1" applyBorder="1" applyAlignment="1">
      <alignment horizontal="centerContinuous"/>
      <protection/>
    </xf>
    <xf numFmtId="0" fontId="0" fillId="0" borderId="189" xfId="145" applyFont="1" applyBorder="1" applyAlignment="1">
      <alignment horizontal="center"/>
      <protection/>
    </xf>
    <xf numFmtId="0" fontId="0" fillId="0" borderId="0" xfId="145" applyFont="1" applyBorder="1" applyAlignment="1">
      <alignment horizontal="center"/>
      <protection/>
    </xf>
    <xf numFmtId="0" fontId="0" fillId="0" borderId="48" xfId="145" applyFont="1" applyBorder="1" applyAlignment="1">
      <alignment horizontal="center"/>
      <protection/>
    </xf>
    <xf numFmtId="0" fontId="0" fillId="0" borderId="191" xfId="145" applyFont="1" applyBorder="1" applyAlignment="1">
      <alignment horizontal="center"/>
      <protection/>
    </xf>
    <xf numFmtId="0" fontId="0" fillId="0" borderId="192" xfId="145" applyFont="1" applyBorder="1" applyAlignment="1">
      <alignment horizontal="center"/>
      <protection/>
    </xf>
    <xf numFmtId="0" fontId="0" fillId="0" borderId="49" xfId="145" applyFont="1" applyBorder="1" applyAlignment="1">
      <alignment horizontal="center"/>
      <protection/>
    </xf>
    <xf numFmtId="0" fontId="0" fillId="0" borderId="57" xfId="145" applyFont="1" applyBorder="1" applyAlignment="1">
      <alignment horizontal="center"/>
      <protection/>
    </xf>
    <xf numFmtId="0" fontId="0" fillId="0" borderId="193" xfId="145" applyFont="1" applyBorder="1" applyAlignment="1">
      <alignment horizontal="center"/>
      <protection/>
    </xf>
    <xf numFmtId="0" fontId="0" fillId="0" borderId="45" xfId="145" applyFont="1" applyBorder="1" applyAlignment="1">
      <alignment horizontal="center"/>
      <protection/>
    </xf>
    <xf numFmtId="0" fontId="0" fillId="0" borderId="46" xfId="145" applyFont="1" applyBorder="1" applyAlignment="1">
      <alignment horizontal="center"/>
      <protection/>
    </xf>
    <xf numFmtId="0" fontId="0" fillId="0" borderId="54" xfId="145" applyFont="1" applyBorder="1" applyAlignment="1">
      <alignment horizontal="center"/>
      <protection/>
    </xf>
    <xf numFmtId="0" fontId="0" fillId="0" borderId="55" xfId="145" applyFont="1" applyBorder="1" applyAlignment="1">
      <alignment horizontal="center"/>
      <protection/>
    </xf>
    <xf numFmtId="0" fontId="0" fillId="0" borderId="50" xfId="145" applyFont="1" applyBorder="1" applyAlignment="1">
      <alignment horizontal="center"/>
      <protection/>
    </xf>
    <xf numFmtId="0" fontId="0" fillId="0" borderId="45" xfId="145" applyFont="1" applyBorder="1" applyAlignment="1">
      <alignment horizontal="centerContinuous"/>
      <protection/>
    </xf>
    <xf numFmtId="0" fontId="0" fillId="0" borderId="46" xfId="145" applyFont="1" applyBorder="1" applyAlignment="1">
      <alignment horizontal="centerContinuous"/>
      <protection/>
    </xf>
    <xf numFmtId="0" fontId="0" fillId="0" borderId="79" xfId="145" applyFont="1" applyBorder="1" applyAlignment="1">
      <alignment horizontal="center"/>
      <protection/>
    </xf>
    <xf numFmtId="0" fontId="0" fillId="0" borderId="194" xfId="145" applyFont="1" applyBorder="1" applyAlignment="1">
      <alignment horizontal="center"/>
      <protection/>
    </xf>
    <xf numFmtId="0" fontId="31" fillId="0" borderId="195" xfId="145" applyFont="1" applyBorder="1" applyAlignment="1">
      <alignment horizontal="left"/>
      <protection/>
    </xf>
    <xf numFmtId="0" fontId="0" fillId="0" borderId="190" xfId="145" applyFont="1" applyBorder="1" applyAlignment="1">
      <alignment horizontal="left"/>
      <protection/>
    </xf>
    <xf numFmtId="4" fontId="0" fillId="51" borderId="195" xfId="145" applyNumberFormat="1" applyFont="1" applyFill="1" applyBorder="1" applyAlignment="1">
      <alignment horizontal="right"/>
      <protection/>
    </xf>
    <xf numFmtId="4" fontId="0" fillId="51" borderId="27" xfId="145" applyNumberFormat="1" applyFont="1" applyFill="1" applyBorder="1" applyAlignment="1">
      <alignment horizontal="right"/>
      <protection/>
    </xf>
    <xf numFmtId="4" fontId="0" fillId="51" borderId="196" xfId="145" applyNumberFormat="1" applyFont="1" applyFill="1" applyBorder="1" applyAlignment="1">
      <alignment horizontal="right"/>
      <protection/>
    </xf>
    <xf numFmtId="4" fontId="0" fillId="51" borderId="53" xfId="145" applyNumberFormat="1" applyFont="1" applyFill="1" applyBorder="1" applyAlignment="1">
      <alignment horizontal="right"/>
      <protection/>
    </xf>
    <xf numFmtId="4" fontId="0" fillId="51" borderId="197" xfId="145" applyNumberFormat="1" applyFont="1" applyFill="1" applyBorder="1" applyAlignment="1">
      <alignment horizontal="right"/>
      <protection/>
    </xf>
    <xf numFmtId="0" fontId="0" fillId="0" borderId="194" xfId="145" applyFont="1" applyBorder="1" applyAlignment="1">
      <alignment horizontal="left"/>
      <protection/>
    </xf>
    <xf numFmtId="4" fontId="0" fillId="0" borderId="0" xfId="145" applyNumberFormat="1" applyFont="1" applyBorder="1" applyAlignment="1">
      <alignment horizontal="right"/>
      <protection/>
    </xf>
    <xf numFmtId="4" fontId="0" fillId="0" borderId="57" xfId="145" applyNumberFormat="1" applyFont="1" applyBorder="1" applyAlignment="1">
      <alignment horizontal="right"/>
      <protection/>
    </xf>
    <xf numFmtId="4" fontId="0" fillId="51" borderId="198" xfId="145" applyNumberFormat="1" applyFont="1" applyFill="1" applyBorder="1" applyAlignment="1">
      <alignment horizontal="right"/>
      <protection/>
    </xf>
    <xf numFmtId="0" fontId="0" fillId="0" borderId="199" xfId="145" applyFont="1" applyBorder="1" applyAlignment="1">
      <alignment horizontal="center"/>
      <protection/>
    </xf>
    <xf numFmtId="4" fontId="0" fillId="0" borderId="200" xfId="145" applyNumberFormat="1" applyFont="1" applyBorder="1" applyAlignment="1">
      <alignment horizontal="right"/>
      <protection/>
    </xf>
    <xf numFmtId="4" fontId="0" fillId="0" borderId="192" xfId="145" applyNumberFormat="1" applyFont="1" applyBorder="1" applyAlignment="1">
      <alignment horizontal="right"/>
      <protection/>
    </xf>
    <xf numFmtId="0" fontId="0" fillId="0" borderId="182" xfId="145" applyFont="1" applyBorder="1" applyAlignment="1">
      <alignment horizontal="center"/>
      <protection/>
    </xf>
    <xf numFmtId="0" fontId="0" fillId="0" borderId="201" xfId="145" applyFont="1" applyBorder="1" applyAlignment="1">
      <alignment horizontal="left"/>
      <protection/>
    </xf>
    <xf numFmtId="0" fontId="0" fillId="0" borderId="202" xfId="145" applyFont="1" applyBorder="1" applyAlignment="1">
      <alignment horizontal="left"/>
      <protection/>
    </xf>
    <xf numFmtId="4" fontId="0" fillId="0" borderId="133" xfId="145" applyNumberFormat="1" applyFont="1" applyBorder="1" applyAlignment="1">
      <alignment horizontal="right"/>
      <protection/>
    </xf>
    <xf numFmtId="4" fontId="0" fillId="0" borderId="39" xfId="145" applyNumberFormat="1" applyFont="1" applyBorder="1" applyAlignment="1">
      <alignment horizontal="right"/>
      <protection/>
    </xf>
    <xf numFmtId="4" fontId="0" fillId="51" borderId="202" xfId="145" applyNumberFormat="1" applyFont="1" applyFill="1" applyBorder="1" applyAlignment="1">
      <alignment horizontal="right"/>
      <protection/>
    </xf>
    <xf numFmtId="0" fontId="0" fillId="0" borderId="203" xfId="145" applyFont="1" applyBorder="1" applyAlignment="1">
      <alignment horizontal="center"/>
      <protection/>
    </xf>
    <xf numFmtId="0" fontId="0" fillId="0" borderId="183" xfId="145" applyFont="1" applyBorder="1" applyAlignment="1">
      <alignment horizontal="center"/>
      <protection/>
    </xf>
    <xf numFmtId="0" fontId="31" fillId="0" borderId="204" xfId="145" applyFont="1" applyBorder="1" applyAlignment="1">
      <alignment horizontal="left"/>
      <protection/>
    </xf>
    <xf numFmtId="0" fontId="0" fillId="0" borderId="183" xfId="145" applyFont="1" applyBorder="1" applyAlignment="1">
      <alignment horizontal="left"/>
      <protection/>
    </xf>
    <xf numFmtId="4" fontId="0" fillId="0" borderId="183" xfId="145" applyNumberFormat="1" applyFont="1" applyBorder="1" applyAlignment="1">
      <alignment horizontal="right"/>
      <protection/>
    </xf>
    <xf numFmtId="4" fontId="0" fillId="0" borderId="121" xfId="145" applyNumberFormat="1" applyFont="1" applyBorder="1" applyAlignment="1">
      <alignment horizontal="right"/>
      <protection/>
    </xf>
    <xf numFmtId="4" fontId="0" fillId="51" borderId="205" xfId="145" applyNumberFormat="1" applyFont="1" applyFill="1" applyBorder="1" applyAlignment="1">
      <alignment horizontal="right"/>
      <protection/>
    </xf>
    <xf numFmtId="4" fontId="0" fillId="0" borderId="79" xfId="145" applyNumberFormat="1" applyFont="1" applyBorder="1" applyAlignment="1">
      <alignment horizontal="right"/>
      <protection/>
    </xf>
    <xf numFmtId="0" fontId="0" fillId="0" borderId="205" xfId="145" applyFont="1" applyBorder="1" applyAlignment="1">
      <alignment horizontal="left"/>
      <protection/>
    </xf>
    <xf numFmtId="4" fontId="0" fillId="0" borderId="51" xfId="145" applyNumberFormat="1" applyFont="1" applyBorder="1" applyAlignment="1">
      <alignment horizontal="right"/>
      <protection/>
    </xf>
    <xf numFmtId="4" fontId="0" fillId="0" borderId="206" xfId="145" applyNumberFormat="1" applyFont="1" applyBorder="1" applyAlignment="1">
      <alignment horizontal="right"/>
      <protection/>
    </xf>
    <xf numFmtId="4" fontId="0" fillId="51" borderId="52" xfId="145" applyNumberFormat="1" applyFont="1" applyFill="1" applyBorder="1" applyAlignment="1">
      <alignment horizontal="right"/>
      <protection/>
    </xf>
    <xf numFmtId="4" fontId="0" fillId="0" borderId="207" xfId="145" applyNumberFormat="1" applyFont="1" applyBorder="1" applyAlignment="1">
      <alignment horizontal="right"/>
      <protection/>
    </xf>
    <xf numFmtId="0" fontId="0" fillId="0" borderId="208" xfId="145" applyFont="1" applyBorder="1" applyAlignment="1">
      <alignment horizontal="center"/>
      <protection/>
    </xf>
    <xf numFmtId="0" fontId="31" fillId="0" borderId="194" xfId="145" applyFont="1" applyBorder="1" applyAlignment="1">
      <alignment horizontal="left"/>
      <protection/>
    </xf>
    <xf numFmtId="4" fontId="0" fillId="51" borderId="58" xfId="145" applyNumberFormat="1" applyFont="1" applyFill="1" applyBorder="1" applyAlignment="1">
      <alignment horizontal="right"/>
      <protection/>
    </xf>
    <xf numFmtId="4" fontId="0" fillId="51" borderId="59" xfId="145" applyNumberFormat="1" applyFont="1" applyFill="1" applyBorder="1" applyAlignment="1">
      <alignment horizontal="right"/>
      <protection/>
    </xf>
    <xf numFmtId="16" fontId="0" fillId="0" borderId="209" xfId="145" applyNumberFormat="1" applyFont="1" applyBorder="1" applyAlignment="1">
      <alignment horizontal="center" vertical="center" wrapText="1"/>
      <protection/>
    </xf>
    <xf numFmtId="4" fontId="0" fillId="51" borderId="48" xfId="145" applyNumberFormat="1" applyFont="1" applyFill="1" applyBorder="1" applyAlignment="1">
      <alignment horizontal="right"/>
      <protection/>
    </xf>
    <xf numFmtId="4" fontId="0" fillId="0" borderId="49" xfId="145" applyNumberFormat="1" applyFont="1" applyBorder="1" applyAlignment="1">
      <alignment horizontal="right"/>
      <protection/>
    </xf>
    <xf numFmtId="16" fontId="0" fillId="0" borderId="182" xfId="145" applyNumberFormat="1" applyFont="1" applyBorder="1" applyAlignment="1">
      <alignment horizontal="center" vertical="center" wrapText="1"/>
      <protection/>
    </xf>
    <xf numFmtId="4" fontId="0" fillId="0" borderId="134" xfId="145" applyNumberFormat="1" applyFont="1" applyBorder="1" applyAlignment="1">
      <alignment horizontal="right"/>
      <protection/>
    </xf>
    <xf numFmtId="16" fontId="0" fillId="51" borderId="203" xfId="145" applyNumberFormat="1" applyFont="1" applyFill="1" applyBorder="1" applyAlignment="1">
      <alignment horizontal="center" vertical="center" wrapText="1"/>
      <protection/>
    </xf>
    <xf numFmtId="4" fontId="0" fillId="51" borderId="43" xfId="145" applyNumberFormat="1" applyFont="1" applyFill="1" applyBorder="1" applyAlignment="1">
      <alignment horizontal="right"/>
      <protection/>
    </xf>
    <xf numFmtId="4" fontId="0" fillId="51" borderId="206" xfId="145" applyNumberFormat="1" applyFont="1" applyFill="1" applyBorder="1" applyAlignment="1">
      <alignment horizontal="right"/>
      <protection/>
    </xf>
    <xf numFmtId="4" fontId="0" fillId="51" borderId="52" xfId="145" applyNumberFormat="1" applyFont="1" applyFill="1" applyBorder="1" applyAlignment="1">
      <alignment horizontal="right"/>
      <protection/>
    </xf>
    <xf numFmtId="4" fontId="0" fillId="51" borderId="210" xfId="145" applyNumberFormat="1" applyFont="1" applyFill="1" applyBorder="1" applyAlignment="1">
      <alignment horizontal="right"/>
      <protection/>
    </xf>
    <xf numFmtId="4" fontId="0" fillId="51" borderId="206" xfId="145" applyNumberFormat="1" applyFont="1" applyFill="1" applyBorder="1" applyAlignment="1">
      <alignment horizontal="right"/>
      <protection/>
    </xf>
    <xf numFmtId="16" fontId="0" fillId="0" borderId="22" xfId="145" applyNumberFormat="1" applyFont="1" applyBorder="1" applyAlignment="1">
      <alignment horizontal="center" vertical="center" wrapText="1"/>
      <protection/>
    </xf>
    <xf numFmtId="16" fontId="0" fillId="0" borderId="41" xfId="145" applyNumberFormat="1" applyFont="1" applyBorder="1" applyAlignment="1">
      <alignment horizontal="center" vertical="center" wrapText="1"/>
      <protection/>
    </xf>
    <xf numFmtId="16" fontId="0" fillId="0" borderId="0" xfId="145" applyNumberFormat="1" applyFont="1" applyBorder="1" applyAlignment="1">
      <alignment horizontal="center" vertical="center" wrapText="1"/>
      <protection/>
    </xf>
    <xf numFmtId="4" fontId="93" fillId="0" borderId="0" xfId="146" applyNumberFormat="1" applyFont="1" applyBorder="1">
      <alignment/>
      <protection/>
    </xf>
    <xf numFmtId="0" fontId="0" fillId="0" borderId="0" xfId="145" applyFont="1" applyBorder="1" applyAlignment="1">
      <alignment horizontal="left" wrapText="1"/>
      <protection/>
    </xf>
    <xf numFmtId="0" fontId="0" fillId="0" borderId="0" xfId="145" applyFont="1" applyBorder="1">
      <alignment/>
      <protection/>
    </xf>
    <xf numFmtId="4" fontId="0" fillId="0" borderId="0" xfId="145" applyNumberFormat="1" applyFont="1" applyBorder="1">
      <alignment/>
      <protection/>
    </xf>
    <xf numFmtId="0" fontId="94" fillId="0" borderId="0" xfId="145" applyFont="1" applyBorder="1">
      <alignment/>
      <protection/>
    </xf>
    <xf numFmtId="0" fontId="3" fillId="0" borderId="0" xfId="145" applyFont="1" applyAlignment="1">
      <alignment/>
      <protection/>
    </xf>
    <xf numFmtId="0" fontId="3" fillId="0" borderId="0" xfId="145" applyFont="1">
      <alignment/>
      <protection/>
    </xf>
    <xf numFmtId="0" fontId="3" fillId="0" borderId="0" xfId="145" applyFont="1" applyAlignment="1">
      <alignment horizontal="centerContinuous"/>
      <protection/>
    </xf>
    <xf numFmtId="0" fontId="0" fillId="0" borderId="200" xfId="145" applyFont="1" applyBorder="1" applyAlignment="1">
      <alignment horizontal="left"/>
      <protection/>
    </xf>
    <xf numFmtId="0" fontId="0" fillId="0" borderId="197" xfId="145" applyFont="1" applyBorder="1" applyAlignment="1">
      <alignment horizontal="centerContinuous"/>
      <protection/>
    </xf>
    <xf numFmtId="4" fontId="0" fillId="0" borderId="211" xfId="145" applyNumberFormat="1" applyFont="1" applyBorder="1" applyAlignment="1">
      <alignment horizontal="right"/>
      <protection/>
    </xf>
    <xf numFmtId="0" fontId="0" fillId="0" borderId="130" xfId="145" applyFont="1" applyBorder="1">
      <alignment/>
      <protection/>
    </xf>
    <xf numFmtId="0" fontId="0" fillId="0" borderId="198" xfId="145" applyFont="1" applyBorder="1" applyAlignment="1">
      <alignment horizontal="center"/>
      <protection/>
    </xf>
    <xf numFmtId="4" fontId="0" fillId="0" borderId="131" xfId="145" applyNumberFormat="1" applyFont="1" applyBorder="1" applyAlignment="1">
      <alignment horizontal="right"/>
      <protection/>
    </xf>
    <xf numFmtId="4" fontId="0" fillId="0" borderId="16" xfId="145" applyNumberFormat="1" applyFont="1" applyBorder="1" applyAlignment="1">
      <alignment horizontal="right"/>
      <protection/>
    </xf>
    <xf numFmtId="0" fontId="0" fillId="0" borderId="185" xfId="145" applyFont="1" applyBorder="1" applyAlignment="1">
      <alignment horizontal="left"/>
      <protection/>
    </xf>
    <xf numFmtId="0" fontId="0" fillId="0" borderId="197" xfId="145" applyFont="1" applyBorder="1" applyAlignment="1">
      <alignment horizontal="center"/>
      <protection/>
    </xf>
    <xf numFmtId="0" fontId="0" fillId="0" borderId="200" xfId="145" applyFont="1" applyBorder="1">
      <alignment/>
      <protection/>
    </xf>
    <xf numFmtId="0" fontId="0" fillId="51" borderId="183" xfId="145" applyFont="1" applyFill="1" applyBorder="1" applyAlignment="1">
      <alignment horizontal="center"/>
      <protection/>
    </xf>
    <xf numFmtId="0" fontId="31" fillId="51" borderId="120" xfId="145" applyFont="1" applyFill="1" applyBorder="1">
      <alignment/>
      <protection/>
    </xf>
    <xf numFmtId="0" fontId="31" fillId="51" borderId="205" xfId="145" applyFont="1" applyFill="1" applyBorder="1" applyAlignment="1">
      <alignment horizontal="center"/>
      <protection/>
    </xf>
    <xf numFmtId="4" fontId="0" fillId="51" borderId="121" xfId="145" applyNumberFormat="1" applyFont="1" applyFill="1" applyBorder="1" applyAlignment="1">
      <alignment horizontal="right"/>
      <protection/>
    </xf>
    <xf numFmtId="4" fontId="0" fillId="51" borderId="79" xfId="145" applyNumberFormat="1" applyFont="1" applyFill="1" applyBorder="1" applyAlignment="1">
      <alignment horizontal="right"/>
      <protection/>
    </xf>
    <xf numFmtId="4" fontId="95" fillId="0" borderId="22" xfId="145" applyNumberFormat="1" applyFont="1" applyBorder="1">
      <alignment/>
      <protection/>
    </xf>
    <xf numFmtId="4" fontId="95" fillId="0" borderId="22" xfId="146" applyNumberFormat="1" applyFont="1" applyBorder="1">
      <alignment/>
      <protection/>
    </xf>
    <xf numFmtId="4" fontId="95" fillId="0" borderId="41" xfId="146" applyNumberFormat="1" applyFont="1" applyBorder="1">
      <alignment/>
      <protection/>
    </xf>
    <xf numFmtId="0" fontId="0" fillId="0" borderId="120" xfId="145" applyFont="1" applyBorder="1" applyAlignment="1">
      <alignment horizontal="centerContinuous"/>
      <protection/>
    </xf>
    <xf numFmtId="0" fontId="0" fillId="0" borderId="205" xfId="145" applyFont="1" applyBorder="1" applyAlignment="1">
      <alignment horizontal="centerContinuous"/>
      <protection/>
    </xf>
    <xf numFmtId="0" fontId="0" fillId="0" borderId="121" xfId="145" applyFont="1" applyBorder="1" applyAlignment="1">
      <alignment horizontal="center"/>
      <protection/>
    </xf>
    <xf numFmtId="0" fontId="0" fillId="0" borderId="205" xfId="145" applyFont="1" applyBorder="1" applyAlignment="1">
      <alignment horizontal="center"/>
      <protection/>
    </xf>
    <xf numFmtId="0" fontId="57" fillId="0" borderId="194" xfId="145" applyFont="1" applyBorder="1" applyAlignment="1">
      <alignment horizontal="left"/>
      <protection/>
    </xf>
    <xf numFmtId="0" fontId="57" fillId="0" borderId="190" xfId="145" applyFont="1" applyBorder="1" applyAlignment="1">
      <alignment horizontal="centerContinuous"/>
      <protection/>
    </xf>
    <xf numFmtId="4" fontId="0" fillId="51" borderId="126" xfId="145" applyNumberFormat="1" applyFont="1" applyFill="1" applyBorder="1" applyAlignment="1">
      <alignment horizontal="right"/>
      <protection/>
    </xf>
    <xf numFmtId="4" fontId="0" fillId="51" borderId="127" xfId="145" applyNumberFormat="1" applyFont="1" applyFill="1" applyBorder="1" applyAlignment="1">
      <alignment horizontal="right"/>
      <protection/>
    </xf>
    <xf numFmtId="4" fontId="0" fillId="51" borderId="190" xfId="145" applyNumberFormat="1" applyFont="1" applyFill="1" applyBorder="1" applyAlignment="1">
      <alignment horizontal="right"/>
      <protection/>
    </xf>
    <xf numFmtId="4" fontId="0" fillId="51" borderId="50" xfId="145" applyNumberFormat="1" applyFont="1" applyFill="1" applyBorder="1" applyAlignment="1">
      <alignment horizontal="right"/>
      <protection/>
    </xf>
    <xf numFmtId="4" fontId="0" fillId="51" borderId="55" xfId="145" applyNumberFormat="1" applyFont="1" applyFill="1" applyBorder="1" applyAlignment="1">
      <alignment horizontal="right"/>
      <protection/>
    </xf>
    <xf numFmtId="4" fontId="0" fillId="51" borderId="46" xfId="145" applyNumberFormat="1" applyFont="1" applyFill="1" applyBorder="1" applyAlignment="1">
      <alignment horizontal="right"/>
      <protection/>
    </xf>
    <xf numFmtId="0" fontId="57" fillId="0" borderId="130" xfId="145" applyFont="1" applyBorder="1" applyAlignment="1">
      <alignment horizontal="left"/>
      <protection/>
    </xf>
    <xf numFmtId="0" fontId="57" fillId="0" borderId="198" xfId="145" applyFont="1" applyBorder="1" applyAlignment="1">
      <alignment horizontal="centerContinuous"/>
      <protection/>
    </xf>
    <xf numFmtId="4" fontId="0" fillId="0" borderId="50" xfId="145" applyNumberFormat="1" applyFont="1" applyBorder="1" applyAlignment="1">
      <alignment horizontal="right"/>
      <protection/>
    </xf>
    <xf numFmtId="4" fontId="0" fillId="0" borderId="55" xfId="145" applyNumberFormat="1" applyFont="1" applyBorder="1" applyAlignment="1">
      <alignment horizontal="right"/>
      <protection/>
    </xf>
    <xf numFmtId="0" fontId="0" fillId="0" borderId="0" xfId="145" applyFont="1" applyBorder="1" applyAlignment="1">
      <alignment horizontal="left"/>
      <protection/>
    </xf>
    <xf numFmtId="0" fontId="0" fillId="0" borderId="0" xfId="145" applyFont="1" applyBorder="1" applyAlignment="1">
      <alignment horizontal="centerContinuous" wrapText="1"/>
      <protection/>
    </xf>
    <xf numFmtId="0" fontId="57" fillId="0" borderId="120" xfId="145" applyFont="1" applyBorder="1" applyAlignment="1">
      <alignment horizontal="left"/>
      <protection/>
    </xf>
    <xf numFmtId="0" fontId="57" fillId="0" borderId="205" xfId="145" applyFont="1" applyBorder="1" applyAlignment="1">
      <alignment horizontal="centerContinuous"/>
      <protection/>
    </xf>
    <xf numFmtId="0" fontId="0" fillId="0" borderId="0" xfId="145" applyFont="1" applyAlignment="1">
      <alignment horizontal="left"/>
      <protection/>
    </xf>
    <xf numFmtId="0" fontId="60" fillId="0" borderId="43" xfId="145" applyFont="1" applyBorder="1" applyAlignment="1">
      <alignment horizontal="centerContinuous"/>
      <protection/>
    </xf>
    <xf numFmtId="0" fontId="0" fillId="0" borderId="194" xfId="145" applyFont="1" applyBorder="1">
      <alignment/>
      <protection/>
    </xf>
    <xf numFmtId="0" fontId="60" fillId="0" borderId="125" xfId="145" applyFont="1" applyFill="1" applyBorder="1" applyAlignment="1">
      <alignment horizontal="left"/>
      <protection/>
    </xf>
    <xf numFmtId="0" fontId="0" fillId="0" borderId="190" xfId="145" applyFont="1" applyBorder="1">
      <alignment/>
      <protection/>
    </xf>
    <xf numFmtId="0" fontId="0" fillId="0" borderId="56" xfId="145" applyFont="1" applyBorder="1" applyAlignment="1">
      <alignment horizontal="center"/>
      <protection/>
    </xf>
    <xf numFmtId="0" fontId="0" fillId="0" borderId="77" xfId="145" applyFont="1" applyBorder="1" applyAlignment="1">
      <alignment horizontal="center"/>
      <protection/>
    </xf>
    <xf numFmtId="4" fontId="0" fillId="0" borderId="191" xfId="145" applyNumberFormat="1" applyFont="1" applyBorder="1" applyAlignment="1">
      <alignment horizontal="right"/>
      <protection/>
    </xf>
    <xf numFmtId="4" fontId="0" fillId="51" borderId="62" xfId="145" applyNumberFormat="1" applyFont="1" applyFill="1" applyBorder="1" applyAlignment="1">
      <alignment horizontal="right"/>
      <protection/>
    </xf>
    <xf numFmtId="0" fontId="57" fillId="0" borderId="198" xfId="145" applyFont="1" applyBorder="1" applyAlignment="1">
      <alignment horizontal="left"/>
      <protection/>
    </xf>
    <xf numFmtId="4" fontId="0" fillId="51" borderId="24" xfId="145" applyNumberFormat="1" applyFont="1" applyFill="1" applyBorder="1" applyAlignment="1">
      <alignment horizontal="right"/>
      <protection/>
    </xf>
    <xf numFmtId="4" fontId="0" fillId="51" borderId="212" xfId="145" applyNumberFormat="1" applyFont="1" applyFill="1" applyBorder="1" applyAlignment="1">
      <alignment horizontal="right"/>
      <protection/>
    </xf>
    <xf numFmtId="0" fontId="0" fillId="0" borderId="133" xfId="145" applyFont="1" applyBorder="1">
      <alignment/>
      <protection/>
    </xf>
    <xf numFmtId="0" fontId="0" fillId="0" borderId="202" xfId="145" applyFont="1" applyBorder="1" applyAlignment="1">
      <alignment horizontal="center"/>
      <protection/>
    </xf>
    <xf numFmtId="4" fontId="0" fillId="51" borderId="134" xfId="145" applyNumberFormat="1" applyFont="1" applyFill="1" applyBorder="1" applyAlignment="1">
      <alignment horizontal="right"/>
      <protection/>
    </xf>
    <xf numFmtId="4" fontId="0" fillId="51" borderId="39" xfId="145" applyNumberFormat="1" applyFont="1" applyFill="1" applyBorder="1" applyAlignment="1">
      <alignment horizontal="right"/>
      <protection/>
    </xf>
    <xf numFmtId="4" fontId="0" fillId="51" borderId="41" xfId="145" applyNumberFormat="1" applyFont="1" applyFill="1" applyBorder="1" applyAlignment="1">
      <alignment horizontal="right"/>
      <protection/>
    </xf>
    <xf numFmtId="4" fontId="0" fillId="51" borderId="136" xfId="145" applyNumberFormat="1" applyFont="1" applyFill="1" applyBorder="1" applyAlignment="1">
      <alignment horizontal="right"/>
      <protection/>
    </xf>
    <xf numFmtId="0" fontId="60" fillId="0" borderId="0" xfId="145" applyFont="1" applyBorder="1" applyAlignment="1" applyProtection="1">
      <alignment horizontal="left"/>
      <protection locked="0"/>
    </xf>
    <xf numFmtId="0" fontId="94" fillId="0" borderId="0" xfId="145" applyFont="1">
      <alignment/>
      <protection/>
    </xf>
    <xf numFmtId="0" fontId="34" fillId="0" borderId="0" xfId="145" applyFont="1">
      <alignment/>
      <protection/>
    </xf>
    <xf numFmtId="0" fontId="3" fillId="0" borderId="0" xfId="145" applyFont="1" applyBorder="1" applyAlignment="1">
      <alignment horizontal="left"/>
      <protection/>
    </xf>
    <xf numFmtId="0" fontId="3" fillId="0" borderId="0" xfId="145" applyFont="1" applyBorder="1" applyAlignment="1">
      <alignment horizontal="center"/>
      <protection/>
    </xf>
    <xf numFmtId="0" fontId="3" fillId="0" borderId="0" xfId="145" applyFont="1" applyBorder="1">
      <alignment/>
      <protection/>
    </xf>
    <xf numFmtId="0" fontId="57" fillId="0" borderId="0" xfId="145" applyFont="1">
      <alignment/>
      <protection/>
    </xf>
    <xf numFmtId="0" fontId="7" fillId="0" borderId="0" xfId="145" applyFont="1">
      <alignment/>
      <protection/>
    </xf>
    <xf numFmtId="0" fontId="86" fillId="0" borderId="0" xfId="148" applyFont="1" applyFill="1" applyBorder="1">
      <alignment/>
      <protection/>
    </xf>
    <xf numFmtId="0" fontId="32" fillId="0" borderId="0" xfId="145" applyFont="1" applyAlignment="1">
      <alignment horizontal="right"/>
      <protection/>
    </xf>
    <xf numFmtId="16" fontId="0" fillId="0" borderId="22" xfId="145" applyNumberFormat="1" applyFont="1" applyFill="1" applyBorder="1" applyAlignment="1">
      <alignment horizontal="center" vertical="center" wrapText="1"/>
      <protection/>
    </xf>
    <xf numFmtId="4" fontId="3" fillId="0" borderId="22" xfId="145" applyNumberFormat="1" applyFont="1" applyFill="1" applyBorder="1">
      <alignment/>
      <protection/>
    </xf>
    <xf numFmtId="4" fontId="0" fillId="0" borderId="22" xfId="145" applyNumberFormat="1" applyFont="1" applyFill="1" applyBorder="1">
      <alignment/>
      <protection/>
    </xf>
    <xf numFmtId="4" fontId="93" fillId="0" borderId="22" xfId="145" applyNumberFormat="1" applyFont="1" applyFill="1" applyBorder="1">
      <alignment/>
      <protection/>
    </xf>
    <xf numFmtId="0" fontId="0" fillId="0" borderId="0" xfId="145" applyFont="1" applyFill="1">
      <alignment/>
      <protection/>
    </xf>
    <xf numFmtId="4" fontId="93" fillId="0" borderId="22" xfId="146" applyNumberFormat="1" applyFont="1" applyFill="1" applyBorder="1">
      <alignment/>
      <protection/>
    </xf>
    <xf numFmtId="16" fontId="0" fillId="0" borderId="41" xfId="145" applyNumberFormat="1" applyFont="1" applyFill="1" applyBorder="1" applyAlignment="1">
      <alignment horizontal="center" vertical="center" wrapText="1"/>
      <protection/>
    </xf>
    <xf numFmtId="4" fontId="93" fillId="0" borderId="41" xfId="146" applyNumberFormat="1" applyFont="1" applyFill="1" applyBorder="1">
      <alignment/>
      <protection/>
    </xf>
    <xf numFmtId="0" fontId="76" fillId="0" borderId="129" xfId="145" applyFont="1" applyFill="1" applyBorder="1" applyAlignment="1">
      <alignment wrapText="1"/>
      <protection/>
    </xf>
    <xf numFmtId="0" fontId="76" fillId="0" borderId="130" xfId="145" applyFont="1" applyFill="1" applyBorder="1" applyAlignment="1">
      <alignment wrapText="1"/>
      <protection/>
    </xf>
    <xf numFmtId="0" fontId="76" fillId="0" borderId="16" xfId="145" applyFont="1" applyFill="1" applyBorder="1" applyAlignment="1">
      <alignment horizontal="center"/>
      <protection/>
    </xf>
    <xf numFmtId="0" fontId="76" fillId="0" borderId="24" xfId="145" applyFont="1" applyFill="1" applyBorder="1" applyAlignment="1">
      <alignment horizontal="center"/>
      <protection/>
    </xf>
    <xf numFmtId="0" fontId="76" fillId="0" borderId="129" xfId="145" applyFont="1" applyFill="1" applyBorder="1">
      <alignment/>
      <protection/>
    </xf>
    <xf numFmtId="0" fontId="76" fillId="0" borderId="130" xfId="145" applyFont="1" applyFill="1" applyBorder="1">
      <alignment/>
      <protection/>
    </xf>
    <xf numFmtId="0" fontId="76" fillId="0" borderId="16" xfId="145" applyFont="1" applyFill="1" applyBorder="1" applyAlignment="1">
      <alignment horizontal="center" wrapText="1"/>
      <protection/>
    </xf>
    <xf numFmtId="0" fontId="76" fillId="0" borderId="24" xfId="145" applyFont="1" applyFill="1" applyBorder="1" applyAlignment="1">
      <alignment horizontal="center" wrapText="1"/>
      <protection/>
    </xf>
    <xf numFmtId="0" fontId="76" fillId="0" borderId="133" xfId="145" applyFont="1" applyFill="1" applyBorder="1">
      <alignment/>
      <protection/>
    </xf>
    <xf numFmtId="0" fontId="76" fillId="0" borderId="39" xfId="145" applyFont="1" applyFill="1" applyBorder="1" applyAlignment="1">
      <alignment horizontal="center" wrapText="1"/>
      <protection/>
    </xf>
    <xf numFmtId="0" fontId="76" fillId="0" borderId="136" xfId="145" applyFont="1" applyFill="1" applyBorder="1" applyAlignment="1">
      <alignment horizontal="center" wrapText="1"/>
      <protection/>
    </xf>
    <xf numFmtId="0" fontId="76" fillId="0" borderId="129" xfId="145" applyFont="1" applyBorder="1" applyAlignment="1">
      <alignment wrapText="1"/>
      <protection/>
    </xf>
    <xf numFmtId="0" fontId="76" fillId="0" borderId="130" xfId="145" applyFont="1" applyBorder="1" applyAlignment="1">
      <alignment wrapText="1"/>
      <protection/>
    </xf>
    <xf numFmtId="0" fontId="76" fillId="0" borderId="16" xfId="145" applyFont="1" applyBorder="1" applyAlignment="1">
      <alignment horizontal="center"/>
      <protection/>
    </xf>
    <xf numFmtId="0" fontId="76" fillId="0" borderId="24" xfId="145" applyFont="1" applyBorder="1" applyAlignment="1">
      <alignment horizontal="center"/>
      <protection/>
    </xf>
    <xf numFmtId="0" fontId="76" fillId="0" borderId="129" xfId="145" applyFont="1" applyBorder="1">
      <alignment/>
      <protection/>
    </xf>
    <xf numFmtId="0" fontId="76" fillId="0" borderId="130" xfId="145" applyFont="1" applyBorder="1">
      <alignment/>
      <protection/>
    </xf>
    <xf numFmtId="0" fontId="76" fillId="0" borderId="16" xfId="145" applyFont="1" applyBorder="1" applyAlignment="1">
      <alignment horizontal="center" wrapText="1"/>
      <protection/>
    </xf>
    <xf numFmtId="0" fontId="76" fillId="0" borderId="24" xfId="145" applyFont="1" applyBorder="1" applyAlignment="1">
      <alignment horizontal="center" wrapText="1"/>
      <protection/>
    </xf>
    <xf numFmtId="0" fontId="76" fillId="0" borderId="133" xfId="145" applyFont="1" applyBorder="1">
      <alignment/>
      <protection/>
    </xf>
    <xf numFmtId="0" fontId="76" fillId="0" borderId="39" xfId="145" applyFont="1" applyBorder="1" applyAlignment="1">
      <alignment horizontal="center" wrapText="1"/>
      <protection/>
    </xf>
    <xf numFmtId="0" fontId="76" fillId="0" borderId="136" xfId="145" applyFont="1" applyBorder="1" applyAlignment="1">
      <alignment horizontal="center" wrapText="1"/>
      <protection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39" fillId="0" borderId="0" xfId="150" applyFont="1" applyFill="1">
      <alignment/>
      <protection/>
    </xf>
    <xf numFmtId="0" fontId="39" fillId="0" borderId="0" xfId="135" applyFont="1" applyFill="1">
      <alignment/>
      <protection/>
    </xf>
    <xf numFmtId="0" fontId="7" fillId="0" borderId="0" xfId="0" applyFont="1" applyFill="1" applyAlignment="1">
      <alignment horizontal="left"/>
    </xf>
    <xf numFmtId="0" fontId="96" fillId="0" borderId="0" xfId="0" applyFont="1" applyFill="1" applyAlignment="1">
      <alignment/>
    </xf>
    <xf numFmtId="166" fontId="49" fillId="0" borderId="100" xfId="141" applyNumberFormat="1" applyFont="1" applyFill="1" applyBorder="1" applyAlignment="1">
      <alignment horizontal="left" vertical="center" wrapText="1"/>
      <protection/>
    </xf>
    <xf numFmtId="166" fontId="49" fillId="0" borderId="100" xfId="141" applyNumberFormat="1" applyFont="1" applyFill="1" applyBorder="1" applyAlignment="1">
      <alignment horizontal="center" vertical="center" wrapText="1"/>
      <protection/>
    </xf>
    <xf numFmtId="166" fontId="49" fillId="0" borderId="100" xfId="141" applyNumberFormat="1" applyFont="1" applyFill="1" applyBorder="1" applyAlignment="1">
      <alignment horizontal="right" vertical="center" wrapText="1"/>
      <protection/>
    </xf>
    <xf numFmtId="49" fontId="73" fillId="0" borderId="100" xfId="141" applyNumberFormat="1" applyFont="1" applyFill="1" applyBorder="1" applyAlignment="1">
      <alignment horizontal="left" vertical="center" wrapText="1"/>
      <protection/>
    </xf>
    <xf numFmtId="49" fontId="73" fillId="0" borderId="100" xfId="141" applyNumberFormat="1" applyFont="1" applyFill="1" applyBorder="1" applyAlignment="1">
      <alignment horizontal="center" vertical="center" wrapText="1"/>
      <protection/>
    </xf>
    <xf numFmtId="0" fontId="97" fillId="0" borderId="0" xfId="141" applyFont="1" applyFill="1">
      <alignment/>
      <protection/>
    </xf>
    <xf numFmtId="166" fontId="72" fillId="0" borderId="100" xfId="141" applyNumberFormat="1" applyFont="1" applyFill="1" applyBorder="1" applyAlignment="1">
      <alignment horizontal="right" vertical="center" wrapText="1"/>
      <protection/>
    </xf>
    <xf numFmtId="49" fontId="72" fillId="0" borderId="100" xfId="141" applyNumberFormat="1" applyFont="1" applyFill="1" applyBorder="1" applyAlignment="1">
      <alignment horizontal="right" vertical="center" wrapText="1"/>
      <protection/>
    </xf>
    <xf numFmtId="0" fontId="0" fillId="53" borderId="0" xfId="145" applyFont="1" applyFill="1">
      <alignment/>
      <protection/>
    </xf>
    <xf numFmtId="49" fontId="88" fillId="0" borderId="143" xfId="0" applyNumberFormat="1" applyFont="1" applyFill="1" applyBorder="1" applyAlignment="1">
      <alignment horizontal="left" indent="1"/>
    </xf>
    <xf numFmtId="4" fontId="85" fillId="0" borderId="35" xfId="0" applyNumberFormat="1" applyFont="1" applyFill="1" applyBorder="1" applyAlignment="1">
      <alignment horizontal="right" indent="1"/>
    </xf>
    <xf numFmtId="4" fontId="85" fillId="0" borderId="153" xfId="0" applyNumberFormat="1" applyFont="1" applyFill="1" applyBorder="1" applyAlignment="1">
      <alignment horizontal="right" indent="1"/>
    </xf>
    <xf numFmtId="4" fontId="85" fillId="0" borderId="151" xfId="0" applyNumberFormat="1" applyFont="1" applyFill="1" applyBorder="1" applyAlignment="1">
      <alignment horizontal="right" indent="1"/>
    </xf>
    <xf numFmtId="10" fontId="85" fillId="0" borderId="153" xfId="157" applyNumberFormat="1" applyFont="1" applyFill="1" applyBorder="1" applyAlignment="1">
      <alignment horizontal="center"/>
    </xf>
    <xf numFmtId="10" fontId="85" fillId="0" borderId="143" xfId="157" applyNumberFormat="1" applyFont="1" applyFill="1" applyBorder="1" applyAlignment="1">
      <alignment horizontal="center"/>
    </xf>
    <xf numFmtId="49" fontId="88" fillId="0" borderId="151" xfId="0" applyNumberFormat="1" applyFont="1" applyFill="1" applyBorder="1" applyAlignment="1">
      <alignment horizontal="left" indent="1"/>
    </xf>
    <xf numFmtId="4" fontId="85" fillId="0" borderId="152" xfId="0" applyNumberFormat="1" applyFont="1" applyFill="1" applyBorder="1" applyAlignment="1">
      <alignment horizontal="right" indent="1"/>
    </xf>
    <xf numFmtId="0" fontId="87" fillId="0" borderId="107" xfId="0" applyFont="1" applyFill="1" applyBorder="1" applyAlignment="1">
      <alignment horizontal="left" indent="1"/>
    </xf>
    <xf numFmtId="4" fontId="87" fillId="0" borderId="41" xfId="0" applyNumberFormat="1" applyFont="1" applyFill="1" applyBorder="1" applyAlignment="1">
      <alignment horizontal="right" indent="1"/>
    </xf>
    <xf numFmtId="4" fontId="87" fillId="0" borderId="39" xfId="0" applyNumberFormat="1" applyFont="1" applyFill="1" applyBorder="1" applyAlignment="1">
      <alignment horizontal="right" indent="1"/>
    </xf>
    <xf numFmtId="10" fontId="87" fillId="0" borderId="39" xfId="157" applyNumberFormat="1" applyFont="1" applyFill="1" applyBorder="1" applyAlignment="1">
      <alignment horizontal="center"/>
    </xf>
    <xf numFmtId="10" fontId="87" fillId="0" borderId="136" xfId="157" applyNumberFormat="1" applyFont="1" applyFill="1" applyBorder="1" applyAlignment="1">
      <alignment horizontal="center"/>
    </xf>
    <xf numFmtId="4" fontId="85" fillId="0" borderId="164" xfId="0" applyNumberFormat="1" applyFont="1" applyFill="1" applyBorder="1" applyAlignment="1">
      <alignment horizontal="right" indent="1"/>
    </xf>
    <xf numFmtId="4" fontId="85" fillId="0" borderId="213" xfId="0" applyNumberFormat="1" applyFont="1" applyFill="1" applyBorder="1" applyAlignment="1">
      <alignment horizontal="right" indent="1"/>
    </xf>
    <xf numFmtId="4" fontId="87" fillId="0" borderId="136" xfId="0" applyNumberFormat="1" applyFont="1" applyFill="1" applyBorder="1" applyAlignment="1">
      <alignment horizontal="right" indent="1"/>
    </xf>
    <xf numFmtId="4" fontId="87" fillId="0" borderId="166" xfId="0" applyNumberFormat="1" applyFont="1" applyFill="1" applyBorder="1" applyAlignment="1">
      <alignment horizontal="right" indent="1"/>
    </xf>
    <xf numFmtId="4" fontId="87" fillId="0" borderId="42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/>
    </xf>
    <xf numFmtId="0" fontId="87" fillId="0" borderId="136" xfId="0" applyFont="1" applyFill="1" applyBorder="1" applyAlignment="1">
      <alignment horizontal="left" indent="1"/>
    </xf>
    <xf numFmtId="10" fontId="87" fillId="0" borderId="32" xfId="157" applyNumberFormat="1" applyFont="1" applyFill="1" applyBorder="1" applyAlignment="1">
      <alignment horizontal="center"/>
    </xf>
    <xf numFmtId="10" fontId="87" fillId="0" borderId="140" xfId="157" applyNumberFormat="1" applyFont="1" applyFill="1" applyBorder="1" applyAlignment="1">
      <alignment horizontal="center"/>
    </xf>
    <xf numFmtId="14" fontId="96" fillId="0" borderId="0" xfId="0" applyNumberFormat="1" applyFont="1" applyFill="1" applyAlignment="1">
      <alignment/>
    </xf>
    <xf numFmtId="0" fontId="39" fillId="0" borderId="0" xfId="149" applyFont="1">
      <alignment/>
      <protection/>
    </xf>
    <xf numFmtId="0" fontId="98" fillId="0" borderId="0" xfId="0" applyFont="1" applyFill="1" applyAlignment="1">
      <alignment/>
    </xf>
    <xf numFmtId="4" fontId="39" fillId="0" borderId="0" xfId="135" applyNumberFormat="1" applyFont="1" applyFill="1">
      <alignment/>
      <protection/>
    </xf>
    <xf numFmtId="0" fontId="39" fillId="0" borderId="0" xfId="135" applyFont="1" applyFill="1" applyAlignment="1">
      <alignment horizontal="center" vertical="center"/>
      <protection/>
    </xf>
    <xf numFmtId="0" fontId="79" fillId="0" borderId="0" xfId="135" applyFont="1" applyFill="1" applyBorder="1" applyAlignment="1">
      <alignment horizontal="center" vertical="center" wrapText="1"/>
      <protection/>
    </xf>
    <xf numFmtId="0" fontId="39" fillId="0" borderId="0" xfId="150" applyFont="1" applyFill="1" applyBorder="1" applyAlignment="1">
      <alignment horizontal="center" vertical="center"/>
      <protection/>
    </xf>
    <xf numFmtId="0" fontId="98" fillId="0" borderId="0" xfId="135" applyFont="1" applyFill="1">
      <alignment/>
      <protection/>
    </xf>
    <xf numFmtId="0" fontId="98" fillId="0" borderId="0" xfId="150" applyFont="1" applyFill="1">
      <alignment/>
      <protection/>
    </xf>
    <xf numFmtId="0" fontId="32" fillId="0" borderId="214" xfId="137" applyFont="1" applyFill="1" applyBorder="1" applyAlignment="1">
      <alignment horizontal="left"/>
      <protection/>
    </xf>
    <xf numFmtId="168" fontId="32" fillId="0" borderId="20" xfId="137" applyNumberFormat="1" applyFont="1" applyFill="1" applyBorder="1">
      <alignment/>
      <protection/>
    </xf>
    <xf numFmtId="168" fontId="32" fillId="0" borderId="60" xfId="137" applyNumberFormat="1" applyFont="1" applyFill="1" applyBorder="1">
      <alignment/>
      <protection/>
    </xf>
    <xf numFmtId="3" fontId="32" fillId="0" borderId="60" xfId="137" applyNumberFormat="1" applyFont="1" applyFill="1" applyBorder="1">
      <alignment/>
      <protection/>
    </xf>
    <xf numFmtId="3" fontId="32" fillId="0" borderId="64" xfId="137" applyNumberFormat="1" applyFont="1" applyFill="1" applyBorder="1">
      <alignment/>
      <protection/>
    </xf>
    <xf numFmtId="4" fontId="32" fillId="0" borderId="20" xfId="137" applyNumberFormat="1" applyFont="1" applyFill="1" applyBorder="1">
      <alignment/>
      <protection/>
    </xf>
    <xf numFmtId="4" fontId="32" fillId="0" borderId="60" xfId="137" applyNumberFormat="1" applyFont="1" applyFill="1" applyBorder="1">
      <alignment/>
      <protection/>
    </xf>
    <xf numFmtId="3" fontId="32" fillId="0" borderId="61" xfId="137" applyNumberFormat="1" applyFont="1" applyFill="1" applyBorder="1">
      <alignment/>
      <protection/>
    </xf>
    <xf numFmtId="4" fontId="32" fillId="0" borderId="105" xfId="137" applyNumberFormat="1" applyFont="1" applyFill="1" applyBorder="1">
      <alignment/>
      <protection/>
    </xf>
    <xf numFmtId="4" fontId="32" fillId="0" borderId="148" xfId="137" applyNumberFormat="1" applyFont="1" applyFill="1" applyBorder="1">
      <alignment/>
      <protection/>
    </xf>
    <xf numFmtId="4" fontId="32" fillId="0" borderId="61" xfId="137" applyNumberFormat="1" applyFont="1" applyFill="1" applyBorder="1">
      <alignment/>
      <protection/>
    </xf>
    <xf numFmtId="4" fontId="32" fillId="0" borderId="104" xfId="137" applyNumberFormat="1" applyFont="1" applyFill="1" applyBorder="1">
      <alignment/>
      <protection/>
    </xf>
    <xf numFmtId="3" fontId="32" fillId="0" borderId="103" xfId="137" applyNumberFormat="1" applyFont="1" applyFill="1" applyBorder="1">
      <alignment/>
      <protection/>
    </xf>
    <xf numFmtId="4" fontId="32" fillId="0" borderId="215" xfId="137" applyNumberFormat="1" applyFont="1" applyFill="1" applyBorder="1">
      <alignment/>
      <protection/>
    </xf>
    <xf numFmtId="0" fontId="32" fillId="0" borderId="216" xfId="137" applyFont="1" applyFill="1" applyBorder="1" applyAlignment="1">
      <alignment horizontal="left"/>
      <protection/>
    </xf>
    <xf numFmtId="168" fontId="32" fillId="0" borderId="144" xfId="137" applyNumberFormat="1" applyFont="1" applyFill="1" applyBorder="1">
      <alignment/>
      <protection/>
    </xf>
    <xf numFmtId="168" fontId="32" fillId="0" borderId="67" xfId="137" applyNumberFormat="1" applyFont="1" applyFill="1" applyBorder="1">
      <alignment/>
      <protection/>
    </xf>
    <xf numFmtId="3" fontId="32" fillId="0" borderId="67" xfId="137" applyNumberFormat="1" applyFont="1" applyFill="1" applyBorder="1">
      <alignment/>
      <protection/>
    </xf>
    <xf numFmtId="3" fontId="32" fillId="0" borderId="25" xfId="137" applyNumberFormat="1" applyFont="1" applyFill="1" applyBorder="1">
      <alignment/>
      <protection/>
    </xf>
    <xf numFmtId="168" fontId="32" fillId="0" borderId="28" xfId="137" applyNumberFormat="1" applyFont="1" applyFill="1" applyBorder="1">
      <alignment/>
      <protection/>
    </xf>
    <xf numFmtId="3" fontId="32" fillId="0" borderId="143" xfId="137" applyNumberFormat="1" applyFont="1" applyFill="1" applyBorder="1">
      <alignment/>
      <protection/>
    </xf>
    <xf numFmtId="168" fontId="32" fillId="0" borderId="35" xfId="137" applyNumberFormat="1" applyFont="1" applyFill="1" applyBorder="1">
      <alignment/>
      <protection/>
    </xf>
    <xf numFmtId="168" fontId="32" fillId="0" borderId="217" xfId="137" applyNumberFormat="1" applyFont="1" applyFill="1" applyBorder="1">
      <alignment/>
      <protection/>
    </xf>
    <xf numFmtId="0" fontId="0" fillId="0" borderId="218" xfId="137" applyFont="1" applyFill="1" applyBorder="1">
      <alignment/>
      <protection/>
    </xf>
    <xf numFmtId="168" fontId="32" fillId="0" borderId="22" xfId="137" applyNumberFormat="1" applyFont="1" applyFill="1" applyBorder="1">
      <alignment/>
      <protection/>
    </xf>
    <xf numFmtId="168" fontId="32" fillId="0" borderId="137" xfId="137" applyNumberFormat="1" applyFont="1" applyFill="1" applyBorder="1">
      <alignment/>
      <protection/>
    </xf>
    <xf numFmtId="3" fontId="32" fillId="0" borderId="137" xfId="137" applyNumberFormat="1" applyFont="1" applyFill="1" applyBorder="1">
      <alignment/>
      <protection/>
    </xf>
    <xf numFmtId="3" fontId="32" fillId="0" borderId="23" xfId="137" applyNumberFormat="1" applyFont="1" applyFill="1" applyBorder="1">
      <alignment/>
      <protection/>
    </xf>
    <xf numFmtId="168" fontId="32" fillId="0" borderId="16" xfId="137" applyNumberFormat="1" applyFont="1" applyFill="1" applyBorder="1">
      <alignment/>
      <protection/>
    </xf>
    <xf numFmtId="3" fontId="32" fillId="0" borderId="24" xfId="137" applyNumberFormat="1" applyFont="1" applyFill="1" applyBorder="1">
      <alignment/>
      <protection/>
    </xf>
    <xf numFmtId="168" fontId="32" fillId="0" borderId="38" xfId="137" applyNumberFormat="1" applyFont="1" applyFill="1" applyBorder="1">
      <alignment/>
      <protection/>
    </xf>
    <xf numFmtId="168" fontId="32" fillId="0" borderId="219" xfId="137" applyNumberFormat="1" applyFont="1" applyFill="1" applyBorder="1">
      <alignment/>
      <protection/>
    </xf>
    <xf numFmtId="168" fontId="4" fillId="0" borderId="22" xfId="137" applyNumberFormat="1" applyFont="1" applyFill="1" applyBorder="1">
      <alignment/>
      <protection/>
    </xf>
    <xf numFmtId="168" fontId="4" fillId="37" borderId="137" xfId="137" applyNumberFormat="1" applyFont="1" applyFill="1" applyBorder="1">
      <alignment/>
      <protection/>
    </xf>
    <xf numFmtId="3" fontId="4" fillId="37" borderId="137" xfId="137" applyNumberFormat="1" applyFont="1" applyFill="1" applyBorder="1">
      <alignment/>
      <protection/>
    </xf>
    <xf numFmtId="3" fontId="4" fillId="0" borderId="23" xfId="137" applyNumberFormat="1" applyFont="1" applyFill="1" applyBorder="1">
      <alignment/>
      <protection/>
    </xf>
    <xf numFmtId="168" fontId="4" fillId="37" borderId="22" xfId="137" applyNumberFormat="1" applyFont="1" applyFill="1" applyBorder="1">
      <alignment/>
      <protection/>
    </xf>
    <xf numFmtId="168" fontId="4" fillId="37" borderId="16" xfId="137" applyNumberFormat="1" applyFont="1" applyFill="1" applyBorder="1">
      <alignment/>
      <protection/>
    </xf>
    <xf numFmtId="3" fontId="4" fillId="37" borderId="24" xfId="137" applyNumberFormat="1" applyFont="1" applyFill="1" applyBorder="1">
      <alignment/>
      <protection/>
    </xf>
    <xf numFmtId="168" fontId="4" fillId="0" borderId="38" xfId="137" applyNumberFormat="1" applyFont="1" applyFill="1" applyBorder="1">
      <alignment/>
      <protection/>
    </xf>
    <xf numFmtId="168" fontId="4" fillId="0" borderId="219" xfId="137" applyNumberFormat="1" applyFont="1" applyFill="1" applyBorder="1">
      <alignment/>
      <protection/>
    </xf>
    <xf numFmtId="0" fontId="0" fillId="0" borderId="220" xfId="137" applyFont="1" applyFill="1" applyBorder="1" applyAlignment="1">
      <alignment horizontal="left"/>
      <protection/>
    </xf>
    <xf numFmtId="168" fontId="4" fillId="0" borderId="41" xfId="137" applyNumberFormat="1" applyFont="1" applyFill="1" applyBorder="1">
      <alignment/>
      <protection/>
    </xf>
    <xf numFmtId="168" fontId="4" fillId="0" borderId="166" xfId="137" applyNumberFormat="1" applyFont="1" applyFill="1" applyBorder="1">
      <alignment/>
      <protection/>
    </xf>
    <xf numFmtId="3" fontId="4" fillId="0" borderId="166" xfId="137" applyNumberFormat="1" applyFont="1" applyFill="1" applyBorder="1">
      <alignment/>
      <protection/>
    </xf>
    <xf numFmtId="3" fontId="4" fillId="0" borderId="42" xfId="137" applyNumberFormat="1" applyFont="1" applyFill="1" applyBorder="1">
      <alignment/>
      <protection/>
    </xf>
    <xf numFmtId="168" fontId="4" fillId="0" borderId="39" xfId="137" applyNumberFormat="1" applyFont="1" applyFill="1" applyBorder="1">
      <alignment/>
      <protection/>
    </xf>
    <xf numFmtId="3" fontId="4" fillId="0" borderId="136" xfId="137" applyNumberFormat="1" applyFont="1" applyFill="1" applyBorder="1">
      <alignment/>
      <protection/>
    </xf>
    <xf numFmtId="168" fontId="4" fillId="0" borderId="40" xfId="137" applyNumberFormat="1" applyFont="1" applyFill="1" applyBorder="1">
      <alignment/>
      <protection/>
    </xf>
    <xf numFmtId="168" fontId="4" fillId="0" borderId="221" xfId="137" applyNumberFormat="1" applyFont="1" applyFill="1" applyBorder="1">
      <alignment/>
      <protection/>
    </xf>
    <xf numFmtId="0" fontId="0" fillId="0" borderId="101" xfId="137" applyFont="1" applyFill="1" applyBorder="1">
      <alignment/>
      <protection/>
    </xf>
    <xf numFmtId="168" fontId="32" fillId="0" borderId="65" xfId="137" applyNumberFormat="1" applyFont="1" applyFill="1" applyBorder="1">
      <alignment/>
      <protection/>
    </xf>
    <xf numFmtId="168" fontId="32" fillId="0" borderId="66" xfId="137" applyNumberFormat="1" applyFont="1" applyFill="1" applyBorder="1">
      <alignment/>
      <protection/>
    </xf>
    <xf numFmtId="3" fontId="32" fillId="0" borderId="66" xfId="137" applyNumberFormat="1" applyFont="1" applyFill="1" applyBorder="1">
      <alignment/>
      <protection/>
    </xf>
    <xf numFmtId="3" fontId="32" fillId="0" borderId="26" xfId="137" applyNumberFormat="1" applyFont="1" applyFill="1" applyBorder="1">
      <alignment/>
      <protection/>
    </xf>
    <xf numFmtId="168" fontId="32" fillId="0" borderId="31" xfId="137" applyNumberFormat="1" applyFont="1" applyFill="1" applyBorder="1">
      <alignment/>
      <protection/>
    </xf>
    <xf numFmtId="3" fontId="32" fillId="0" borderId="105" xfId="137" applyNumberFormat="1" applyFont="1" applyFill="1" applyBorder="1">
      <alignment/>
      <protection/>
    </xf>
    <xf numFmtId="168" fontId="32" fillId="0" borderId="36" xfId="137" applyNumberFormat="1" applyFont="1" applyFill="1" applyBorder="1">
      <alignment/>
      <protection/>
    </xf>
    <xf numFmtId="168" fontId="32" fillId="0" borderId="222" xfId="137" applyNumberFormat="1" applyFont="1" applyFill="1" applyBorder="1">
      <alignment/>
      <protection/>
    </xf>
    <xf numFmtId="0" fontId="32" fillId="0" borderId="216" xfId="137" applyFont="1" applyFill="1" applyBorder="1">
      <alignment/>
      <protection/>
    </xf>
    <xf numFmtId="0" fontId="0" fillId="0" borderId="101" xfId="137" applyFont="1" applyFill="1" applyBorder="1">
      <alignment/>
      <protection/>
    </xf>
    <xf numFmtId="0" fontId="32" fillId="37" borderId="223" xfId="137" applyFont="1" applyFill="1" applyBorder="1">
      <alignment/>
      <protection/>
    </xf>
    <xf numFmtId="168" fontId="32" fillId="0" borderId="53" xfId="137" applyNumberFormat="1" applyFont="1" applyFill="1" applyBorder="1">
      <alignment/>
      <protection/>
    </xf>
    <xf numFmtId="168" fontId="32" fillId="37" borderId="102" xfId="137" applyNumberFormat="1" applyFont="1" applyFill="1" applyBorder="1">
      <alignment/>
      <protection/>
    </xf>
    <xf numFmtId="3" fontId="32" fillId="37" borderId="102" xfId="137" applyNumberFormat="1" applyFont="1" applyFill="1" applyBorder="1">
      <alignment/>
      <protection/>
    </xf>
    <xf numFmtId="3" fontId="32" fillId="0" borderId="21" xfId="137" applyNumberFormat="1" applyFont="1" applyFill="1" applyBorder="1">
      <alignment/>
      <protection/>
    </xf>
    <xf numFmtId="168" fontId="32" fillId="37" borderId="53" xfId="137" applyNumberFormat="1" applyFont="1" applyFill="1" applyBorder="1">
      <alignment/>
      <protection/>
    </xf>
    <xf numFmtId="168" fontId="32" fillId="37" borderId="39" xfId="137" applyNumberFormat="1" applyFont="1" applyFill="1" applyBorder="1">
      <alignment/>
      <protection/>
    </xf>
    <xf numFmtId="3" fontId="32" fillId="37" borderId="62" xfId="137" applyNumberFormat="1" applyFont="1" applyFill="1" applyBorder="1">
      <alignment/>
      <protection/>
    </xf>
    <xf numFmtId="168" fontId="32" fillId="37" borderId="27" xfId="137" applyNumberFormat="1" applyFont="1" applyFill="1" applyBorder="1">
      <alignment/>
      <protection/>
    </xf>
    <xf numFmtId="168" fontId="32" fillId="0" borderId="34" xfId="137" applyNumberFormat="1" applyFont="1" applyFill="1" applyBorder="1">
      <alignment/>
      <protection/>
    </xf>
    <xf numFmtId="168" fontId="32" fillId="0" borderId="224" xfId="137" applyNumberFormat="1" applyFont="1" applyFill="1" applyBorder="1">
      <alignment/>
      <protection/>
    </xf>
    <xf numFmtId="168" fontId="32" fillId="0" borderId="41" xfId="137" applyNumberFormat="1" applyFont="1" applyFill="1" applyBorder="1">
      <alignment/>
      <protection/>
    </xf>
    <xf numFmtId="168" fontId="32" fillId="0" borderId="166" xfId="137" applyNumberFormat="1" applyFont="1" applyFill="1" applyBorder="1">
      <alignment/>
      <protection/>
    </xf>
    <xf numFmtId="168" fontId="32" fillId="37" borderId="166" xfId="137" applyNumberFormat="1" applyFont="1" applyFill="1" applyBorder="1">
      <alignment/>
      <protection/>
    </xf>
    <xf numFmtId="3" fontId="32" fillId="37" borderId="166" xfId="137" applyNumberFormat="1" applyFont="1" applyFill="1" applyBorder="1">
      <alignment/>
      <protection/>
    </xf>
    <xf numFmtId="3" fontId="32" fillId="0" borderId="42" xfId="137" applyNumberFormat="1" applyFont="1" applyFill="1" applyBorder="1">
      <alignment/>
      <protection/>
    </xf>
    <xf numFmtId="3" fontId="32" fillId="37" borderId="136" xfId="137" applyNumberFormat="1" applyFont="1" applyFill="1" applyBorder="1">
      <alignment/>
      <protection/>
    </xf>
    <xf numFmtId="168" fontId="32" fillId="0" borderId="40" xfId="137" applyNumberFormat="1" applyFont="1" applyFill="1" applyBorder="1">
      <alignment/>
      <protection/>
    </xf>
    <xf numFmtId="168" fontId="32" fillId="0" borderId="221" xfId="137" applyNumberFormat="1" applyFont="1" applyFill="1" applyBorder="1">
      <alignment/>
      <protection/>
    </xf>
    <xf numFmtId="0" fontId="57" fillId="0" borderId="225" xfId="137" applyFont="1" applyFill="1" applyBorder="1" applyAlignment="1">
      <alignment vertical="top"/>
      <protection/>
    </xf>
    <xf numFmtId="0" fontId="0" fillId="37" borderId="218" xfId="137" applyFont="1" applyFill="1" applyBorder="1">
      <alignment/>
      <protection/>
    </xf>
    <xf numFmtId="0" fontId="0" fillId="0" borderId="218" xfId="137" applyFont="1" applyFill="1" applyBorder="1" applyAlignment="1">
      <alignment horizontal="left" wrapText="1" shrinkToFit="1"/>
      <protection/>
    </xf>
    <xf numFmtId="0" fontId="32" fillId="0" borderId="226" xfId="137" applyFont="1" applyFill="1" applyBorder="1" applyAlignment="1">
      <alignment horizontal="left" wrapText="1" shrinkToFit="1"/>
      <protection/>
    </xf>
    <xf numFmtId="3" fontId="32" fillId="0" borderId="166" xfId="137" applyNumberFormat="1" applyFont="1" applyFill="1" applyBorder="1">
      <alignment/>
      <protection/>
    </xf>
    <xf numFmtId="168" fontId="32" fillId="0" borderId="39" xfId="137" applyNumberFormat="1" applyFont="1" applyFill="1" applyBorder="1">
      <alignment/>
      <protection/>
    </xf>
    <xf numFmtId="3" fontId="32" fillId="0" borderId="136" xfId="137" applyNumberFormat="1" applyFont="1" applyFill="1" applyBorder="1">
      <alignment/>
      <protection/>
    </xf>
    <xf numFmtId="0" fontId="0" fillId="0" borderId="225" xfId="137" applyFont="1" applyFill="1" applyBorder="1">
      <alignment/>
      <protection/>
    </xf>
    <xf numFmtId="168" fontId="4" fillId="37" borderId="166" xfId="137" applyNumberFormat="1" applyFont="1" applyFill="1" applyBorder="1">
      <alignment/>
      <protection/>
    </xf>
    <xf numFmtId="3" fontId="4" fillId="37" borderId="166" xfId="137" applyNumberFormat="1" applyFont="1" applyFill="1" applyBorder="1">
      <alignment/>
      <protection/>
    </xf>
    <xf numFmtId="168" fontId="4" fillId="37" borderId="39" xfId="137" applyNumberFormat="1" applyFont="1" applyFill="1" applyBorder="1">
      <alignment/>
      <protection/>
    </xf>
    <xf numFmtId="3" fontId="4" fillId="37" borderId="136" xfId="137" applyNumberFormat="1" applyFont="1" applyFill="1" applyBorder="1">
      <alignment/>
      <protection/>
    </xf>
    <xf numFmtId="0" fontId="0" fillId="0" borderId="227" xfId="137" applyFont="1" applyFill="1" applyBorder="1" applyAlignment="1">
      <alignment horizontal="left"/>
      <protection/>
    </xf>
    <xf numFmtId="0" fontId="32" fillId="0" borderId="223" xfId="137" applyFont="1" applyFill="1" applyBorder="1">
      <alignment/>
      <protection/>
    </xf>
    <xf numFmtId="168" fontId="32" fillId="0" borderId="102" xfId="137" applyNumberFormat="1" applyFont="1" applyFill="1" applyBorder="1">
      <alignment/>
      <protection/>
    </xf>
    <xf numFmtId="3" fontId="32" fillId="0" borderId="102" xfId="137" applyNumberFormat="1" applyFont="1" applyFill="1" applyBorder="1">
      <alignment/>
      <protection/>
    </xf>
    <xf numFmtId="168" fontId="32" fillId="0" borderId="27" xfId="137" applyNumberFormat="1" applyFont="1" applyFill="1" applyBorder="1">
      <alignment/>
      <protection/>
    </xf>
    <xf numFmtId="3" fontId="32" fillId="0" borderId="62" xfId="137" applyNumberFormat="1" applyFont="1" applyFill="1" applyBorder="1">
      <alignment/>
      <protection/>
    </xf>
    <xf numFmtId="0" fontId="0" fillId="0" borderId="108" xfId="137" applyFont="1" applyFill="1" applyBorder="1">
      <alignment/>
      <protection/>
    </xf>
    <xf numFmtId="168" fontId="32" fillId="0" borderId="68" xfId="137" applyNumberFormat="1" applyFont="1" applyFill="1" applyBorder="1">
      <alignment/>
      <protection/>
    </xf>
    <xf numFmtId="168" fontId="32" fillId="0" borderId="69" xfId="137" applyNumberFormat="1" applyFont="1" applyFill="1" applyBorder="1">
      <alignment/>
      <protection/>
    </xf>
    <xf numFmtId="3" fontId="32" fillId="0" borderId="69" xfId="137" applyNumberFormat="1" applyFont="1" applyFill="1" applyBorder="1">
      <alignment/>
      <protection/>
    </xf>
    <xf numFmtId="3" fontId="32" fillId="0" borderId="30" xfId="137" applyNumberFormat="1" applyFont="1" applyFill="1" applyBorder="1">
      <alignment/>
      <protection/>
    </xf>
    <xf numFmtId="168" fontId="32" fillId="0" borderId="29" xfId="137" applyNumberFormat="1" applyFont="1" applyFill="1" applyBorder="1">
      <alignment/>
      <protection/>
    </xf>
    <xf numFmtId="3" fontId="32" fillId="0" borderId="107" xfId="137" applyNumberFormat="1" applyFont="1" applyFill="1" applyBorder="1">
      <alignment/>
      <protection/>
    </xf>
    <xf numFmtId="168" fontId="32" fillId="0" borderId="99" xfId="137" applyNumberFormat="1" applyFont="1" applyFill="1" applyBorder="1">
      <alignment/>
      <protection/>
    </xf>
    <xf numFmtId="168" fontId="32" fillId="0" borderId="110" xfId="137" applyNumberFormat="1" applyFont="1" applyFill="1" applyBorder="1">
      <alignment/>
      <protection/>
    </xf>
    <xf numFmtId="0" fontId="0" fillId="0" borderId="228" xfId="137" applyFont="1" applyFill="1" applyBorder="1">
      <alignment/>
      <protection/>
    </xf>
    <xf numFmtId="168" fontId="32" fillId="0" borderId="77" xfId="137" applyNumberFormat="1" applyFont="1" applyFill="1" applyBorder="1">
      <alignment/>
      <protection/>
    </xf>
    <xf numFmtId="168" fontId="32" fillId="0" borderId="78" xfId="137" applyNumberFormat="1" applyFont="1" applyFill="1" applyBorder="1">
      <alignment/>
      <protection/>
    </xf>
    <xf numFmtId="3" fontId="32" fillId="0" borderId="78" xfId="137" applyNumberFormat="1" applyFont="1" applyFill="1" applyBorder="1">
      <alignment/>
      <protection/>
    </xf>
    <xf numFmtId="3" fontId="32" fillId="0" borderId="81" xfId="137" applyNumberFormat="1" applyFont="1" applyFill="1" applyBorder="1">
      <alignment/>
      <protection/>
    </xf>
    <xf numFmtId="168" fontId="32" fillId="0" borderId="79" xfId="137" applyNumberFormat="1" applyFont="1" applyFill="1" applyBorder="1">
      <alignment/>
      <protection/>
    </xf>
    <xf numFmtId="3" fontId="32" fillId="0" borderId="122" xfId="137" applyNumberFormat="1" applyFont="1" applyFill="1" applyBorder="1">
      <alignment/>
      <protection/>
    </xf>
    <xf numFmtId="168" fontId="32" fillId="0" borderId="90" xfId="137" applyNumberFormat="1" applyFont="1" applyFill="1" applyBorder="1">
      <alignment/>
      <protection/>
    </xf>
    <xf numFmtId="168" fontId="32" fillId="0" borderId="229" xfId="137" applyNumberFormat="1" applyFont="1" applyFill="1" applyBorder="1">
      <alignment/>
      <protection/>
    </xf>
    <xf numFmtId="168" fontId="32" fillId="37" borderId="34" xfId="137" applyNumberFormat="1" applyFont="1" applyFill="1" applyBorder="1">
      <alignment/>
      <protection/>
    </xf>
    <xf numFmtId="168" fontId="32" fillId="37" borderId="224" xfId="137" applyNumberFormat="1" applyFont="1" applyFill="1" applyBorder="1">
      <alignment/>
      <protection/>
    </xf>
    <xf numFmtId="0" fontId="31" fillId="0" borderId="101" xfId="137" applyFont="1" applyFill="1" applyBorder="1" applyAlignment="1">
      <alignment horizontal="left"/>
      <protection/>
    </xf>
    <xf numFmtId="167" fontId="32" fillId="0" borderId="230" xfId="137" applyNumberFormat="1" applyFont="1" applyFill="1" applyBorder="1" applyAlignment="1" applyProtection="1">
      <alignment/>
      <protection locked="0"/>
    </xf>
    <xf numFmtId="3" fontId="4" fillId="0" borderId="81" xfId="137" applyNumberFormat="1" applyFont="1" applyFill="1" applyBorder="1">
      <alignment/>
      <protection/>
    </xf>
    <xf numFmtId="3" fontId="32" fillId="0" borderId="79" xfId="137" applyNumberFormat="1" applyFont="1" applyFill="1" applyBorder="1">
      <alignment/>
      <protection/>
    </xf>
    <xf numFmtId="167" fontId="32" fillId="0" borderId="231" xfId="137" applyNumberFormat="1" applyFont="1" applyFill="1" applyBorder="1" applyAlignment="1" applyProtection="1">
      <alignment/>
      <protection locked="0"/>
    </xf>
    <xf numFmtId="3" fontId="4" fillId="0" borderId="21" xfId="137" applyNumberFormat="1" applyFont="1" applyFill="1" applyBorder="1">
      <alignment/>
      <protection/>
    </xf>
    <xf numFmtId="3" fontId="32" fillId="0" borderId="27" xfId="137" applyNumberFormat="1" applyFont="1" applyFill="1" applyBorder="1">
      <alignment/>
      <protection/>
    </xf>
    <xf numFmtId="167" fontId="0" fillId="0" borderId="218" xfId="137" applyNumberFormat="1" applyFont="1" applyFill="1" applyBorder="1" applyAlignment="1" applyProtection="1">
      <alignment/>
      <protection locked="0"/>
    </xf>
    <xf numFmtId="3" fontId="32" fillId="0" borderId="16" xfId="137" applyNumberFormat="1" applyFont="1" applyFill="1" applyBorder="1">
      <alignment/>
      <protection/>
    </xf>
    <xf numFmtId="167" fontId="0" fillId="0" borderId="226" xfId="137" applyNumberFormat="1" applyFont="1" applyFill="1" applyBorder="1" applyAlignment="1" applyProtection="1">
      <alignment/>
      <protection locked="0"/>
    </xf>
    <xf numFmtId="3" fontId="32" fillId="0" borderId="39" xfId="137" applyNumberFormat="1" applyFont="1" applyFill="1" applyBorder="1">
      <alignment/>
      <protection/>
    </xf>
    <xf numFmtId="167" fontId="32" fillId="0" borderId="225" xfId="137" applyNumberFormat="1" applyFont="1" applyFill="1" applyBorder="1" applyAlignment="1" applyProtection="1">
      <alignment/>
      <protection locked="0"/>
    </xf>
    <xf numFmtId="3" fontId="4" fillId="0" borderId="25" xfId="137" applyNumberFormat="1" applyFont="1" applyFill="1" applyBorder="1">
      <alignment/>
      <protection/>
    </xf>
    <xf numFmtId="0" fontId="0" fillId="0" borderId="231" xfId="137" applyFont="1" applyFill="1" applyBorder="1">
      <alignment/>
      <protection/>
    </xf>
    <xf numFmtId="168" fontId="4" fillId="37" borderId="38" xfId="137" applyNumberFormat="1" applyFont="1" applyFill="1" applyBorder="1">
      <alignment/>
      <protection/>
    </xf>
    <xf numFmtId="0" fontId="57" fillId="0" borderId="232" xfId="137" applyFont="1" applyFill="1" applyBorder="1">
      <alignment/>
      <protection/>
    </xf>
    <xf numFmtId="168" fontId="32" fillId="0" borderId="233" xfId="137" applyNumberFormat="1" applyFont="1" applyFill="1" applyBorder="1">
      <alignment/>
      <protection/>
    </xf>
    <xf numFmtId="168" fontId="32" fillId="0" borderId="234" xfId="137" applyNumberFormat="1" applyFont="1" applyFill="1" applyBorder="1">
      <alignment/>
      <protection/>
    </xf>
    <xf numFmtId="3" fontId="32" fillId="0" borderId="234" xfId="137" applyNumberFormat="1" applyFont="1" applyFill="1" applyBorder="1">
      <alignment/>
      <protection/>
    </xf>
    <xf numFmtId="3" fontId="32" fillId="0" borderId="235" xfId="137" applyNumberFormat="1" applyFont="1" applyFill="1" applyBorder="1">
      <alignment/>
      <protection/>
    </xf>
    <xf numFmtId="168" fontId="32" fillId="0" borderId="236" xfId="137" applyNumberFormat="1" applyFont="1" applyFill="1" applyBorder="1">
      <alignment/>
      <protection/>
    </xf>
    <xf numFmtId="3" fontId="32" fillId="0" borderId="237" xfId="137" applyNumberFormat="1" applyFont="1" applyFill="1" applyBorder="1">
      <alignment/>
      <protection/>
    </xf>
    <xf numFmtId="168" fontId="32" fillId="0" borderId="238" xfId="137" applyNumberFormat="1" applyFont="1" applyFill="1" applyBorder="1">
      <alignment/>
      <protection/>
    </xf>
    <xf numFmtId="168" fontId="32" fillId="0" borderId="239" xfId="137" applyNumberFormat="1" applyFont="1" applyFill="1" applyBorder="1">
      <alignment/>
      <protection/>
    </xf>
    <xf numFmtId="0" fontId="32" fillId="0" borderId="111" xfId="137" applyFont="1" applyFill="1" applyBorder="1" applyAlignment="1">
      <alignment horizontal="center"/>
      <protection/>
    </xf>
    <xf numFmtId="168" fontId="32" fillId="0" borderId="240" xfId="137" applyNumberFormat="1" applyFont="1" applyFill="1" applyBorder="1">
      <alignment/>
      <protection/>
    </xf>
    <xf numFmtId="3" fontId="32" fillId="0" borderId="240" xfId="137" applyNumberFormat="1" applyFont="1" applyFill="1" applyBorder="1">
      <alignment/>
      <protection/>
    </xf>
    <xf numFmtId="3" fontId="32" fillId="0" borderId="241" xfId="137" applyNumberFormat="1" applyFont="1" applyFill="1" applyBorder="1">
      <alignment/>
      <protection/>
    </xf>
    <xf numFmtId="168" fontId="32" fillId="0" borderId="242" xfId="137" applyNumberFormat="1" applyFont="1" applyFill="1" applyBorder="1">
      <alignment/>
      <protection/>
    </xf>
    <xf numFmtId="168" fontId="32" fillId="0" borderId="243" xfId="137" applyNumberFormat="1" applyFont="1" applyFill="1" applyBorder="1">
      <alignment/>
      <protection/>
    </xf>
    <xf numFmtId="3" fontId="32" fillId="0" borderId="244" xfId="137" applyNumberFormat="1" applyFont="1" applyFill="1" applyBorder="1">
      <alignment/>
      <protection/>
    </xf>
    <xf numFmtId="168" fontId="32" fillId="0" borderId="116" xfId="137" applyNumberFormat="1" applyFont="1" applyFill="1" applyBorder="1">
      <alignment/>
      <protection/>
    </xf>
    <xf numFmtId="168" fontId="32" fillId="0" borderId="118" xfId="137" applyNumberFormat="1" applyFont="1" applyFill="1" applyBorder="1">
      <alignment/>
      <protection/>
    </xf>
    <xf numFmtId="0" fontId="1" fillId="0" borderId="101" xfId="137" applyFont="1" applyFill="1" applyBorder="1" applyAlignment="1">
      <alignment horizontal="center"/>
      <protection/>
    </xf>
    <xf numFmtId="0" fontId="0" fillId="0" borderId="245" xfId="137" applyFont="1" applyFill="1" applyBorder="1">
      <alignment/>
      <protection/>
    </xf>
    <xf numFmtId="168" fontId="32" fillId="0" borderId="246" xfId="137" applyNumberFormat="1" applyFont="1" applyFill="1" applyBorder="1">
      <alignment/>
      <protection/>
    </xf>
    <xf numFmtId="3" fontId="32" fillId="0" borderId="246" xfId="137" applyNumberFormat="1" applyFont="1" applyFill="1" applyBorder="1">
      <alignment/>
      <protection/>
    </xf>
    <xf numFmtId="3" fontId="32" fillId="0" borderId="247" xfId="137" applyNumberFormat="1" applyFont="1" applyFill="1" applyBorder="1">
      <alignment/>
      <protection/>
    </xf>
    <xf numFmtId="168" fontId="32" fillId="0" borderId="248" xfId="137" applyNumberFormat="1" applyFont="1" applyFill="1" applyBorder="1">
      <alignment/>
      <protection/>
    </xf>
    <xf numFmtId="168" fontId="32" fillId="0" borderId="249" xfId="137" applyNumberFormat="1" applyFont="1" applyFill="1" applyBorder="1">
      <alignment/>
      <protection/>
    </xf>
    <xf numFmtId="3" fontId="32" fillId="0" borderId="250" xfId="137" applyNumberFormat="1" applyFont="1" applyFill="1" applyBorder="1">
      <alignment/>
      <protection/>
    </xf>
    <xf numFmtId="168" fontId="32" fillId="0" borderId="251" xfId="137" applyNumberFormat="1" applyFont="1" applyFill="1" applyBorder="1">
      <alignment/>
      <protection/>
    </xf>
    <xf numFmtId="168" fontId="32" fillId="0" borderId="252" xfId="137" applyNumberFormat="1" applyFont="1" applyFill="1" applyBorder="1">
      <alignment/>
      <protection/>
    </xf>
    <xf numFmtId="4" fontId="77" fillId="0" borderId="0" xfId="137" applyNumberFormat="1" applyFont="1" applyFill="1" applyBorder="1">
      <alignment/>
      <protection/>
    </xf>
    <xf numFmtId="0" fontId="77" fillId="0" borderId="0" xfId="137" applyFont="1" applyFill="1" applyBorder="1">
      <alignment/>
      <protection/>
    </xf>
    <xf numFmtId="168" fontId="77" fillId="0" borderId="0" xfId="137" applyNumberFormat="1" applyFont="1" applyFill="1" applyBorder="1">
      <alignment/>
      <protection/>
    </xf>
    <xf numFmtId="0" fontId="77" fillId="0" borderId="0" xfId="137" applyFont="1" applyFill="1">
      <alignment/>
      <protection/>
    </xf>
    <xf numFmtId="3" fontId="1" fillId="0" borderId="181" xfId="0" applyNumberFormat="1" applyFont="1" applyFill="1" applyBorder="1" applyAlignment="1">
      <alignment horizontal="center"/>
    </xf>
    <xf numFmtId="3" fontId="33" fillId="0" borderId="109" xfId="0" applyNumberFormat="1" applyFont="1" applyFill="1" applyBorder="1" applyAlignment="1">
      <alignment horizontal="center"/>
    </xf>
    <xf numFmtId="0" fontId="1" fillId="0" borderId="222" xfId="0" applyFont="1" applyFill="1" applyBorder="1" applyAlignment="1">
      <alignment horizontal="center"/>
    </xf>
    <xf numFmtId="0" fontId="1" fillId="0" borderId="11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9" fontId="39" fillId="0" borderId="181" xfId="140" applyNumberFormat="1" applyFont="1" applyFill="1" applyBorder="1" applyAlignment="1">
      <alignment horizontal="left" vertical="center" wrapText="1" indent="1"/>
      <protection/>
    </xf>
    <xf numFmtId="3" fontId="39" fillId="0" borderId="0" xfId="150" applyNumberFormat="1" applyFont="1" applyFill="1">
      <alignment/>
      <protection/>
    </xf>
    <xf numFmtId="168" fontId="39" fillId="0" borderId="0" xfId="150" applyNumberFormat="1" applyFont="1" applyFill="1">
      <alignment/>
      <protection/>
    </xf>
    <xf numFmtId="0" fontId="39" fillId="0" borderId="0" xfId="135" applyFont="1" applyFill="1" applyBorder="1">
      <alignment/>
      <protection/>
    </xf>
    <xf numFmtId="49" fontId="39" fillId="0" borderId="180" xfId="140" applyNumberFormat="1" applyFont="1" applyFill="1" applyBorder="1" applyAlignment="1">
      <alignment horizontal="left" vertical="center" indent="1"/>
      <protection/>
    </xf>
    <xf numFmtId="49" fontId="89" fillId="0" borderId="180" xfId="140" applyNumberFormat="1" applyFont="1" applyFill="1" applyBorder="1" applyAlignment="1">
      <alignment horizontal="left" vertical="center" indent="1"/>
      <protection/>
    </xf>
    <xf numFmtId="49" fontId="91" fillId="0" borderId="170" xfId="140" applyNumberFormat="1" applyFont="1" applyFill="1" applyBorder="1" applyAlignment="1">
      <alignment horizontal="left" vertical="center" indent="1"/>
      <protection/>
    </xf>
    <xf numFmtId="49" fontId="91" fillId="0" borderId="170" xfId="140" applyNumberFormat="1" applyFont="1" applyFill="1" applyBorder="1" applyAlignment="1">
      <alignment horizontal="left" vertical="center" wrapText="1" indent="1"/>
      <protection/>
    </xf>
    <xf numFmtId="49" fontId="91" fillId="0" borderId="174" xfId="140" applyNumberFormat="1" applyFont="1" applyFill="1" applyBorder="1" applyAlignment="1">
      <alignment horizontal="left" vertical="center" indent="1"/>
      <protection/>
    </xf>
    <xf numFmtId="0" fontId="91" fillId="0" borderId="170" xfId="0" applyFont="1" applyFill="1" applyBorder="1" applyAlignment="1">
      <alignment horizontal="left" vertical="center" wrapText="1" indent="1"/>
    </xf>
    <xf numFmtId="0" fontId="91" fillId="0" borderId="181" xfId="0" applyFont="1" applyFill="1" applyBorder="1" applyAlignment="1">
      <alignment horizontal="left" vertical="center" wrapText="1" indent="1"/>
    </xf>
    <xf numFmtId="0" fontId="91" fillId="0" borderId="174" xfId="0" applyFont="1" applyFill="1" applyBorder="1" applyAlignment="1">
      <alignment horizontal="left" vertical="center" wrapText="1" indent="1"/>
    </xf>
    <xf numFmtId="49" fontId="91" fillId="0" borderId="253" xfId="140" applyNumberFormat="1" applyFont="1" applyFill="1" applyBorder="1" applyAlignment="1">
      <alignment horizontal="left" vertical="center" wrapText="1"/>
      <protection/>
    </xf>
    <xf numFmtId="49" fontId="91" fillId="0" borderId="189" xfId="140" applyNumberFormat="1" applyFont="1" applyFill="1" applyBorder="1" applyAlignment="1">
      <alignment horizontal="left" vertical="center" wrapText="1"/>
      <protection/>
    </xf>
    <xf numFmtId="168" fontId="91" fillId="0" borderId="170" xfId="151" applyNumberFormat="1" applyFont="1" applyFill="1" applyBorder="1" applyAlignment="1" applyProtection="1">
      <alignment horizontal="left" vertical="center" indent="1"/>
      <protection hidden="1"/>
    </xf>
    <xf numFmtId="49" fontId="91" fillId="0" borderId="254" xfId="140" applyNumberFormat="1" applyFont="1" applyFill="1" applyBorder="1" applyAlignment="1">
      <alignment horizontal="left" vertical="center" wrapText="1"/>
      <protection/>
    </xf>
    <xf numFmtId="49" fontId="91" fillId="0" borderId="174" xfId="140" applyNumberFormat="1" applyFont="1" applyFill="1" applyBorder="1" applyAlignment="1">
      <alignment horizontal="left" vertical="center" wrapText="1" indent="1"/>
      <protection/>
    </xf>
    <xf numFmtId="0" fontId="91" fillId="0" borderId="181" xfId="135" applyFont="1" applyFill="1" applyBorder="1" applyAlignment="1">
      <alignment vertical="center"/>
      <protection/>
    </xf>
    <xf numFmtId="49" fontId="91" fillId="0" borderId="254" xfId="140" applyNumberFormat="1" applyFont="1" applyFill="1" applyBorder="1" applyAlignment="1">
      <alignment horizontal="left" vertical="center"/>
      <protection/>
    </xf>
    <xf numFmtId="49" fontId="89" fillId="0" borderId="174" xfId="140" applyNumberFormat="1" applyFont="1" applyFill="1" applyBorder="1" applyAlignment="1">
      <alignment horizontal="left" vertical="center" wrapText="1" indent="1"/>
      <protection/>
    </xf>
    <xf numFmtId="49" fontId="91" fillId="0" borderId="255" xfId="140" applyNumberFormat="1" applyFont="1" applyFill="1" applyBorder="1" applyAlignment="1">
      <alignment horizontal="left" vertical="center" wrapText="1" indent="1"/>
      <protection/>
    </xf>
    <xf numFmtId="49" fontId="91" fillId="0" borderId="170" xfId="140" applyNumberFormat="1" applyFont="1" applyFill="1" applyBorder="1" applyAlignment="1">
      <alignment horizontal="left" vertical="center" wrapText="1"/>
      <protection/>
    </xf>
    <xf numFmtId="49" fontId="91" fillId="0" borderId="170" xfId="140" applyNumberFormat="1" applyFont="1" applyFill="1" applyBorder="1" applyAlignment="1">
      <alignment horizontal="left" vertical="center" wrapText="1" indent="3"/>
      <protection/>
    </xf>
    <xf numFmtId="49" fontId="91" fillId="0" borderId="187" xfId="140" applyNumberFormat="1" applyFont="1" applyFill="1" applyBorder="1" applyAlignment="1">
      <alignment horizontal="left" vertical="center"/>
      <protection/>
    </xf>
    <xf numFmtId="3" fontId="89" fillId="0" borderId="160" xfId="150" applyNumberFormat="1" applyFont="1" applyFill="1" applyBorder="1" applyAlignment="1">
      <alignment horizontal="right" vertical="center"/>
      <protection/>
    </xf>
    <xf numFmtId="3" fontId="89" fillId="0" borderId="159" xfId="150" applyNumberFormat="1" applyFont="1" applyFill="1" applyBorder="1" applyAlignment="1">
      <alignment horizontal="right" vertical="center"/>
      <protection/>
    </xf>
    <xf numFmtId="3" fontId="89" fillId="0" borderId="159" xfId="151" applyNumberFormat="1" applyFont="1" applyFill="1" applyBorder="1" applyAlignment="1" applyProtection="1">
      <alignment horizontal="right" vertical="center"/>
      <protection hidden="1"/>
    </xf>
    <xf numFmtId="4" fontId="89" fillId="0" borderId="159" xfId="151" applyNumberFormat="1" applyFont="1" applyFill="1" applyBorder="1" applyAlignment="1" applyProtection="1">
      <alignment horizontal="right" vertical="center"/>
      <protection hidden="1"/>
    </xf>
    <xf numFmtId="4" fontId="89" fillId="0" borderId="161" xfId="151" applyNumberFormat="1" applyFont="1" applyFill="1" applyBorder="1" applyAlignment="1" applyProtection="1">
      <alignment horizontal="right" vertical="center"/>
      <protection hidden="1"/>
    </xf>
    <xf numFmtId="3" fontId="89" fillId="0" borderId="88" xfId="150" applyNumberFormat="1" applyFont="1" applyFill="1" applyBorder="1" applyAlignment="1">
      <alignment horizontal="right" vertical="center"/>
      <protection/>
    </xf>
    <xf numFmtId="3" fontId="89" fillId="0" borderId="87" xfId="150" applyNumberFormat="1" applyFont="1" applyFill="1" applyBorder="1" applyAlignment="1">
      <alignment horizontal="right" vertical="center"/>
      <protection/>
    </xf>
    <xf numFmtId="3" fontId="89" fillId="0" borderId="87" xfId="151" applyNumberFormat="1" applyFont="1" applyFill="1" applyBorder="1" applyAlignment="1" applyProtection="1">
      <alignment horizontal="right" vertical="center"/>
      <protection hidden="1"/>
    </xf>
    <xf numFmtId="4" fontId="89" fillId="0" borderId="87" xfId="151" applyNumberFormat="1" applyFont="1" applyFill="1" applyBorder="1" applyAlignment="1" applyProtection="1">
      <alignment horizontal="right" vertical="center"/>
      <protection hidden="1"/>
    </xf>
    <xf numFmtId="4" fontId="89" fillId="0" borderId="163" xfId="151" applyNumberFormat="1" applyFont="1" applyFill="1" applyBorder="1" applyAlignment="1" applyProtection="1">
      <alignment horizontal="right" vertical="center"/>
      <protection hidden="1"/>
    </xf>
    <xf numFmtId="3" fontId="89" fillId="0" borderId="84" xfId="150" applyNumberFormat="1" applyFont="1" applyFill="1" applyBorder="1" applyAlignment="1">
      <alignment horizontal="right" vertical="center"/>
      <protection/>
    </xf>
    <xf numFmtId="3" fontId="89" fillId="0" borderId="83" xfId="150" applyNumberFormat="1" applyFont="1" applyFill="1" applyBorder="1" applyAlignment="1">
      <alignment horizontal="right" vertical="center"/>
      <protection/>
    </xf>
    <xf numFmtId="3" fontId="89" fillId="0" borderId="83" xfId="151" applyNumberFormat="1" applyFont="1" applyFill="1" applyBorder="1" applyAlignment="1" applyProtection="1">
      <alignment horizontal="right" vertical="center"/>
      <protection hidden="1"/>
    </xf>
    <xf numFmtId="4" fontId="89" fillId="0" borderId="83" xfId="151" applyNumberFormat="1" applyFont="1" applyFill="1" applyBorder="1" applyAlignment="1" applyProtection="1">
      <alignment horizontal="right" vertical="center"/>
      <protection hidden="1"/>
    </xf>
    <xf numFmtId="4" fontId="89" fillId="0" borderId="149" xfId="151" applyNumberFormat="1" applyFont="1" applyFill="1" applyBorder="1" applyAlignment="1" applyProtection="1">
      <alignment horizontal="right" vertical="center"/>
      <protection hidden="1"/>
    </xf>
    <xf numFmtId="3" fontId="89" fillId="0" borderId="88" xfId="150" applyNumberFormat="1" applyFont="1" applyFill="1" applyBorder="1" applyAlignment="1">
      <alignment horizontal="right" vertical="center"/>
      <protection/>
    </xf>
    <xf numFmtId="3" fontId="89" fillId="0" borderId="256" xfId="150" applyNumberFormat="1" applyFont="1" applyFill="1" applyBorder="1" applyAlignment="1">
      <alignment horizontal="right" vertical="center"/>
      <protection/>
    </xf>
    <xf numFmtId="3" fontId="89" fillId="0" borderId="66" xfId="150" applyNumberFormat="1" applyFont="1" applyFill="1" applyBorder="1" applyAlignment="1">
      <alignment horizontal="right" vertical="center"/>
      <protection/>
    </xf>
    <xf numFmtId="3" fontId="89" fillId="0" borderId="257" xfId="150" applyNumberFormat="1" applyFont="1" applyFill="1" applyBorder="1" applyAlignment="1">
      <alignment horizontal="right" vertical="center"/>
      <protection/>
    </xf>
    <xf numFmtId="3" fontId="89" fillId="0" borderId="31" xfId="151" applyNumberFormat="1" applyFont="1" applyFill="1" applyBorder="1" applyAlignment="1" applyProtection="1">
      <alignment horizontal="right" vertical="center"/>
      <protection hidden="1"/>
    </xf>
    <xf numFmtId="4" fontId="89" fillId="0" borderId="31" xfId="151" applyNumberFormat="1" applyFont="1" applyFill="1" applyBorder="1" applyAlignment="1" applyProtection="1">
      <alignment horizontal="right" vertical="center"/>
      <protection hidden="1"/>
    </xf>
    <xf numFmtId="4" fontId="89" fillId="0" borderId="105" xfId="151" applyNumberFormat="1" applyFont="1" applyFill="1" applyBorder="1" applyAlignment="1" applyProtection="1">
      <alignment horizontal="right" vertical="center"/>
      <protection hidden="1"/>
    </xf>
    <xf numFmtId="3" fontId="89" fillId="0" borderId="66" xfId="150" applyNumberFormat="1" applyFont="1" applyFill="1" applyBorder="1" applyAlignment="1">
      <alignment horizontal="right" vertical="center"/>
      <protection/>
    </xf>
    <xf numFmtId="3" fontId="89" fillId="0" borderId="31" xfId="150" applyNumberFormat="1" applyFont="1" applyFill="1" applyBorder="1" applyAlignment="1">
      <alignment horizontal="right" vertical="center"/>
      <protection/>
    </xf>
    <xf numFmtId="3" fontId="89" fillId="0" borderId="258" xfId="150" applyNumberFormat="1" applyFont="1" applyFill="1" applyBorder="1" applyAlignment="1">
      <alignment horizontal="right" vertical="center"/>
      <protection/>
    </xf>
    <xf numFmtId="3" fontId="89" fillId="0" borderId="259" xfId="150" applyNumberFormat="1" applyFont="1" applyFill="1" applyBorder="1" applyAlignment="1">
      <alignment horizontal="right" vertical="center"/>
      <protection/>
    </xf>
    <xf numFmtId="3" fontId="89" fillId="0" borderId="260" xfId="150" applyNumberFormat="1" applyFont="1" applyFill="1" applyBorder="1" applyAlignment="1">
      <alignment horizontal="right" vertical="center"/>
      <protection/>
    </xf>
    <xf numFmtId="3" fontId="89" fillId="0" borderId="261" xfId="150" applyNumberFormat="1" applyFont="1" applyFill="1" applyBorder="1" applyAlignment="1">
      <alignment horizontal="right" vertical="center"/>
      <protection/>
    </xf>
    <xf numFmtId="3" fontId="89" fillId="0" borderId="262" xfId="150" applyNumberFormat="1" applyFont="1" applyFill="1" applyBorder="1" applyAlignment="1">
      <alignment horizontal="right" vertical="center"/>
      <protection/>
    </xf>
    <xf numFmtId="4" fontId="89" fillId="0" borderId="262" xfId="151" applyNumberFormat="1" applyFont="1" applyFill="1" applyBorder="1" applyAlignment="1" applyProtection="1">
      <alignment horizontal="right" vertical="center"/>
      <protection hidden="1"/>
    </xf>
    <xf numFmtId="4" fontId="89" fillId="0" borderId="260" xfId="151" applyNumberFormat="1" applyFont="1" applyFill="1" applyBorder="1" applyAlignment="1" applyProtection="1">
      <alignment horizontal="right" vertical="center"/>
      <protection hidden="1"/>
    </xf>
    <xf numFmtId="0" fontId="89" fillId="0" borderId="263" xfId="150" applyFont="1" applyFill="1" applyBorder="1" applyAlignment="1">
      <alignment horizontal="right" vertical="center"/>
      <protection/>
    </xf>
    <xf numFmtId="0" fontId="89" fillId="0" borderId="86" xfId="150" applyFont="1" applyFill="1" applyBorder="1" applyAlignment="1">
      <alignment horizontal="right" vertical="center"/>
      <protection/>
    </xf>
    <xf numFmtId="3" fontId="89" fillId="0" borderId="163" xfId="150" applyNumberFormat="1" applyFont="1" applyFill="1" applyBorder="1" applyAlignment="1">
      <alignment horizontal="right" vertical="center"/>
      <protection/>
    </xf>
    <xf numFmtId="3" fontId="89" fillId="0" borderId="87" xfId="150" applyNumberFormat="1" applyFont="1" applyFill="1" applyBorder="1" applyAlignment="1">
      <alignment horizontal="right" vertical="center"/>
      <protection/>
    </xf>
    <xf numFmtId="4" fontId="89" fillId="0" borderId="87" xfId="150" applyNumberFormat="1" applyFont="1" applyFill="1" applyBorder="1" applyAlignment="1">
      <alignment horizontal="right" vertical="center"/>
      <protection/>
    </xf>
    <xf numFmtId="4" fontId="89" fillId="0" borderId="163" xfId="150" applyNumberFormat="1" applyFont="1" applyFill="1" applyBorder="1" applyAlignment="1">
      <alignment horizontal="right" vertical="center"/>
      <protection/>
    </xf>
    <xf numFmtId="3" fontId="89" fillId="0" borderId="263" xfId="150" applyNumberFormat="1" applyFont="1" applyFill="1" applyBorder="1" applyAlignment="1">
      <alignment horizontal="right" vertical="center"/>
      <protection/>
    </xf>
    <xf numFmtId="3" fontId="89" fillId="0" borderId="86" xfId="150" applyNumberFormat="1" applyFont="1" applyFill="1" applyBorder="1" applyAlignment="1">
      <alignment horizontal="right" vertical="center"/>
      <protection/>
    </xf>
    <xf numFmtId="4" fontId="89" fillId="0" borderId="87" xfId="151" applyNumberFormat="1" applyFont="1" applyFill="1" applyBorder="1" applyAlignment="1" applyProtection="1">
      <alignment horizontal="right" vertical="center"/>
      <protection hidden="1"/>
    </xf>
    <xf numFmtId="4" fontId="89" fillId="0" borderId="163" xfId="151" applyNumberFormat="1" applyFont="1" applyFill="1" applyBorder="1" applyAlignment="1" applyProtection="1">
      <alignment horizontal="right" vertical="center"/>
      <protection hidden="1"/>
    </xf>
    <xf numFmtId="3" fontId="89" fillId="0" borderId="172" xfId="150" applyNumberFormat="1" applyFont="1" applyFill="1" applyBorder="1" applyAlignment="1">
      <alignment horizontal="right" vertical="center"/>
      <protection/>
    </xf>
    <xf numFmtId="3" fontId="89" fillId="0" borderId="89" xfId="150" applyNumberFormat="1" applyFont="1" applyFill="1" applyBorder="1" applyAlignment="1">
      <alignment horizontal="right" vertical="center"/>
      <protection/>
    </xf>
    <xf numFmtId="3" fontId="89" fillId="0" borderId="173" xfId="150" applyNumberFormat="1" applyFont="1" applyFill="1" applyBorder="1" applyAlignment="1">
      <alignment horizontal="right" vertical="center"/>
      <protection/>
    </xf>
    <xf numFmtId="3" fontId="89" fillId="0" borderId="75" xfId="150" applyNumberFormat="1" applyFont="1" applyFill="1" applyBorder="1" applyAlignment="1">
      <alignment horizontal="right" vertical="center"/>
      <protection/>
    </xf>
    <xf numFmtId="3" fontId="89" fillId="0" borderId="74" xfId="150" applyNumberFormat="1" applyFont="1" applyFill="1" applyBorder="1" applyAlignment="1">
      <alignment horizontal="right" vertical="center"/>
      <protection/>
    </xf>
    <xf numFmtId="4" fontId="89" fillId="0" borderId="74" xfId="151" applyNumberFormat="1" applyFont="1" applyFill="1" applyBorder="1" applyAlignment="1" applyProtection="1">
      <alignment horizontal="right" vertical="center"/>
      <protection hidden="1"/>
    </xf>
    <xf numFmtId="4" fontId="89" fillId="0" borderId="173" xfId="151" applyNumberFormat="1" applyFont="1" applyFill="1" applyBorder="1" applyAlignment="1" applyProtection="1">
      <alignment horizontal="right" vertical="center"/>
      <protection hidden="1"/>
    </xf>
    <xf numFmtId="49" fontId="99" fillId="0" borderId="264" xfId="140" applyNumberFormat="1" applyFont="1" applyFill="1" applyBorder="1" applyAlignment="1">
      <alignment horizontal="left" vertical="center" wrapText="1" indent="1"/>
      <protection/>
    </xf>
    <xf numFmtId="49" fontId="99" fillId="0" borderId="264" xfId="140" applyNumberFormat="1" applyFont="1" applyFill="1" applyBorder="1" applyAlignment="1">
      <alignment horizontal="left" vertical="center" wrapText="1" indent="1"/>
      <protection/>
    </xf>
    <xf numFmtId="3" fontId="99" fillId="0" borderId="265" xfId="150" applyNumberFormat="1" applyFont="1" applyFill="1" applyBorder="1" applyAlignment="1">
      <alignment horizontal="right" vertical="center"/>
      <protection/>
    </xf>
    <xf numFmtId="3" fontId="99" fillId="0" borderId="266" xfId="150" applyNumberFormat="1" applyFont="1" applyFill="1" applyBorder="1" applyAlignment="1">
      <alignment horizontal="right" vertical="center"/>
      <protection/>
    </xf>
    <xf numFmtId="4" fontId="99" fillId="0" borderId="266" xfId="150" applyNumberFormat="1" applyFont="1" applyFill="1" applyBorder="1" applyAlignment="1">
      <alignment horizontal="right" vertical="center"/>
      <protection/>
    </xf>
    <xf numFmtId="4" fontId="99" fillId="0" borderId="267" xfId="150" applyNumberFormat="1" applyFont="1" applyFill="1" applyBorder="1" applyAlignment="1">
      <alignment horizontal="right" vertical="center"/>
      <protection/>
    </xf>
    <xf numFmtId="0" fontId="99" fillId="0" borderId="0" xfId="150" applyFont="1" applyFill="1">
      <alignment/>
      <protection/>
    </xf>
    <xf numFmtId="0" fontId="99" fillId="0" borderId="0" xfId="135" applyFont="1" applyFill="1" applyAlignment="1">
      <alignment vertical="center"/>
      <protection/>
    </xf>
    <xf numFmtId="49" fontId="91" fillId="0" borderId="170" xfId="140" applyNumberFormat="1" applyFont="1" applyFill="1" applyBorder="1" applyAlignment="1">
      <alignment horizontal="left" vertical="center" indent="2"/>
      <protection/>
    </xf>
    <xf numFmtId="49" fontId="91" fillId="0" borderId="170" xfId="140" applyNumberFormat="1" applyFont="1" applyFill="1" applyBorder="1" applyAlignment="1">
      <alignment horizontal="left" vertical="center" wrapText="1" indent="2"/>
      <protection/>
    </xf>
    <xf numFmtId="49" fontId="91" fillId="0" borderId="187" xfId="140" applyNumberFormat="1" applyFont="1" applyFill="1" applyBorder="1" applyAlignment="1">
      <alignment horizontal="left" vertical="center" indent="2"/>
      <protection/>
    </xf>
    <xf numFmtId="49" fontId="91" fillId="0" borderId="253" xfId="140" applyNumberFormat="1" applyFont="1" applyFill="1" applyBorder="1" applyAlignment="1">
      <alignment horizontal="left" vertical="center" wrapText="1" indent="3"/>
      <protection/>
    </xf>
    <xf numFmtId="49" fontId="91" fillId="0" borderId="189" xfId="140" applyNumberFormat="1" applyFont="1" applyFill="1" applyBorder="1" applyAlignment="1">
      <alignment horizontal="left" vertical="center" wrapText="1" indent="3"/>
      <protection/>
    </xf>
    <xf numFmtId="49" fontId="91" fillId="0" borderId="254" xfId="140" applyNumberFormat="1" applyFont="1" applyFill="1" applyBorder="1" applyAlignment="1">
      <alignment horizontal="left" vertical="center" wrapText="1" indent="3"/>
      <protection/>
    </xf>
    <xf numFmtId="0" fontId="39" fillId="0" borderId="182" xfId="150" applyFont="1" applyFill="1" applyBorder="1" applyAlignment="1">
      <alignment horizontal="center" vertical="center" wrapText="1"/>
      <protection/>
    </xf>
    <xf numFmtId="0" fontId="39" fillId="0" borderId="166" xfId="150" applyFont="1" applyFill="1" applyBorder="1" applyAlignment="1">
      <alignment horizontal="center" vertical="center" wrapText="1"/>
      <protection/>
    </xf>
    <xf numFmtId="0" fontId="39" fillId="0" borderId="39" xfId="150" applyFont="1" applyFill="1" applyBorder="1" applyAlignment="1">
      <alignment horizontal="center" vertical="center" wrapText="1"/>
      <protection/>
    </xf>
    <xf numFmtId="0" fontId="39" fillId="0" borderId="39" xfId="150" applyFont="1" applyFill="1" applyBorder="1" applyAlignment="1">
      <alignment horizontal="center" vertical="center"/>
      <protection/>
    </xf>
    <xf numFmtId="0" fontId="39" fillId="0" borderId="54" xfId="150" applyFont="1" applyFill="1" applyBorder="1" applyAlignment="1">
      <alignment horizontal="center" vertical="center"/>
      <protection/>
    </xf>
    <xf numFmtId="0" fontId="39" fillId="0" borderId="268" xfId="150" applyFont="1" applyFill="1" applyBorder="1" applyAlignment="1">
      <alignment horizontal="center" vertical="center"/>
      <protection/>
    </xf>
    <xf numFmtId="0" fontId="39" fillId="0" borderId="55" xfId="150" applyFont="1" applyFill="1" applyBorder="1" applyAlignment="1">
      <alignment horizontal="center" vertical="center" wrapText="1"/>
      <protection/>
    </xf>
    <xf numFmtId="0" fontId="39" fillId="0" borderId="269" xfId="150" applyFont="1" applyFill="1" applyBorder="1" applyAlignment="1">
      <alignment horizontal="center" vertical="center" wrapText="1"/>
      <protection/>
    </xf>
    <xf numFmtId="0" fontId="39" fillId="0" borderId="55" xfId="150" applyFont="1" applyFill="1" applyBorder="1" applyAlignment="1">
      <alignment horizontal="center" vertical="center"/>
      <protection/>
    </xf>
    <xf numFmtId="0" fontId="100" fillId="0" borderId="55" xfId="150" applyFont="1" applyFill="1" applyBorder="1" applyAlignment="1">
      <alignment horizontal="center" vertical="center" wrapText="1"/>
      <protection/>
    </xf>
    <xf numFmtId="0" fontId="39" fillId="0" borderId="107" xfId="150" applyFont="1" applyFill="1" applyBorder="1" applyAlignment="1">
      <alignment horizontal="center" vertical="center" wrapText="1"/>
      <protection/>
    </xf>
    <xf numFmtId="168" fontId="32" fillId="37" borderId="77" xfId="137" applyNumberFormat="1" applyFont="1" applyFill="1" applyBorder="1">
      <alignment/>
      <protection/>
    </xf>
    <xf numFmtId="0" fontId="57" fillId="0" borderId="196" xfId="145" applyFont="1" applyBorder="1" applyAlignment="1">
      <alignment horizontal="left"/>
      <protection/>
    </xf>
    <xf numFmtId="0" fontId="57" fillId="0" borderId="185" xfId="145" applyFont="1" applyBorder="1" applyAlignment="1">
      <alignment horizontal="left"/>
      <protection/>
    </xf>
    <xf numFmtId="0" fontId="60" fillId="0" borderId="43" xfId="145" applyFont="1" applyBorder="1" applyAlignment="1">
      <alignment horizontal="center"/>
      <protection/>
    </xf>
    <xf numFmtId="0" fontId="60" fillId="0" borderId="51" xfId="145" applyFont="1" applyBorder="1" applyAlignment="1">
      <alignment horizontal="center"/>
      <protection/>
    </xf>
    <xf numFmtId="0" fontId="60" fillId="0" borderId="52" xfId="145" applyFont="1" applyBorder="1" applyAlignment="1">
      <alignment horizontal="center"/>
      <protection/>
    </xf>
    <xf numFmtId="0" fontId="60" fillId="0" borderId="194" xfId="145" applyFont="1" applyBorder="1" applyAlignment="1" applyProtection="1">
      <alignment horizontal="center"/>
      <protection locked="0"/>
    </xf>
    <xf numFmtId="0" fontId="60" fillId="0" borderId="125" xfId="145" applyFont="1" applyBorder="1" applyAlignment="1" applyProtection="1">
      <alignment horizontal="center"/>
      <protection locked="0"/>
    </xf>
    <xf numFmtId="0" fontId="60" fillId="0" borderId="190" xfId="145" applyFont="1" applyBorder="1" applyAlignment="1" applyProtection="1">
      <alignment horizontal="center"/>
      <protection locked="0"/>
    </xf>
    <xf numFmtId="0" fontId="57" fillId="0" borderId="195" xfId="145" applyFont="1" applyBorder="1" applyAlignment="1">
      <alignment horizontal="left"/>
      <protection/>
    </xf>
    <xf numFmtId="0" fontId="57" fillId="0" borderId="198" xfId="145" applyFont="1" applyBorder="1" applyAlignment="1">
      <alignment horizontal="center" wrapText="1"/>
      <protection/>
    </xf>
    <xf numFmtId="0" fontId="1" fillId="0" borderId="114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/>
    </xf>
    <xf numFmtId="0" fontId="57" fillId="0" borderId="185" xfId="145" applyFont="1" applyBorder="1" applyAlignment="1">
      <alignment horizontal="center" wrapText="1"/>
      <protection/>
    </xf>
    <xf numFmtId="0" fontId="1" fillId="0" borderId="112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readingOrder="1"/>
    </xf>
    <xf numFmtId="0" fontId="8" fillId="0" borderId="0" xfId="0" applyFont="1" applyAlignment="1">
      <alignment horizontal="center"/>
    </xf>
    <xf numFmtId="14" fontId="3" fillId="0" borderId="0" xfId="139" applyNumberFormat="1" applyFont="1" applyFill="1" applyAlignment="1">
      <alignment horizontal="right"/>
      <protection/>
    </xf>
    <xf numFmtId="0" fontId="7" fillId="0" borderId="0" xfId="139" applyAlignment="1">
      <alignment/>
      <protection/>
    </xf>
    <xf numFmtId="0" fontId="14" fillId="0" borderId="0" xfId="141" applyFont="1" applyFill="1" applyAlignment="1">
      <alignment horizontal="right"/>
      <protection/>
    </xf>
    <xf numFmtId="49" fontId="37" fillId="0" borderId="0" xfId="141" applyNumberFormat="1" applyFont="1" applyFill="1" applyAlignment="1">
      <alignment horizontal="center" wrapText="1"/>
      <protection/>
    </xf>
    <xf numFmtId="49" fontId="72" fillId="0" borderId="0" xfId="141" applyNumberFormat="1" applyFont="1" applyFill="1" applyAlignment="1">
      <alignment horizontal="left" wrapText="1"/>
      <protection/>
    </xf>
    <xf numFmtId="0" fontId="72" fillId="0" borderId="270" xfId="141" applyFont="1" applyFill="1" applyBorder="1" applyAlignment="1">
      <alignment horizontal="left" vertical="top" wrapText="1"/>
      <protection/>
    </xf>
    <xf numFmtId="0" fontId="57" fillId="0" borderId="198" xfId="145" applyFont="1" applyBorder="1" applyAlignment="1">
      <alignment horizontal="left"/>
      <protection/>
    </xf>
    <xf numFmtId="0" fontId="1" fillId="0" borderId="0" xfId="145" applyFont="1" applyAlignment="1">
      <alignment horizontal="center"/>
      <protection/>
    </xf>
    <xf numFmtId="0" fontId="57" fillId="0" borderId="201" xfId="145" applyFont="1" applyBorder="1" applyAlignment="1">
      <alignment horizontal="center" wrapText="1"/>
      <protection/>
    </xf>
    <xf numFmtId="0" fontId="57" fillId="0" borderId="202" xfId="145" applyFont="1" applyBorder="1" applyAlignment="1">
      <alignment horizontal="center" wrapText="1"/>
      <protection/>
    </xf>
    <xf numFmtId="0" fontId="0" fillId="0" borderId="195" xfId="145" applyFont="1" applyBorder="1" applyAlignment="1">
      <alignment horizontal="center" wrapText="1"/>
      <protection/>
    </xf>
    <xf numFmtId="0" fontId="0" fillId="0" borderId="196" xfId="145" applyFont="1" applyBorder="1" applyAlignment="1">
      <alignment horizontal="center" wrapText="1"/>
      <protection/>
    </xf>
    <xf numFmtId="0" fontId="57" fillId="0" borderId="204" xfId="145" applyFont="1" applyBorder="1" applyAlignment="1">
      <alignment horizontal="center" wrapText="1"/>
      <protection/>
    </xf>
    <xf numFmtId="0" fontId="57" fillId="0" borderId="205" xfId="145" applyFont="1" applyBorder="1" applyAlignment="1">
      <alignment horizontal="center" wrapText="1"/>
      <protection/>
    </xf>
    <xf numFmtId="0" fontId="31" fillId="0" borderId="204" xfId="145" applyFont="1" applyBorder="1" applyAlignment="1">
      <alignment horizontal="left" wrapText="1"/>
      <protection/>
    </xf>
    <xf numFmtId="0" fontId="31" fillId="0" borderId="205" xfId="145" applyFont="1" applyBorder="1" applyAlignment="1">
      <alignment horizontal="left" wrapText="1"/>
      <protection/>
    </xf>
    <xf numFmtId="0" fontId="31" fillId="51" borderId="43" xfId="145" applyFont="1" applyFill="1" applyBorder="1" applyAlignment="1">
      <alignment horizontal="left" wrapText="1"/>
      <protection/>
    </xf>
    <xf numFmtId="0" fontId="31" fillId="51" borderId="51" xfId="145" applyFont="1" applyFill="1" applyBorder="1" applyAlignment="1">
      <alignment horizontal="left" wrapText="1"/>
      <protection/>
    </xf>
    <xf numFmtId="0" fontId="3" fillId="0" borderId="0" xfId="145" applyFont="1" applyAlignment="1">
      <alignment horizontal="center"/>
      <protection/>
    </xf>
    <xf numFmtId="0" fontId="60" fillId="0" borderId="43" xfId="145" applyFont="1" applyBorder="1" applyAlignment="1">
      <alignment horizontal="center"/>
      <protection/>
    </xf>
    <xf numFmtId="0" fontId="60" fillId="0" borderId="51" xfId="145" applyFont="1" applyBorder="1" applyAlignment="1">
      <alignment horizontal="center"/>
      <protection/>
    </xf>
    <xf numFmtId="0" fontId="60" fillId="0" borderId="52" xfId="145" applyFont="1" applyBorder="1" applyAlignment="1">
      <alignment horizontal="center"/>
      <protection/>
    </xf>
    <xf numFmtId="0" fontId="60" fillId="0" borderId="194" xfId="145" applyFont="1" applyBorder="1" applyAlignment="1">
      <alignment horizontal="center"/>
      <protection/>
    </xf>
    <xf numFmtId="0" fontId="60" fillId="0" borderId="125" xfId="145" applyFont="1" applyBorder="1" applyAlignment="1">
      <alignment horizontal="center"/>
      <protection/>
    </xf>
    <xf numFmtId="0" fontId="60" fillId="0" borderId="190" xfId="145" applyFont="1" applyBorder="1" applyAlignment="1">
      <alignment horizontal="center"/>
      <protection/>
    </xf>
    <xf numFmtId="0" fontId="60" fillId="0" borderId="194" xfId="145" applyFont="1" applyBorder="1" applyAlignment="1">
      <alignment horizontal="center"/>
      <protection/>
    </xf>
    <xf numFmtId="0" fontId="60" fillId="0" borderId="125" xfId="145" applyFont="1" applyBorder="1" applyAlignment="1">
      <alignment horizontal="center"/>
      <protection/>
    </xf>
    <xf numFmtId="0" fontId="60" fillId="0" borderId="190" xfId="145" applyFont="1" applyBorder="1" applyAlignment="1">
      <alignment horizontal="center"/>
      <protection/>
    </xf>
    <xf numFmtId="0" fontId="0" fillId="0" borderId="204" xfId="145" applyFont="1" applyBorder="1" applyAlignment="1">
      <alignment horizontal="center" wrapText="1"/>
      <protection/>
    </xf>
    <xf numFmtId="0" fontId="0" fillId="0" borderId="205" xfId="145" applyFont="1" applyBorder="1" applyAlignment="1">
      <alignment horizontal="center" wrapText="1"/>
      <protection/>
    </xf>
    <xf numFmtId="0" fontId="0" fillId="0" borderId="185" xfId="145" applyFont="1" applyBorder="1" applyAlignment="1">
      <alignment horizontal="left" wrapText="1"/>
      <protection/>
    </xf>
    <xf numFmtId="0" fontId="0" fillId="0" borderId="198" xfId="145" applyFont="1" applyBorder="1" applyAlignment="1">
      <alignment horizontal="left" wrapText="1"/>
      <protection/>
    </xf>
    <xf numFmtId="0" fontId="0" fillId="0" borderId="201" xfId="145" applyFont="1" applyBorder="1" applyAlignment="1">
      <alignment horizontal="left" wrapText="1"/>
      <protection/>
    </xf>
    <xf numFmtId="0" fontId="0" fillId="0" borderId="202" xfId="145" applyFont="1" applyBorder="1" applyAlignment="1">
      <alignment horizontal="left" wrapText="1"/>
      <protection/>
    </xf>
    <xf numFmtId="0" fontId="0" fillId="0" borderId="4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149" applyFont="1" applyAlignment="1">
      <alignment horizontal="left"/>
      <protection/>
    </xf>
    <xf numFmtId="0" fontId="64" fillId="0" borderId="16" xfId="149" applyFont="1" applyBorder="1" applyAlignment="1">
      <alignment horizontal="center" vertical="center"/>
      <protection/>
    </xf>
    <xf numFmtId="0" fontId="64" fillId="0" borderId="16" xfId="149" applyFont="1" applyBorder="1" applyAlignment="1">
      <alignment horizontal="center" vertical="center" wrapText="1"/>
      <protection/>
    </xf>
    <xf numFmtId="0" fontId="64" fillId="0" borderId="192" xfId="149" applyFont="1" applyBorder="1" applyAlignment="1">
      <alignment horizontal="center" vertical="center"/>
      <protection/>
    </xf>
    <xf numFmtId="0" fontId="31" fillId="51" borderId="119" xfId="149" applyFont="1" applyFill="1" applyBorder="1">
      <alignment/>
      <protection/>
    </xf>
    <xf numFmtId="0" fontId="31" fillId="51" borderId="120" xfId="149" applyFont="1" applyFill="1" applyBorder="1">
      <alignment/>
      <protection/>
    </xf>
    <xf numFmtId="0" fontId="31" fillId="51" borderId="121" xfId="149" applyFont="1" applyFill="1" applyBorder="1">
      <alignment/>
      <protection/>
    </xf>
    <xf numFmtId="0" fontId="31" fillId="0" borderId="204" xfId="149" applyFont="1" applyBorder="1">
      <alignment/>
      <protection/>
    </xf>
    <xf numFmtId="0" fontId="31" fillId="0" borderId="120" xfId="149" applyFont="1" applyBorder="1">
      <alignment/>
      <protection/>
    </xf>
    <xf numFmtId="0" fontId="31" fillId="0" borderId="121" xfId="149" applyFont="1" applyBorder="1">
      <alignment/>
      <protection/>
    </xf>
    <xf numFmtId="0" fontId="0" fillId="0" borderId="0" xfId="149" applyFont="1" applyBorder="1" applyAlignment="1">
      <alignment horizontal="right"/>
      <protection/>
    </xf>
    <xf numFmtId="0" fontId="0" fillId="0" borderId="0" xfId="149" applyBorder="1" applyAlignment="1">
      <alignment horizontal="right"/>
      <protection/>
    </xf>
    <xf numFmtId="0" fontId="1" fillId="0" borderId="271" xfId="149" applyFont="1" applyBorder="1" applyAlignment="1">
      <alignment horizontal="left" vertical="center"/>
      <protection/>
    </xf>
    <xf numFmtId="0" fontId="1" fillId="0" borderId="0" xfId="149" applyFont="1" applyBorder="1" applyAlignment="1">
      <alignment horizontal="left" vertical="center"/>
      <protection/>
    </xf>
    <xf numFmtId="0" fontId="1" fillId="0" borderId="49" xfId="149" applyFont="1" applyBorder="1" applyAlignment="1">
      <alignment horizontal="left" vertical="center"/>
      <protection/>
    </xf>
    <xf numFmtId="0" fontId="64" fillId="0" borderId="139" xfId="149" applyFont="1" applyBorder="1" applyAlignment="1">
      <alignment horizontal="center" vertical="center"/>
      <protection/>
    </xf>
    <xf numFmtId="0" fontId="64" fillId="0" borderId="272" xfId="149" applyFont="1" applyBorder="1" applyAlignment="1">
      <alignment horizontal="center" vertical="center"/>
      <protection/>
    </xf>
    <xf numFmtId="0" fontId="64" fillId="0" borderId="156" xfId="149" applyFont="1" applyBorder="1" applyAlignment="1">
      <alignment horizontal="center" vertical="center"/>
      <protection/>
    </xf>
    <xf numFmtId="0" fontId="64" fillId="0" borderId="147" xfId="149" applyFont="1" applyBorder="1" applyAlignment="1">
      <alignment horizontal="center" vertical="center"/>
      <protection/>
    </xf>
    <xf numFmtId="0" fontId="64" fillId="0" borderId="0" xfId="149" applyFont="1" applyBorder="1" applyAlignment="1">
      <alignment horizontal="center" vertical="center"/>
      <protection/>
    </xf>
    <xf numFmtId="0" fontId="64" fillId="0" borderId="66" xfId="149" applyFont="1" applyBorder="1" applyAlignment="1">
      <alignment horizontal="center" vertical="center"/>
      <protection/>
    </xf>
    <xf numFmtId="0" fontId="64" fillId="0" borderId="145" xfId="149" applyFont="1" applyBorder="1" applyAlignment="1">
      <alignment horizontal="center" vertical="center"/>
      <protection/>
    </xf>
    <xf numFmtId="0" fontId="64" fillId="0" borderId="273" xfId="149" applyFont="1" applyBorder="1" applyAlignment="1">
      <alignment horizontal="center" vertical="center"/>
      <protection/>
    </xf>
    <xf numFmtId="0" fontId="64" fillId="0" borderId="67" xfId="149" applyFont="1" applyBorder="1" applyAlignment="1">
      <alignment horizontal="center" vertical="center"/>
      <protection/>
    </xf>
    <xf numFmtId="0" fontId="64" fillId="0" borderId="32" xfId="149" applyFont="1" applyBorder="1" applyAlignment="1">
      <alignment horizontal="center" vertical="center" wrapText="1"/>
      <protection/>
    </xf>
    <xf numFmtId="0" fontId="64" fillId="0" borderId="31" xfId="149" applyFont="1" applyBorder="1" applyAlignment="1">
      <alignment horizontal="center" vertical="center" wrapText="1"/>
      <protection/>
    </xf>
    <xf numFmtId="0" fontId="64" fillId="0" borderId="28" xfId="149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90" fillId="0" borderId="0" xfId="0" applyFont="1" applyFill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 wrapText="1"/>
    </xf>
    <xf numFmtId="0" fontId="86" fillId="0" borderId="63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7" fillId="0" borderId="90" xfId="0" applyFont="1" applyFill="1" applyBorder="1" applyAlignment="1">
      <alignment horizontal="left" vertical="center" indent="2"/>
    </xf>
    <xf numFmtId="0" fontId="77" fillId="0" borderId="81" xfId="0" applyFont="1" applyFill="1" applyBorder="1" applyAlignment="1">
      <alignment horizontal="left" vertical="center" indent="2"/>
    </xf>
    <xf numFmtId="0" fontId="86" fillId="0" borderId="273" xfId="0" applyFont="1" applyFill="1" applyBorder="1" applyAlignment="1">
      <alignment horizontal="center" vertical="center" wrapText="1"/>
    </xf>
    <xf numFmtId="0" fontId="86" fillId="0" borderId="25" xfId="0" applyFont="1" applyFill="1" applyBorder="1" applyAlignment="1">
      <alignment horizontal="center" vertical="center" wrapText="1"/>
    </xf>
    <xf numFmtId="0" fontId="86" fillId="0" borderId="148" xfId="0" applyFont="1" applyFill="1" applyBorder="1" applyAlignment="1">
      <alignment horizontal="center" vertical="center" wrapText="1"/>
    </xf>
    <xf numFmtId="0" fontId="86" fillId="0" borderId="165" xfId="0" applyFont="1" applyFill="1" applyBorder="1" applyAlignment="1">
      <alignment horizontal="center" vertical="center" wrapText="1"/>
    </xf>
    <xf numFmtId="0" fontId="86" fillId="0" borderId="60" xfId="0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center" vertical="center" wrapText="1"/>
    </xf>
    <xf numFmtId="0" fontId="86" fillId="0" borderId="67" xfId="0" applyFont="1" applyFill="1" applyBorder="1" applyAlignment="1">
      <alignment horizontal="center" vertical="center" wrapText="1"/>
    </xf>
    <xf numFmtId="0" fontId="86" fillId="0" borderId="104" xfId="0" applyFont="1" applyFill="1" applyBorder="1" applyAlignment="1">
      <alignment horizontal="center" vertical="center" wrapText="1"/>
    </xf>
    <xf numFmtId="0" fontId="86" fillId="0" borderId="64" xfId="0" applyFont="1" applyFill="1" applyBorder="1" applyAlignment="1">
      <alignment horizontal="center" vertical="center" wrapText="1"/>
    </xf>
    <xf numFmtId="0" fontId="86" fillId="0" borderId="145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6" fillId="0" borderId="36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86" fillId="0" borderId="90" xfId="0" applyFont="1" applyFill="1" applyBorder="1" applyAlignment="1">
      <alignment horizontal="center" vertical="center" wrapText="1"/>
    </xf>
    <xf numFmtId="0" fontId="86" fillId="0" borderId="80" xfId="0" applyFont="1" applyFill="1" applyBorder="1" applyAlignment="1">
      <alignment horizontal="center" vertical="center" wrapText="1"/>
    </xf>
    <xf numFmtId="0" fontId="86" fillId="0" borderId="81" xfId="0" applyFont="1" applyFill="1" applyBorder="1" applyAlignment="1">
      <alignment horizontal="center" vertical="center" wrapText="1"/>
    </xf>
    <xf numFmtId="0" fontId="86" fillId="0" borderId="64" xfId="0" applyFont="1" applyFill="1" applyBorder="1" applyAlignment="1">
      <alignment/>
    </xf>
    <xf numFmtId="0" fontId="86" fillId="0" borderId="36" xfId="0" applyFont="1" applyFill="1" applyBorder="1" applyAlignment="1">
      <alignment/>
    </xf>
    <xf numFmtId="0" fontId="86" fillId="0" borderId="26" xfId="0" applyFont="1" applyFill="1" applyBorder="1" applyAlignment="1">
      <alignment/>
    </xf>
    <xf numFmtId="0" fontId="86" fillId="0" borderId="35" xfId="0" applyFont="1" applyFill="1" applyBorder="1" applyAlignment="1">
      <alignment/>
    </xf>
    <xf numFmtId="0" fontId="86" fillId="0" borderId="25" xfId="0" applyFont="1" applyFill="1" applyBorder="1" applyAlignment="1">
      <alignment/>
    </xf>
    <xf numFmtId="0" fontId="86" fillId="0" borderId="38" xfId="0" applyFont="1" applyFill="1" applyBorder="1" applyAlignment="1">
      <alignment horizontal="center" vertical="center" wrapText="1"/>
    </xf>
    <xf numFmtId="0" fontId="86" fillId="0" borderId="179" xfId="0" applyFont="1" applyFill="1" applyBorder="1" applyAlignment="1">
      <alignment horizontal="center" vertical="center" wrapText="1"/>
    </xf>
    <xf numFmtId="0" fontId="86" fillId="0" borderId="137" xfId="0" applyFont="1" applyFill="1" applyBorder="1" applyAlignment="1">
      <alignment horizontal="center" vertical="center" wrapText="1"/>
    </xf>
    <xf numFmtId="0" fontId="86" fillId="0" borderId="146" xfId="0" applyFont="1" applyFill="1" applyBorder="1" applyAlignment="1">
      <alignment horizontal="center" vertical="center" wrapText="1"/>
    </xf>
    <xf numFmtId="0" fontId="7" fillId="0" borderId="148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65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7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left"/>
    </xf>
    <xf numFmtId="4" fontId="82" fillId="0" borderId="0" xfId="135" applyNumberFormat="1" applyFont="1" applyFill="1" applyAlignment="1">
      <alignment horizontal="right"/>
      <protection/>
    </xf>
    <xf numFmtId="0" fontId="82" fillId="0" borderId="0" xfId="135" applyFont="1" applyFill="1" applyAlignment="1">
      <alignment horizontal="center"/>
      <protection/>
    </xf>
    <xf numFmtId="167" fontId="89" fillId="0" borderId="192" xfId="151" applyNumberFormat="1" applyFont="1" applyFill="1" applyBorder="1" applyAlignment="1" applyProtection="1">
      <alignment horizontal="center" vertical="center" wrapText="1"/>
      <protection hidden="1"/>
    </xf>
    <xf numFmtId="167" fontId="89" fillId="0" borderId="57" xfId="151" applyNumberFormat="1" applyFont="1" applyFill="1" applyBorder="1" applyAlignment="1" applyProtection="1">
      <alignment horizontal="center" vertical="center" wrapText="1"/>
      <protection hidden="1"/>
    </xf>
    <xf numFmtId="167" fontId="89" fillId="0" borderId="127" xfId="151" applyNumberFormat="1" applyFont="1" applyFill="1" applyBorder="1" applyAlignment="1" applyProtection="1">
      <alignment horizontal="center" vertical="center" wrapText="1"/>
      <protection hidden="1"/>
    </xf>
    <xf numFmtId="0" fontId="89" fillId="0" borderId="61" xfId="135" applyFont="1" applyFill="1" applyBorder="1" applyAlignment="1">
      <alignment horizontal="center" vertical="center" wrapText="1"/>
      <protection/>
    </xf>
    <xf numFmtId="0" fontId="89" fillId="0" borderId="57" xfId="135" applyFont="1" applyFill="1" applyBorder="1" applyAlignment="1">
      <alignment horizontal="center" vertical="center" wrapText="1"/>
      <protection/>
    </xf>
    <xf numFmtId="0" fontId="89" fillId="0" borderId="127" xfId="135" applyFont="1" applyFill="1" applyBorder="1" applyAlignment="1">
      <alignment horizontal="center" vertical="center" wrapText="1"/>
      <protection/>
    </xf>
    <xf numFmtId="0" fontId="7" fillId="0" borderId="0" xfId="135" applyFont="1" applyFill="1" applyBorder="1" applyAlignment="1">
      <alignment wrapText="1"/>
      <protection/>
    </xf>
    <xf numFmtId="167" fontId="89" fillId="0" borderId="192" xfId="151" applyNumberFormat="1" applyFont="1" applyFill="1" applyBorder="1" applyAlignment="1" applyProtection="1">
      <alignment horizontal="center" vertical="center"/>
      <protection hidden="1"/>
    </xf>
    <xf numFmtId="0" fontId="89" fillId="0" borderId="57" xfId="150" applyFont="1" applyFill="1" applyBorder="1" applyAlignment="1">
      <alignment horizontal="center"/>
      <protection/>
    </xf>
    <xf numFmtId="0" fontId="89" fillId="0" borderId="127" xfId="150" applyFont="1" applyFill="1" applyBorder="1" applyAlignment="1">
      <alignment horizontal="center"/>
      <protection/>
    </xf>
    <xf numFmtId="167" fontId="89" fillId="0" borderId="212" xfId="151" applyNumberFormat="1" applyFont="1" applyFill="1" applyBorder="1" applyAlignment="1" applyProtection="1">
      <alignment horizontal="center" vertical="center"/>
      <protection hidden="1"/>
    </xf>
    <xf numFmtId="0" fontId="89" fillId="0" borderId="274" xfId="150" applyFont="1" applyFill="1" applyBorder="1" applyAlignment="1">
      <alignment horizontal="center"/>
      <protection/>
    </xf>
    <xf numFmtId="0" fontId="89" fillId="0" borderId="143" xfId="150" applyFont="1" applyFill="1" applyBorder="1" applyAlignment="1">
      <alignment horizontal="center"/>
      <protection/>
    </xf>
    <xf numFmtId="0" fontId="89" fillId="0" borderId="16" xfId="135" applyFont="1" applyFill="1" applyBorder="1" applyAlignment="1">
      <alignment horizontal="center" vertical="center" wrapText="1"/>
      <protection/>
    </xf>
    <xf numFmtId="0" fontId="89" fillId="0" borderId="16" xfId="150" applyFont="1" applyFill="1" applyBorder="1" applyAlignment="1">
      <alignment horizontal="center" vertical="center" wrapText="1"/>
      <protection/>
    </xf>
    <xf numFmtId="0" fontId="39" fillId="0" borderId="275" xfId="135" applyFont="1" applyFill="1" applyBorder="1" applyAlignment="1">
      <alignment horizontal="center" wrapText="1"/>
      <protection/>
    </xf>
    <xf numFmtId="0" fontId="39" fillId="0" borderId="189" xfId="135" applyFont="1" applyFill="1" applyBorder="1" applyAlignment="1">
      <alignment horizontal="center" wrapText="1"/>
      <protection/>
    </xf>
    <xf numFmtId="0" fontId="0" fillId="0" borderId="189" xfId="0" applyFont="1" applyFill="1" applyBorder="1" applyAlignment="1">
      <alignment horizontal="center" wrapText="1"/>
    </xf>
    <xf numFmtId="0" fontId="0" fillId="0" borderId="109" xfId="0" applyFont="1" applyFill="1" applyBorder="1" applyAlignment="1">
      <alignment horizontal="center" wrapText="1"/>
    </xf>
    <xf numFmtId="0" fontId="89" fillId="0" borderId="131" xfId="135" applyFont="1" applyFill="1" applyBorder="1" applyAlignment="1">
      <alignment horizontal="center" vertical="center" wrapText="1"/>
      <protection/>
    </xf>
    <xf numFmtId="0" fontId="89" fillId="0" borderId="16" xfId="135" applyFont="1" applyFill="1" applyBorder="1" applyAlignment="1">
      <alignment horizontal="center" vertical="center"/>
      <protection/>
    </xf>
    <xf numFmtId="167" fontId="89" fillId="0" borderId="191" xfId="151" applyNumberFormat="1" applyFont="1" applyFill="1" applyBorder="1" applyAlignment="1" applyProtection="1">
      <alignment horizontal="center" vertical="center" wrapText="1"/>
      <protection hidden="1"/>
    </xf>
    <xf numFmtId="167" fontId="89" fillId="0" borderId="56" xfId="151" applyNumberFormat="1" applyFont="1" applyFill="1" applyBorder="1" applyAlignment="1" applyProtection="1">
      <alignment horizontal="center" vertical="center" wrapText="1"/>
      <protection hidden="1"/>
    </xf>
    <xf numFmtId="167" fontId="89" fillId="0" borderId="144" xfId="151" applyNumberFormat="1" applyFont="1" applyFill="1" applyBorder="1" applyAlignment="1" applyProtection="1">
      <alignment horizontal="center" vertical="center" wrapText="1"/>
      <protection hidden="1"/>
    </xf>
    <xf numFmtId="167" fontId="89" fillId="0" borderId="139" xfId="151" applyNumberFormat="1" applyFont="1" applyFill="1" applyBorder="1" applyAlignment="1" applyProtection="1">
      <alignment horizontal="center" vertical="center" wrapText="1"/>
      <protection hidden="1"/>
    </xf>
    <xf numFmtId="0" fontId="89" fillId="0" borderId="271" xfId="150" applyFont="1" applyFill="1" applyBorder="1" applyAlignment="1">
      <alignment horizontal="center" vertical="center" wrapText="1"/>
      <protection/>
    </xf>
    <xf numFmtId="0" fontId="89" fillId="0" borderId="145" xfId="150" applyFont="1" applyFill="1" applyBorder="1" applyAlignment="1">
      <alignment horizontal="center" vertical="center" wrapText="1"/>
      <protection/>
    </xf>
    <xf numFmtId="0" fontId="89" fillId="0" borderId="185" xfId="135" applyFont="1" applyFill="1" applyBorder="1" applyAlignment="1">
      <alignment horizontal="center" vertical="center" wrapText="1"/>
      <protection/>
    </xf>
    <xf numFmtId="0" fontId="89" fillId="0" borderId="130" xfId="135" applyFont="1" applyFill="1" applyBorder="1" applyAlignment="1">
      <alignment horizontal="center" vertical="center" wrapText="1"/>
      <protection/>
    </xf>
    <xf numFmtId="0" fontId="89" fillId="0" borderId="275" xfId="135" applyFont="1" applyFill="1" applyBorder="1" applyAlignment="1">
      <alignment horizontal="center" vertical="center" wrapText="1"/>
      <protection/>
    </xf>
    <xf numFmtId="0" fontId="89" fillId="0" borderId="189" xfId="135" applyFont="1" applyFill="1" applyBorder="1" applyAlignment="1">
      <alignment horizontal="center" vertical="center" wrapText="1"/>
      <protection/>
    </xf>
    <xf numFmtId="0" fontId="89" fillId="0" borderId="209" xfId="135" applyFont="1" applyFill="1" applyBorder="1" applyAlignment="1">
      <alignment horizontal="center" vertical="center" wrapText="1"/>
      <protection/>
    </xf>
    <xf numFmtId="0" fontId="89" fillId="0" borderId="60" xfId="135" applyFont="1" applyFill="1" applyBorder="1" applyAlignment="1">
      <alignment horizontal="center" vertical="center" wrapText="1"/>
      <protection/>
    </xf>
    <xf numFmtId="0" fontId="89" fillId="0" borderId="276" xfId="135" applyFont="1" applyFill="1" applyBorder="1" applyAlignment="1">
      <alignment horizontal="center" vertical="center" wrapText="1"/>
      <protection/>
    </xf>
    <xf numFmtId="0" fontId="89" fillId="0" borderId="277" xfId="135" applyFont="1" applyFill="1" applyBorder="1" applyAlignment="1">
      <alignment horizontal="center" vertical="center" wrapText="1"/>
      <protection/>
    </xf>
    <xf numFmtId="0" fontId="89" fillId="0" borderId="61" xfId="150" applyFont="1" applyFill="1" applyBorder="1" applyAlignment="1">
      <alignment horizontal="center" vertical="center" wrapText="1"/>
      <protection/>
    </xf>
    <xf numFmtId="0" fontId="89" fillId="0" borderId="57" xfId="150" applyFont="1" applyFill="1" applyBorder="1" applyAlignment="1">
      <alignment horizontal="center" vertical="center" wrapText="1"/>
      <protection/>
    </xf>
    <xf numFmtId="0" fontId="89" fillId="0" borderId="127" xfId="150" applyFont="1" applyFill="1" applyBorder="1" applyAlignment="1">
      <alignment horizontal="center" vertical="center" wrapText="1"/>
      <protection/>
    </xf>
    <xf numFmtId="0" fontId="89" fillId="0" borderId="192" xfId="135" applyFont="1" applyFill="1" applyBorder="1" applyAlignment="1">
      <alignment horizontal="center" vertical="center" wrapText="1"/>
      <protection/>
    </xf>
    <xf numFmtId="0" fontId="89" fillId="0" borderId="43" xfId="135" applyFont="1" applyFill="1" applyBorder="1" applyAlignment="1">
      <alignment horizontal="center" vertical="center" wrapText="1"/>
      <protection/>
    </xf>
    <xf numFmtId="0" fontId="89" fillId="0" borderId="51" xfId="135" applyFont="1" applyFill="1" applyBorder="1" applyAlignment="1">
      <alignment horizontal="center" vertical="center" wrapText="1"/>
      <protection/>
    </xf>
    <xf numFmtId="0" fontId="89" fillId="0" borderId="51" xfId="150" applyFont="1" applyFill="1" applyBorder="1" applyAlignment="1">
      <alignment horizontal="center" vertical="center"/>
      <protection/>
    </xf>
    <xf numFmtId="0" fontId="89" fillId="0" borderId="64" xfId="150" applyFont="1" applyFill="1" applyBorder="1" applyAlignment="1">
      <alignment horizontal="center" vertical="center"/>
      <protection/>
    </xf>
    <xf numFmtId="0" fontId="89" fillId="0" borderId="146" xfId="135" applyFont="1" applyFill="1" applyBorder="1" applyAlignment="1">
      <alignment horizontal="center" vertical="center" wrapText="1"/>
      <protection/>
    </xf>
    <xf numFmtId="0" fontId="89" fillId="0" borderId="198" xfId="135" applyFont="1" applyFill="1" applyBorder="1" applyAlignment="1">
      <alignment horizontal="center" vertical="center" wrapText="1"/>
      <protection/>
    </xf>
    <xf numFmtId="0" fontId="89" fillId="0" borderId="24" xfId="150" applyFont="1" applyFill="1" applyBorder="1" applyAlignment="1">
      <alignment horizontal="center" vertical="center" wrapText="1"/>
      <protection/>
    </xf>
    <xf numFmtId="167" fontId="89" fillId="0" borderId="57" xfId="151" applyNumberFormat="1" applyFont="1" applyFill="1" applyBorder="1" applyAlignment="1" applyProtection="1">
      <alignment horizontal="center" vertical="center"/>
      <protection hidden="1"/>
    </xf>
    <xf numFmtId="167" fontId="89" fillId="0" borderId="127" xfId="151" applyNumberFormat="1" applyFont="1" applyFill="1" applyBorder="1" applyAlignment="1" applyProtection="1">
      <alignment horizontal="center" vertical="center"/>
      <protection hidden="1"/>
    </xf>
    <xf numFmtId="0" fontId="39" fillId="0" borderId="90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90" fillId="0" borderId="148" xfId="0" applyFont="1" applyFill="1" applyBorder="1" applyAlignment="1">
      <alignment horizontal="center" vertical="center" wrapText="1"/>
    </xf>
    <xf numFmtId="0" fontId="90" fillId="0" borderId="165" xfId="0" applyFont="1" applyBorder="1" applyAlignment="1">
      <alignment horizontal="center" vertical="center" wrapText="1"/>
    </xf>
    <xf numFmtId="0" fontId="90" fillId="0" borderId="64" xfId="0" applyFont="1" applyBorder="1" applyAlignment="1">
      <alignment horizontal="center" vertical="center" wrapText="1"/>
    </xf>
    <xf numFmtId="0" fontId="39" fillId="0" borderId="148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109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102" xfId="0" applyFont="1" applyBorder="1" applyAlignment="1">
      <alignment horizontal="center" vertical="center" wrapText="1"/>
    </xf>
    <xf numFmtId="0" fontId="39" fillId="0" borderId="104" xfId="0" applyFont="1" applyFill="1" applyBorder="1" applyAlignment="1">
      <alignment horizontal="center" vertical="center" wrapText="1"/>
    </xf>
    <xf numFmtId="0" fontId="39" fillId="0" borderId="273" xfId="0" applyFont="1" applyBorder="1" applyAlignment="1">
      <alignment/>
    </xf>
    <xf numFmtId="0" fontId="39" fillId="0" borderId="91" xfId="0" applyFont="1" applyFill="1" applyBorder="1" applyAlignment="1">
      <alignment horizontal="center" vertical="center" wrapText="1"/>
    </xf>
    <xf numFmtId="0" fontId="90" fillId="0" borderId="165" xfId="0" applyFont="1" applyFill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/>
    </xf>
    <xf numFmtId="0" fontId="39" fillId="0" borderId="275" xfId="0" applyFont="1" applyFill="1" applyBorder="1" applyAlignment="1">
      <alignment horizontal="center" vertical="center" wrapText="1"/>
    </xf>
    <xf numFmtId="0" fontId="39" fillId="0" borderId="181" xfId="0" applyFont="1" applyFill="1" applyBorder="1" applyAlignment="1">
      <alignment horizontal="center" vertical="center" wrapText="1"/>
    </xf>
    <xf numFmtId="0" fontId="7" fillId="0" borderId="145" xfId="0" applyFont="1" applyBorder="1" applyAlignment="1">
      <alignment/>
    </xf>
    <xf numFmtId="0" fontId="7" fillId="0" borderId="102" xfId="0" applyFont="1" applyBorder="1" applyAlignment="1">
      <alignment horizontal="center" vertical="center" wrapText="1"/>
    </xf>
    <xf numFmtId="0" fontId="39" fillId="0" borderId="103" xfId="0" applyFont="1" applyFill="1" applyBorder="1" applyAlignment="1">
      <alignment horizontal="center" vertical="center" wrapText="1"/>
    </xf>
    <xf numFmtId="0" fontId="7" fillId="0" borderId="14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43" xfId="0" applyFont="1" applyFill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 wrapText="1"/>
    </xf>
    <xf numFmtId="0" fontId="39" fillId="0" borderId="145" xfId="0" applyFont="1" applyBorder="1" applyAlignment="1">
      <alignment/>
    </xf>
    <xf numFmtId="0" fontId="89" fillId="0" borderId="0" xfId="0" applyFont="1" applyFill="1" applyAlignment="1">
      <alignment horizontal="right"/>
    </xf>
    <xf numFmtId="0" fontId="80" fillId="0" borderId="0" xfId="0" applyFont="1" applyFill="1" applyAlignment="1">
      <alignment horizontal="right"/>
    </xf>
    <xf numFmtId="0" fontId="7" fillId="0" borderId="81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0" xfId="0" applyFont="1" applyFill="1" applyBorder="1" applyAlignment="1">
      <alignment horizontal="left" wrapText="1" indent="1"/>
    </xf>
    <xf numFmtId="0" fontId="39" fillId="0" borderId="31" xfId="0" applyFont="1" applyFill="1" applyBorder="1" applyAlignment="1">
      <alignment horizontal="left" wrapText="1" indent="1"/>
    </xf>
    <xf numFmtId="0" fontId="39" fillId="0" borderId="93" xfId="0" applyFont="1" applyFill="1" applyBorder="1" applyAlignment="1">
      <alignment horizontal="left" wrapText="1" indent="1"/>
    </xf>
  </cellXfs>
  <cellStyles count="22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Bad" xfId="69"/>
    <cellStyle name="Calculation" xfId="70"/>
    <cellStyle name="Celkem" xfId="71"/>
    <cellStyle name="Celkem 2" xfId="72"/>
    <cellStyle name="CISPUB0" xfId="73"/>
    <cellStyle name="Comma" xfId="74"/>
    <cellStyle name="Currency" xfId="75"/>
    <cellStyle name="Comma" xfId="76"/>
    <cellStyle name="čárky [0]_přehled_opatření" xfId="77"/>
    <cellStyle name="čárky 2" xfId="78"/>
    <cellStyle name="Comma [0]" xfId="79"/>
    <cellStyle name="Date" xfId="80"/>
    <cellStyle name="Emphasis 1" xfId="81"/>
    <cellStyle name="Emphasis 2" xfId="82"/>
    <cellStyle name="Emphasis 3" xfId="83"/>
    <cellStyle name="Explanatory Text" xfId="84"/>
    <cellStyle name="Fixed" xfId="85"/>
    <cellStyle name="Good" xfId="86"/>
    <cellStyle name="Heading 1" xfId="87"/>
    <cellStyle name="Heading 2" xfId="88"/>
    <cellStyle name="Heading 3" xfId="89"/>
    <cellStyle name="Heading 4" xfId="90"/>
    <cellStyle name="Heading1" xfId="91"/>
    <cellStyle name="Heading2" xfId="92"/>
    <cellStyle name="Hyperlink" xfId="93"/>
    <cellStyle name="Check Cell" xfId="94"/>
    <cellStyle name="Chybně" xfId="95"/>
    <cellStyle name="Chybně 2" xfId="96"/>
    <cellStyle name="Input" xfId="97"/>
    <cellStyle name="Kontrolní buňka" xfId="98"/>
    <cellStyle name="Kontrolní buňka 2" xfId="99"/>
    <cellStyle name="Linked Cell" xfId="100"/>
    <cellStyle name="Currency" xfId="101"/>
    <cellStyle name="Currency [0]" xfId="102"/>
    <cellStyle name="Nadpis 1" xfId="103"/>
    <cellStyle name="Nadpis 1 2" xfId="104"/>
    <cellStyle name="Nadpis 2" xfId="105"/>
    <cellStyle name="Nadpis 2 2" xfId="106"/>
    <cellStyle name="Nadpis 3" xfId="107"/>
    <cellStyle name="Nadpis 3 2" xfId="108"/>
    <cellStyle name="Nadpis 4" xfId="109"/>
    <cellStyle name="Nadpis 4 2" xfId="110"/>
    <cellStyle name="Název" xfId="111"/>
    <cellStyle name="Název 2" xfId="112"/>
    <cellStyle name="Neutral" xfId="113"/>
    <cellStyle name="Neutrální" xfId="114"/>
    <cellStyle name="Neutrální 2" xfId="115"/>
    <cellStyle name="Normal_Tableau1" xfId="116"/>
    <cellStyle name="normální 2" xfId="117"/>
    <cellStyle name="normální 2 2" xfId="118"/>
    <cellStyle name="normální 2 2 2" xfId="119"/>
    <cellStyle name="normální 2 3" xfId="120"/>
    <cellStyle name="normální 2_MŠMT pro SZÚ" xfId="121"/>
    <cellStyle name="normální 3" xfId="122"/>
    <cellStyle name="normální 3 2" xfId="123"/>
    <cellStyle name="normální 3_MŠMT pro SZÚ" xfId="124"/>
    <cellStyle name="normální 4" xfId="125"/>
    <cellStyle name="normální 5" xfId="126"/>
    <cellStyle name="normální 5 2" xfId="127"/>
    <cellStyle name="normální 5_MŠMT pro SZÚ" xfId="128"/>
    <cellStyle name="normální 6" xfId="129"/>
    <cellStyle name="normální 6 2" xfId="130"/>
    <cellStyle name="normální 6_MŠMT pro SZÚ" xfId="131"/>
    <cellStyle name="normální 7" xfId="132"/>
    <cellStyle name="normální 8" xfId="133"/>
    <cellStyle name="normální 9" xfId="134"/>
    <cellStyle name="normální_131 TA" xfId="135"/>
    <cellStyle name="normální_333 pro rok 2012 (2)" xfId="136"/>
    <cellStyle name="normální_333 pro rok 2012 (2)_Tab. 3 platy nová" xfId="137"/>
    <cellStyle name="normální_Bilance příjmů a výdajů SR (druhová a funkční)" xfId="138"/>
    <cellStyle name="normální_Bilance příjmů a výdajů SR druhová a fun_3" xfId="139"/>
    <cellStyle name="normální_Formulář 2 6 - předáno 12 10 2007 (3)" xfId="140"/>
    <cellStyle name="normální_SZÚ2012_tabulka č.2_závazné ukazatele" xfId="141"/>
    <cellStyle name="_x0000_normální_tab 3 (adres" xfId="142"/>
    <cellStyle name="normální_tab 3 (adres)" xfId="143"/>
    <cellStyle name="_x0000_normální_tab 5 (odpr" xfId="144"/>
    <cellStyle name="normální_TAB MF_vyhl 342 2009 vybrané " xfId="145"/>
    <cellStyle name="normální_Tab. 4  v+v" xfId="146"/>
    <cellStyle name="_x0000_normální_tab200" xfId="147"/>
    <cellStyle name="normální_Tabulky č   9  2008 SZÚ" xfId="148"/>
    <cellStyle name="normální_tabulky SZÚ_2007" xfId="149"/>
    <cellStyle name="normální_Válková tabulky k SR" xfId="150"/>
    <cellStyle name="normální_Vzor RO" xfId="151"/>
    <cellStyle name="Note" xfId="152"/>
    <cellStyle name="Output" xfId="153"/>
    <cellStyle name="Percent" xfId="154"/>
    <cellStyle name="Poznámka" xfId="155"/>
    <cellStyle name="Poznámka 2" xfId="156"/>
    <cellStyle name="Percent" xfId="157"/>
    <cellStyle name="procent 2" xfId="158"/>
    <cellStyle name="procent 3" xfId="159"/>
    <cellStyle name="procent 3 2" xfId="160"/>
    <cellStyle name="Propojená buňka" xfId="161"/>
    <cellStyle name="Propojená buňka 2" xfId="162"/>
    <cellStyle name="SAPBEXaggData" xfId="163"/>
    <cellStyle name="SAPBEXaggDataEmph" xfId="164"/>
    <cellStyle name="SAPBEXaggItem" xfId="165"/>
    <cellStyle name="SAPBEXaggItemX" xfId="166"/>
    <cellStyle name="SAPBEXexcBad7" xfId="167"/>
    <cellStyle name="SAPBEXexcBad8" xfId="168"/>
    <cellStyle name="SAPBEXexcBad9" xfId="169"/>
    <cellStyle name="SAPBEXexcCritical4" xfId="170"/>
    <cellStyle name="SAPBEXexcCritical5" xfId="171"/>
    <cellStyle name="SAPBEXexcCritical6" xfId="172"/>
    <cellStyle name="SAPBEXexcGood1" xfId="173"/>
    <cellStyle name="SAPBEXexcGood2" xfId="174"/>
    <cellStyle name="SAPBEXexcGood3" xfId="175"/>
    <cellStyle name="SAPBEXfilterDrill" xfId="176"/>
    <cellStyle name="SAPBEXFilterInfo1" xfId="177"/>
    <cellStyle name="SAPBEXFilterInfo2" xfId="178"/>
    <cellStyle name="SAPBEXFilterInfoHlavicka" xfId="179"/>
    <cellStyle name="SAPBEXfilterItem" xfId="180"/>
    <cellStyle name="SAPBEXfilterText" xfId="181"/>
    <cellStyle name="SAPBEXformats" xfId="182"/>
    <cellStyle name="SAPBEXheaderItem" xfId="183"/>
    <cellStyle name="SAPBEXheaderText" xfId="184"/>
    <cellStyle name="SAPBEXHLevel0" xfId="185"/>
    <cellStyle name="SAPBEXHLevel0X" xfId="186"/>
    <cellStyle name="SAPBEXHLevel1" xfId="187"/>
    <cellStyle name="SAPBEXHLevel1X" xfId="188"/>
    <cellStyle name="SAPBEXHLevel2" xfId="189"/>
    <cellStyle name="SAPBEXHLevel2X" xfId="190"/>
    <cellStyle name="SAPBEXHLevel3" xfId="191"/>
    <cellStyle name="SAPBEXHLevel3X" xfId="192"/>
    <cellStyle name="SAPBEXchaText" xfId="193"/>
    <cellStyle name="SAPBEXinputData" xfId="194"/>
    <cellStyle name="SAPBEXItemHeader" xfId="195"/>
    <cellStyle name="SAPBEXresData" xfId="196"/>
    <cellStyle name="SAPBEXresDataEmph" xfId="197"/>
    <cellStyle name="SAPBEXresItem" xfId="198"/>
    <cellStyle name="SAPBEXresItemX" xfId="199"/>
    <cellStyle name="SAPBEXstdData" xfId="200"/>
    <cellStyle name="SAPBEXstdDataEmph" xfId="201"/>
    <cellStyle name="SAPBEXstdItem" xfId="202"/>
    <cellStyle name="SAPBEXstdItemX" xfId="203"/>
    <cellStyle name="SAPBEXtitle" xfId="204"/>
    <cellStyle name="SAPBEXunassignedItem" xfId="205"/>
    <cellStyle name="SAPBEXundefined" xfId="206"/>
    <cellStyle name="Sheet Title" xfId="207"/>
    <cellStyle name="Followed Hyperlink" xfId="208"/>
    <cellStyle name="Správně" xfId="209"/>
    <cellStyle name="Správně 2" xfId="210"/>
    <cellStyle name="Styl 1" xfId="211"/>
    <cellStyle name="Styl 2" xfId="212"/>
    <cellStyle name="Styl 3" xfId="213"/>
    <cellStyle name="Text upozornění" xfId="214"/>
    <cellStyle name="Text upozornění 2" xfId="215"/>
    <cellStyle name="Title" xfId="216"/>
    <cellStyle name="Total" xfId="217"/>
    <cellStyle name="Vstup" xfId="218"/>
    <cellStyle name="Vstup 2" xfId="219"/>
    <cellStyle name="Výpočet" xfId="220"/>
    <cellStyle name="Výpočet 2" xfId="221"/>
    <cellStyle name="Výstup" xfId="222"/>
    <cellStyle name="Výstup 2" xfId="223"/>
    <cellStyle name="Vysvětlující text" xfId="224"/>
    <cellStyle name="Vysvětlující text 2" xfId="225"/>
    <cellStyle name="Warning Text" xfId="226"/>
    <cellStyle name="Zvýraznění 1" xfId="227"/>
    <cellStyle name="Zvýraznění 1 2" xfId="228"/>
    <cellStyle name="Zvýraznění 2" xfId="229"/>
    <cellStyle name="Zvýraznění 2 2" xfId="230"/>
    <cellStyle name="Zvýraznění 3" xfId="231"/>
    <cellStyle name="Zvýraznění 3 2" xfId="232"/>
    <cellStyle name="Zvýraznění 4" xfId="233"/>
    <cellStyle name="Zvýraznění 4 2" xfId="234"/>
    <cellStyle name="Zvýraznění 5" xfId="235"/>
    <cellStyle name="Zvýraznění 5 2" xfId="236"/>
    <cellStyle name="Zvýraznění 6" xfId="237"/>
    <cellStyle name="Zvýraznění 6 2" xfId="2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ndsingerova\Dokumenty\SZ&#218;%202012\Podklady\Bilance%20p&#345;&#237;jm&#367;%20a%20v&#253;daj&#367;%20SR%20druhov&#225;%20a%20fun_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Z&#218;%202000\I.%20&#269;tvrtlet&#237;\sestavy%205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DOWS\Plocha\Z%20U\ROK%2099\III.%20Q%201999\sestavy%205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N&#193;VRH%20%20SR\N%202012\0.%20NR%202012%20a%20SDV%202013%20-%202014\1.%20NR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S%20Z%20&#218;\2012\RZ%20k%2031_12_2012%20-%20STA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eSR-druh"/>
      <sheetName val="Hlavicka"/>
      <sheetName val="Druhova_CAST7"/>
      <sheetName val="Druhova"/>
      <sheetName val="VýdajeSR-funk"/>
      <sheetName val="BExRepositorySheet"/>
      <sheetName val="Funkcni"/>
    </sheetNames>
    <sheetDataSet>
      <sheetData sheetId="1">
        <row r="3">
          <cell r="I3" t="str">
            <v>314 Ministerstvo vnitra</v>
          </cell>
        </row>
      </sheetData>
      <sheetData sheetId="2">
        <row r="8">
          <cell r="D8">
            <v>5064969</v>
          </cell>
          <cell r="E8">
            <v>5036229</v>
          </cell>
          <cell r="F8">
            <v>5095865.716</v>
          </cell>
          <cell r="M8">
            <v>5361665.799</v>
          </cell>
        </row>
      </sheetData>
      <sheetData sheetId="3">
        <row r="1">
          <cell r="B1" t="str">
            <v>012.2012</v>
          </cell>
          <cell r="C1" t="str">
            <v>012.2011</v>
          </cell>
        </row>
        <row r="2">
          <cell r="B2" t="str">
            <v>v tis.Kč</v>
          </cell>
        </row>
        <row r="3">
          <cell r="B3" t="str">
            <v>Sk012.2012/Sk012.2011</v>
          </cell>
        </row>
        <row r="20">
          <cell r="B20">
            <v>193000</v>
          </cell>
          <cell r="C20">
            <v>193000</v>
          </cell>
          <cell r="D20">
            <v>14341.92204</v>
          </cell>
          <cell r="G20">
            <v>14599.00395</v>
          </cell>
        </row>
        <row r="22">
          <cell r="B22">
            <v>193000</v>
          </cell>
          <cell r="C22">
            <v>193000</v>
          </cell>
          <cell r="D22">
            <v>14341.92204</v>
          </cell>
          <cell r="G22">
            <v>14599.00395</v>
          </cell>
        </row>
        <row r="31">
          <cell r="B31">
            <v>5698067</v>
          </cell>
          <cell r="C31">
            <v>5665734</v>
          </cell>
          <cell r="D31">
            <v>5591896.836</v>
          </cell>
          <cell r="G31">
            <v>5886541.845</v>
          </cell>
        </row>
        <row r="36">
          <cell r="B36">
            <v>5698067</v>
          </cell>
          <cell r="C36">
            <v>5665734</v>
          </cell>
          <cell r="D36">
            <v>5591896.836</v>
          </cell>
          <cell r="G36">
            <v>5886541.845</v>
          </cell>
        </row>
        <row r="39">
          <cell r="B39">
            <v>5891067</v>
          </cell>
          <cell r="C39">
            <v>5858734</v>
          </cell>
          <cell r="D39">
            <v>5606238.75804</v>
          </cell>
          <cell r="G39">
            <v>5901140.84895</v>
          </cell>
        </row>
        <row r="40">
          <cell r="B40">
            <v>193000</v>
          </cell>
          <cell r="C40">
            <v>193000</v>
          </cell>
          <cell r="D40">
            <v>14341.92204</v>
          </cell>
          <cell r="G40">
            <v>14599.00395</v>
          </cell>
        </row>
        <row r="41">
          <cell r="B41">
            <v>52188</v>
          </cell>
          <cell r="C41">
            <v>77018.60394</v>
          </cell>
          <cell r="D41">
            <v>88482.00937</v>
          </cell>
          <cell r="G41">
            <v>90152.95041</v>
          </cell>
        </row>
        <row r="42">
          <cell r="B42">
            <v>39500</v>
          </cell>
          <cell r="C42">
            <v>79160.11</v>
          </cell>
          <cell r="D42">
            <v>79088.557</v>
          </cell>
          <cell r="G42">
            <v>192533.1305</v>
          </cell>
        </row>
        <row r="44">
          <cell r="B44">
            <v>39500</v>
          </cell>
          <cell r="C44">
            <v>79160.11</v>
          </cell>
          <cell r="D44">
            <v>79088.557</v>
          </cell>
          <cell r="G44">
            <v>192533.1305</v>
          </cell>
        </row>
        <row r="45">
          <cell r="B45">
            <v>17699</v>
          </cell>
          <cell r="C45">
            <v>22233.21029</v>
          </cell>
          <cell r="D45">
            <v>35037.96625</v>
          </cell>
          <cell r="G45">
            <v>39122.88017</v>
          </cell>
        </row>
        <row r="46">
          <cell r="B46">
            <v>343</v>
          </cell>
          <cell r="C46">
            <v>393.95524</v>
          </cell>
          <cell r="D46">
            <v>620.28989</v>
          </cell>
          <cell r="G46">
            <v>687.02634</v>
          </cell>
        </row>
        <row r="48">
          <cell r="B48">
            <v>109730</v>
          </cell>
          <cell r="C48">
            <v>178805.87947</v>
          </cell>
          <cell r="D48">
            <v>203228.82251</v>
          </cell>
          <cell r="G48">
            <v>322495.98742</v>
          </cell>
        </row>
        <row r="49">
          <cell r="B49">
            <v>381</v>
          </cell>
          <cell r="C49">
            <v>551.50038</v>
          </cell>
          <cell r="D49">
            <v>34683.73282</v>
          </cell>
          <cell r="G49">
            <v>59786.27475</v>
          </cell>
        </row>
        <row r="50">
          <cell r="B50">
            <v>9300</v>
          </cell>
          <cell r="C50">
            <v>24519.1</v>
          </cell>
          <cell r="D50">
            <v>21782.71619</v>
          </cell>
          <cell r="G50">
            <v>17815.68798</v>
          </cell>
        </row>
        <row r="51">
          <cell r="B51">
            <v>9681</v>
          </cell>
          <cell r="C51">
            <v>25070.60038</v>
          </cell>
          <cell r="D51">
            <v>56466.44901</v>
          </cell>
          <cell r="G51">
            <v>77601.96273</v>
          </cell>
        </row>
        <row r="52">
          <cell r="B52">
            <v>1587</v>
          </cell>
          <cell r="C52">
            <v>1909.4058</v>
          </cell>
          <cell r="D52">
            <v>2042.54795</v>
          </cell>
          <cell r="G52">
            <v>2733.94733</v>
          </cell>
        </row>
        <row r="53">
          <cell r="B53">
            <v>152099</v>
          </cell>
          <cell r="C53">
            <v>195369.52105</v>
          </cell>
          <cell r="D53">
            <v>332608.76113</v>
          </cell>
          <cell r="G53">
            <v>340788.84205</v>
          </cell>
        </row>
        <row r="57">
          <cell r="B57">
            <v>153686</v>
          </cell>
          <cell r="C57">
            <v>197278.92685</v>
          </cell>
          <cell r="D57">
            <v>334651.30908</v>
          </cell>
          <cell r="G57">
            <v>343522.78938</v>
          </cell>
        </row>
        <row r="69">
          <cell r="B69">
            <v>273097</v>
          </cell>
          <cell r="C69">
            <v>401155.4067</v>
          </cell>
          <cell r="D69">
            <v>594346.5806</v>
          </cell>
          <cell r="G69">
            <v>743620.73953</v>
          </cell>
        </row>
        <row r="70">
          <cell r="B70">
            <v>424903</v>
          </cell>
          <cell r="C70">
            <v>296844.5933</v>
          </cell>
          <cell r="D70">
            <v>257847.1648</v>
          </cell>
          <cell r="G70">
            <v>127908.3876</v>
          </cell>
        </row>
        <row r="71">
          <cell r="B71">
            <v>0</v>
          </cell>
          <cell r="C71">
            <v>0</v>
          </cell>
          <cell r="D71">
            <v>94930.3698</v>
          </cell>
          <cell r="G71">
            <v>93625.1444</v>
          </cell>
        </row>
        <row r="72">
          <cell r="B72">
            <v>424903</v>
          </cell>
          <cell r="C72">
            <v>296844.5933</v>
          </cell>
          <cell r="D72">
            <v>352777.5346</v>
          </cell>
          <cell r="G72">
            <v>221533.532</v>
          </cell>
        </row>
        <row r="75">
          <cell r="B75">
            <v>424903</v>
          </cell>
          <cell r="C75">
            <v>296844.5933</v>
          </cell>
          <cell r="D75">
            <v>352777.5346</v>
          </cell>
          <cell r="G75">
            <v>221533.532</v>
          </cell>
        </row>
        <row r="76">
          <cell r="B76">
            <v>188094</v>
          </cell>
          <cell r="C76">
            <v>204276</v>
          </cell>
          <cell r="D76">
            <v>398028.16753</v>
          </cell>
          <cell r="G76">
            <v>377970.04656</v>
          </cell>
        </row>
        <row r="77">
          <cell r="B77">
            <v>188094</v>
          </cell>
          <cell r="C77">
            <v>204276</v>
          </cell>
          <cell r="D77">
            <v>398028.16753</v>
          </cell>
          <cell r="G77">
            <v>377970.04656</v>
          </cell>
        </row>
        <row r="79">
          <cell r="B79">
            <v>0</v>
          </cell>
          <cell r="C79">
            <v>0</v>
          </cell>
          <cell r="D79">
            <v>82327.24724</v>
          </cell>
          <cell r="G79">
            <v>57727.81031</v>
          </cell>
        </row>
        <row r="80">
          <cell r="B80">
            <v>92899</v>
          </cell>
          <cell r="C80">
            <v>90656</v>
          </cell>
          <cell r="D80">
            <v>59003.31861</v>
          </cell>
          <cell r="G80">
            <v>8339.30189</v>
          </cell>
        </row>
        <row r="81">
          <cell r="B81">
            <v>92899</v>
          </cell>
          <cell r="C81">
            <v>90656</v>
          </cell>
          <cell r="D81">
            <v>57870.19438</v>
          </cell>
          <cell r="G81">
            <v>7390.30089</v>
          </cell>
        </row>
        <row r="83">
          <cell r="B83">
            <v>280993</v>
          </cell>
          <cell r="C83">
            <v>294932</v>
          </cell>
          <cell r="D83">
            <v>539358.73338</v>
          </cell>
          <cell r="G83">
            <v>444037.15876</v>
          </cell>
        </row>
        <row r="84">
          <cell r="B84">
            <v>41155</v>
          </cell>
          <cell r="C84">
            <v>560091</v>
          </cell>
          <cell r="D84">
            <v>846462.28397</v>
          </cell>
          <cell r="G84">
            <v>457659.24335</v>
          </cell>
        </row>
        <row r="85">
          <cell r="B85">
            <v>41155</v>
          </cell>
          <cell r="C85">
            <v>560091</v>
          </cell>
          <cell r="D85">
            <v>846462.28397</v>
          </cell>
          <cell r="G85">
            <v>457659.24335</v>
          </cell>
        </row>
        <row r="87">
          <cell r="B87">
            <v>4681</v>
          </cell>
          <cell r="C87">
            <v>4681</v>
          </cell>
          <cell r="D87">
            <v>11414.52747</v>
          </cell>
          <cell r="G87">
            <v>32523.12843</v>
          </cell>
        </row>
        <row r="88">
          <cell r="B88">
            <v>4681</v>
          </cell>
          <cell r="C88">
            <v>4681</v>
          </cell>
          <cell r="D88">
            <v>11010.71211</v>
          </cell>
          <cell r="G88">
            <v>31795.31744</v>
          </cell>
        </row>
        <row r="90">
          <cell r="B90">
            <v>45836</v>
          </cell>
          <cell r="C90">
            <v>564772</v>
          </cell>
          <cell r="D90">
            <v>857876.81144</v>
          </cell>
          <cell r="G90">
            <v>490182.37178</v>
          </cell>
        </row>
        <row r="91">
          <cell r="B91">
            <v>326829</v>
          </cell>
          <cell r="C91">
            <v>859704</v>
          </cell>
          <cell r="D91">
            <v>1397235.54482</v>
          </cell>
          <cell r="G91">
            <v>934219.53054</v>
          </cell>
        </row>
        <row r="92">
          <cell r="B92">
            <v>6915896</v>
          </cell>
          <cell r="C92">
            <v>7416438</v>
          </cell>
          <cell r="D92">
            <v>7950598.41806</v>
          </cell>
          <cell r="G92">
            <v>7800514.65102</v>
          </cell>
        </row>
        <row r="93">
          <cell r="B93">
            <v>0</v>
          </cell>
          <cell r="C93">
            <v>0</v>
          </cell>
          <cell r="D93">
            <v>0</v>
          </cell>
          <cell r="G93">
            <v>0</v>
          </cell>
        </row>
        <row r="94">
          <cell r="B94">
            <v>6915896</v>
          </cell>
          <cell r="C94">
            <v>7416438</v>
          </cell>
          <cell r="D94">
            <v>7950598.41806</v>
          </cell>
          <cell r="G94">
            <v>7800514.65102</v>
          </cell>
        </row>
        <row r="95">
          <cell r="B95">
            <v>0</v>
          </cell>
          <cell r="C95">
            <v>0</v>
          </cell>
          <cell r="D95">
            <v>0</v>
          </cell>
          <cell r="G95">
            <v>0</v>
          </cell>
        </row>
        <row r="96">
          <cell r="B96">
            <v>22047116</v>
          </cell>
          <cell r="C96">
            <v>22056929</v>
          </cell>
          <cell r="D96">
            <v>22189130.31588</v>
          </cell>
          <cell r="G96">
            <v>23131134.89034</v>
          </cell>
        </row>
        <row r="97">
          <cell r="B97">
            <v>3958597</v>
          </cell>
          <cell r="C97">
            <v>4071229</v>
          </cell>
          <cell r="D97">
            <v>4076779.84388</v>
          </cell>
          <cell r="G97">
            <v>4153482.88449</v>
          </cell>
        </row>
        <row r="98">
          <cell r="B98">
            <v>18088519</v>
          </cell>
          <cell r="C98">
            <v>17985700</v>
          </cell>
          <cell r="D98">
            <v>18112350.472</v>
          </cell>
          <cell r="G98">
            <v>18977652.00585</v>
          </cell>
        </row>
        <row r="102">
          <cell r="B102">
            <v>342432</v>
          </cell>
          <cell r="C102">
            <v>379561</v>
          </cell>
          <cell r="D102">
            <v>350023.60944</v>
          </cell>
          <cell r="G102">
            <v>544602.76024</v>
          </cell>
        </row>
        <row r="103">
          <cell r="B103">
            <v>182462</v>
          </cell>
          <cell r="C103">
            <v>137081.238</v>
          </cell>
          <cell r="D103">
            <v>133182.785</v>
          </cell>
          <cell r="G103">
            <v>133980.38991</v>
          </cell>
        </row>
        <row r="104">
          <cell r="B104">
            <v>1280</v>
          </cell>
          <cell r="C104">
            <v>1280</v>
          </cell>
          <cell r="D104">
            <v>1279.2</v>
          </cell>
          <cell r="G104">
            <v>884.78</v>
          </cell>
        </row>
        <row r="106">
          <cell r="B106">
            <v>41796</v>
          </cell>
          <cell r="C106">
            <v>63075.452</v>
          </cell>
          <cell r="D106">
            <v>52172.085</v>
          </cell>
          <cell r="G106">
            <v>83161.84633</v>
          </cell>
        </row>
        <row r="110">
          <cell r="B110">
            <v>116894</v>
          </cell>
          <cell r="C110">
            <v>178124.31</v>
          </cell>
          <cell r="D110">
            <v>163389.53944</v>
          </cell>
          <cell r="G110">
            <v>326575.744</v>
          </cell>
        </row>
        <row r="111">
          <cell r="B111">
            <v>7535700</v>
          </cell>
          <cell r="C111">
            <v>7540638</v>
          </cell>
          <cell r="D111">
            <v>7457553.30074</v>
          </cell>
          <cell r="G111">
            <v>7775966.33318</v>
          </cell>
        </row>
        <row r="112">
          <cell r="B112">
            <v>7535700</v>
          </cell>
          <cell r="C112">
            <v>7540638</v>
          </cell>
          <cell r="D112">
            <v>7457553.30074</v>
          </cell>
          <cell r="G112">
            <v>7775966.33318</v>
          </cell>
        </row>
        <row r="113">
          <cell r="B113">
            <v>1573</v>
          </cell>
          <cell r="C113">
            <v>1765.97</v>
          </cell>
          <cell r="D113">
            <v>1725.039</v>
          </cell>
          <cell r="G113">
            <v>1572.042</v>
          </cell>
        </row>
        <row r="114">
          <cell r="B114">
            <v>0</v>
          </cell>
          <cell r="C114">
            <v>5918.32586</v>
          </cell>
          <cell r="D114">
            <v>6175.54</v>
          </cell>
          <cell r="G114">
            <v>5893.315</v>
          </cell>
        </row>
        <row r="115">
          <cell r="B115">
            <v>29926821</v>
          </cell>
          <cell r="C115">
            <v>29984812.29586</v>
          </cell>
          <cell r="D115">
            <v>30004607.80506</v>
          </cell>
          <cell r="G115">
            <v>31459169.34076</v>
          </cell>
        </row>
        <row r="116">
          <cell r="B116">
            <v>1863119</v>
          </cell>
          <cell r="C116">
            <v>1956225.83315</v>
          </cell>
          <cell r="D116">
            <v>1501410.98442</v>
          </cell>
          <cell r="G116">
            <v>1931310.25867</v>
          </cell>
        </row>
        <row r="117">
          <cell r="B117">
            <v>500</v>
          </cell>
          <cell r="C117">
            <v>2562.34189</v>
          </cell>
          <cell r="D117">
            <v>2092.62112</v>
          </cell>
          <cell r="G117">
            <v>2917.79537</v>
          </cell>
        </row>
        <row r="118">
          <cell r="B118">
            <v>2119114</v>
          </cell>
          <cell r="C118">
            <v>1764463.16037</v>
          </cell>
          <cell r="D118">
            <v>1780408.1389</v>
          </cell>
          <cell r="G118">
            <v>1742636.39824</v>
          </cell>
        </row>
        <row r="119">
          <cell r="B119">
            <v>5076591</v>
          </cell>
          <cell r="C119">
            <v>5705549.15459</v>
          </cell>
          <cell r="D119">
            <v>5372935.38437</v>
          </cell>
          <cell r="G119">
            <v>4039455.19876</v>
          </cell>
        </row>
        <row r="120">
          <cell r="B120">
            <v>1456492</v>
          </cell>
          <cell r="C120">
            <v>1273888.41885</v>
          </cell>
          <cell r="D120">
            <v>1369942.44917</v>
          </cell>
          <cell r="G120">
            <v>1353046.13479</v>
          </cell>
        </row>
        <row r="121">
          <cell r="B121">
            <v>683884</v>
          </cell>
          <cell r="C121">
            <v>627050.5924</v>
          </cell>
          <cell r="D121">
            <v>639733.08324</v>
          </cell>
          <cell r="G121">
            <v>792277.34573</v>
          </cell>
        </row>
        <row r="122">
          <cell r="B122">
            <v>191780</v>
          </cell>
          <cell r="C122">
            <v>180785.20252</v>
          </cell>
          <cell r="D122">
            <v>176602.53412</v>
          </cell>
          <cell r="G122">
            <v>170677.46056</v>
          </cell>
        </row>
        <row r="123">
          <cell r="B123">
            <v>0</v>
          </cell>
          <cell r="C123">
            <v>8.93764</v>
          </cell>
          <cell r="D123">
            <v>8.93764</v>
          </cell>
          <cell r="G123">
            <v>12.1965</v>
          </cell>
        </row>
        <row r="124">
          <cell r="B124">
            <v>366342</v>
          </cell>
          <cell r="C124">
            <v>416666.24384</v>
          </cell>
          <cell r="D124">
            <v>411343.97877</v>
          </cell>
          <cell r="G124">
            <v>381256.49639</v>
          </cell>
        </row>
        <row r="125">
          <cell r="B125">
            <v>10882158</v>
          </cell>
          <cell r="C125">
            <v>11119364.09033</v>
          </cell>
          <cell r="D125">
            <v>10438142.49439</v>
          </cell>
          <cell r="G125">
            <v>9450634.47872</v>
          </cell>
        </row>
        <row r="126">
          <cell r="B126">
            <v>102599</v>
          </cell>
          <cell r="C126">
            <v>157593.852</v>
          </cell>
          <cell r="D126">
            <v>147900.338</v>
          </cell>
          <cell r="G126">
            <v>88021.484</v>
          </cell>
        </row>
        <row r="127">
          <cell r="B127">
            <v>52114</v>
          </cell>
          <cell r="C127">
            <v>86522.75</v>
          </cell>
          <cell r="D127">
            <v>104465.72497</v>
          </cell>
          <cell r="G127">
            <v>84393.24046</v>
          </cell>
        </row>
        <row r="128">
          <cell r="B128">
            <v>29114</v>
          </cell>
          <cell r="C128">
            <v>54096.371</v>
          </cell>
          <cell r="D128">
            <v>68911.12886</v>
          </cell>
          <cell r="G128">
            <v>59779.52479</v>
          </cell>
        </row>
        <row r="129">
          <cell r="B129">
            <v>15000</v>
          </cell>
          <cell r="C129">
            <v>15472.989</v>
          </cell>
          <cell r="D129">
            <v>11360.96904</v>
          </cell>
          <cell r="G129">
            <v>11296.11811</v>
          </cell>
        </row>
        <row r="133">
          <cell r="B133">
            <v>154713</v>
          </cell>
          <cell r="C133">
            <v>244116.602</v>
          </cell>
          <cell r="D133">
            <v>252366.06297</v>
          </cell>
          <cell r="G133">
            <v>172414.72446</v>
          </cell>
        </row>
        <row r="134">
          <cell r="B134">
            <v>13050</v>
          </cell>
          <cell r="C134">
            <v>13050</v>
          </cell>
          <cell r="D134">
            <v>2721.32088</v>
          </cell>
          <cell r="G134">
            <v>1199.43751</v>
          </cell>
        </row>
        <row r="135">
          <cell r="B135">
            <v>13050</v>
          </cell>
          <cell r="C135">
            <v>13050</v>
          </cell>
          <cell r="D135">
            <v>2721.32088</v>
          </cell>
          <cell r="G135">
            <v>1199.43751</v>
          </cell>
        </row>
        <row r="138">
          <cell r="B138">
            <v>155357</v>
          </cell>
          <cell r="C138">
            <v>165478.25</v>
          </cell>
          <cell r="D138">
            <v>332330.31426</v>
          </cell>
          <cell r="G138">
            <v>275095.4218</v>
          </cell>
        </row>
        <row r="139">
          <cell r="B139">
            <v>76327</v>
          </cell>
          <cell r="C139">
            <v>95241.281</v>
          </cell>
          <cell r="D139">
            <v>213442.80967</v>
          </cell>
          <cell r="G139">
            <v>164553.63987</v>
          </cell>
        </row>
        <row r="141">
          <cell r="B141">
            <v>79030</v>
          </cell>
          <cell r="C141">
            <v>70236.969</v>
          </cell>
          <cell r="D141">
            <v>118887.50459</v>
          </cell>
          <cell r="G141">
            <v>110541.78193</v>
          </cell>
        </row>
        <row r="145">
          <cell r="B145">
            <v>791635</v>
          </cell>
          <cell r="C145">
            <v>1083520.424</v>
          </cell>
          <cell r="D145">
            <v>1068741.05482</v>
          </cell>
          <cell r="G145">
            <v>980520.47185</v>
          </cell>
        </row>
        <row r="146">
          <cell r="B146">
            <v>220468</v>
          </cell>
          <cell r="C146">
            <v>220576.30189</v>
          </cell>
          <cell r="D146">
            <v>221890.71229</v>
          </cell>
          <cell r="G146">
            <v>232277.90208</v>
          </cell>
        </row>
        <row r="147">
          <cell r="B147">
            <v>220468</v>
          </cell>
          <cell r="C147">
            <v>220576</v>
          </cell>
          <cell r="D147">
            <v>221890.4104</v>
          </cell>
          <cell r="G147">
            <v>231327.90208</v>
          </cell>
        </row>
        <row r="149">
          <cell r="B149">
            <v>6378</v>
          </cell>
          <cell r="C149">
            <v>19521.12474</v>
          </cell>
          <cell r="D149">
            <v>13656.03716</v>
          </cell>
          <cell r="G149">
            <v>12638.18798</v>
          </cell>
        </row>
        <row r="150">
          <cell r="B150">
            <v>1186888</v>
          </cell>
          <cell r="C150">
            <v>1502146.10063</v>
          </cell>
          <cell r="D150">
            <v>1639339.43941</v>
          </cell>
          <cell r="G150">
            <v>1501731.42122</v>
          </cell>
        </row>
        <row r="151">
          <cell r="B151">
            <v>9059780</v>
          </cell>
          <cell r="C151">
            <v>9053380</v>
          </cell>
          <cell r="D151">
            <v>8606347.99847</v>
          </cell>
          <cell r="G151">
            <v>8655966.08191</v>
          </cell>
        </row>
        <row r="152">
          <cell r="B152">
            <v>28949</v>
          </cell>
          <cell r="C152">
            <v>76576.407</v>
          </cell>
          <cell r="D152">
            <v>98891.09194</v>
          </cell>
          <cell r="G152">
            <v>69822.42203</v>
          </cell>
        </row>
        <row r="153">
          <cell r="B153">
            <v>16313</v>
          </cell>
          <cell r="C153">
            <v>9844.2784</v>
          </cell>
          <cell r="D153">
            <v>9786.65539</v>
          </cell>
          <cell r="G153">
            <v>11424.43794</v>
          </cell>
        </row>
        <row r="154">
          <cell r="B154">
            <v>9105042</v>
          </cell>
          <cell r="C154">
            <v>9139800.6854</v>
          </cell>
          <cell r="D154">
            <v>8715025.7458</v>
          </cell>
          <cell r="G154">
            <v>8737212.94188</v>
          </cell>
        </row>
        <row r="155">
          <cell r="B155">
            <v>2407</v>
          </cell>
          <cell r="C155">
            <v>3219.885</v>
          </cell>
          <cell r="D155">
            <v>5564.25427</v>
          </cell>
          <cell r="G155">
            <v>2283.74648</v>
          </cell>
        </row>
        <row r="160">
          <cell r="B160">
            <v>2407</v>
          </cell>
          <cell r="C160">
            <v>3219.885</v>
          </cell>
          <cell r="D160">
            <v>5564.25427</v>
          </cell>
          <cell r="G160">
            <v>2283.74648</v>
          </cell>
        </row>
        <row r="178">
          <cell r="B178">
            <v>60252</v>
          </cell>
          <cell r="C178">
            <v>833577.34078</v>
          </cell>
          <cell r="D178">
            <v>118054.42746</v>
          </cell>
          <cell r="G178">
            <v>70741.15371</v>
          </cell>
        </row>
        <row r="179">
          <cell r="B179">
            <v>60252</v>
          </cell>
          <cell r="C179">
            <v>833577.34078</v>
          </cell>
          <cell r="D179">
            <v>118054.42746</v>
          </cell>
          <cell r="G179">
            <v>70741.15371</v>
          </cell>
        </row>
        <row r="180">
          <cell r="B180">
            <v>51318281</v>
          </cell>
          <cell r="C180">
            <v>52827037</v>
          </cell>
          <cell r="D180">
            <v>51173100.22936</v>
          </cell>
          <cell r="G180">
            <v>51394187.80723</v>
          </cell>
        </row>
        <row r="181">
          <cell r="B181">
            <v>128388</v>
          </cell>
          <cell r="C181">
            <v>319352.076</v>
          </cell>
          <cell r="D181">
            <v>807084.39556</v>
          </cell>
          <cell r="G181">
            <v>737838.52589</v>
          </cell>
        </row>
        <row r="182">
          <cell r="B182">
            <v>1174989</v>
          </cell>
          <cell r="C182">
            <v>1657173.924</v>
          </cell>
          <cell r="D182">
            <v>1318480.51871</v>
          </cell>
          <cell r="G182">
            <v>1516740.49278</v>
          </cell>
        </row>
        <row r="183">
          <cell r="B183">
            <v>0</v>
          </cell>
          <cell r="C183">
            <v>1029</v>
          </cell>
          <cell r="D183">
            <v>967.64</v>
          </cell>
          <cell r="G183">
            <v>462.70442</v>
          </cell>
        </row>
        <row r="184">
          <cell r="B184">
            <v>1303377</v>
          </cell>
          <cell r="C184">
            <v>1977555</v>
          </cell>
          <cell r="D184">
            <v>2126532.55427</v>
          </cell>
          <cell r="G184">
            <v>2255041.72309</v>
          </cell>
        </row>
        <row r="187">
          <cell r="B187">
            <v>0</v>
          </cell>
          <cell r="C187">
            <v>0</v>
          </cell>
          <cell r="D187">
            <v>3225.358</v>
          </cell>
          <cell r="G187">
            <v>6128.242</v>
          </cell>
        </row>
        <row r="188">
          <cell r="B188">
            <v>0</v>
          </cell>
          <cell r="C188">
            <v>0</v>
          </cell>
          <cell r="D188">
            <v>143.799</v>
          </cell>
        </row>
        <row r="191">
          <cell r="B191">
            <v>35000</v>
          </cell>
          <cell r="C191">
            <v>30098</v>
          </cell>
          <cell r="D191">
            <v>206976.99045</v>
          </cell>
          <cell r="G191">
            <v>120352.42321</v>
          </cell>
        </row>
        <row r="192">
          <cell r="B192">
            <v>35000</v>
          </cell>
          <cell r="C192">
            <v>30098</v>
          </cell>
          <cell r="D192">
            <v>154194.30945</v>
          </cell>
          <cell r="G192">
            <v>118022.89821</v>
          </cell>
        </row>
        <row r="193">
          <cell r="B193">
            <v>0</v>
          </cell>
          <cell r="C193">
            <v>0</v>
          </cell>
          <cell r="D193">
            <v>52782.681</v>
          </cell>
          <cell r="G193">
            <v>2329.525</v>
          </cell>
        </row>
        <row r="198">
          <cell r="G198">
            <v>7387.57</v>
          </cell>
        </row>
        <row r="202">
          <cell r="B202">
            <v>35000</v>
          </cell>
          <cell r="C202">
            <v>30098</v>
          </cell>
          <cell r="D202">
            <v>210346.14745</v>
          </cell>
          <cell r="G202">
            <v>133868.23521</v>
          </cell>
        </row>
        <row r="219">
          <cell r="B219">
            <v>0</v>
          </cell>
          <cell r="C219">
            <v>11460</v>
          </cell>
          <cell r="D219">
            <v>0</v>
          </cell>
          <cell r="G219">
            <v>0</v>
          </cell>
        </row>
        <row r="220">
          <cell r="B220">
            <v>0</v>
          </cell>
          <cell r="C220">
            <v>11460</v>
          </cell>
          <cell r="D220">
            <v>0</v>
          </cell>
          <cell r="G220">
            <v>0</v>
          </cell>
        </row>
        <row r="221">
          <cell r="B221">
            <v>1338377</v>
          </cell>
          <cell r="C221">
            <v>2019113</v>
          </cell>
          <cell r="D221">
            <v>2336878.70172</v>
          </cell>
          <cell r="G221">
            <v>2388909.9583</v>
          </cell>
        </row>
        <row r="222">
          <cell r="B222">
            <v>52656658</v>
          </cell>
          <cell r="C222">
            <v>54846150</v>
          </cell>
          <cell r="D222">
            <v>53509978.93108</v>
          </cell>
          <cell r="G222">
            <v>53783097.76553</v>
          </cell>
        </row>
        <row r="223">
          <cell r="B223">
            <v>-45740762</v>
          </cell>
          <cell r="C223">
            <v>-47429712</v>
          </cell>
          <cell r="D223">
            <v>-45559380.51302</v>
          </cell>
          <cell r="G223">
            <v>-45982583.11451</v>
          </cell>
        </row>
        <row r="224">
          <cell r="B224">
            <v>0</v>
          </cell>
          <cell r="C224">
            <v>0</v>
          </cell>
          <cell r="D224">
            <v>0</v>
          </cell>
          <cell r="F224" t="str">
            <v>EMPTY</v>
          </cell>
          <cell r="G224">
            <v>0</v>
          </cell>
        </row>
        <row r="225">
          <cell r="B225">
            <v>52656658</v>
          </cell>
          <cell r="C225">
            <v>54846150</v>
          </cell>
          <cell r="D225">
            <v>53509978.93108</v>
          </cell>
          <cell r="G225">
            <v>53783097.76553</v>
          </cell>
        </row>
        <row r="226">
          <cell r="B226">
            <v>0</v>
          </cell>
          <cell r="C226">
            <v>0</v>
          </cell>
          <cell r="D226">
            <v>0</v>
          </cell>
          <cell r="F226" t="str">
            <v>EMPTY</v>
          </cell>
          <cell r="G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 t="str">
            <v>FINANCOVÁNÍ</v>
          </cell>
          <cell r="G227">
            <v>0</v>
          </cell>
        </row>
        <row r="255">
          <cell r="B255">
            <v>-45740762</v>
          </cell>
          <cell r="C255">
            <v>-47429712</v>
          </cell>
          <cell r="D255">
            <v>-45559380.51302</v>
          </cell>
          <cell r="G255">
            <v>-45982583.11451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01KPR"/>
      <sheetName val="302PSP"/>
      <sheetName val="303SP"/>
      <sheetName val="304ÚV"/>
      <sheetName val="306MZV"/>
      <sheetName val="307MO"/>
      <sheetName val="308NBÚ"/>
      <sheetName val="309KVOP"/>
      <sheetName val="312 MF"/>
      <sheetName val="313MPSV"/>
      <sheetName val="314MV"/>
      <sheetName val="315MŽP"/>
      <sheetName val="317MMR"/>
      <sheetName val="321GA"/>
      <sheetName val="322MPO"/>
      <sheetName val="327MD"/>
      <sheetName val="328 ČTU"/>
      <sheetName val="329MZem"/>
      <sheetName val="333MŠMT"/>
      <sheetName val="334MK"/>
      <sheetName val="335MZdr"/>
      <sheetName val="336MSpr"/>
      <sheetName val="343ÚOOÚ"/>
      <sheetName val="344ÚPV"/>
      <sheetName val="345ČSÚ"/>
      <sheetName val="346ČÚZK"/>
      <sheetName val="348ČBÚ"/>
      <sheetName val="349ERÚ"/>
      <sheetName val="353ÚOHS"/>
      <sheetName val="355ÚSTR"/>
      <sheetName val="358ÚS"/>
      <sheetName val="361AV"/>
      <sheetName val="372RRTV"/>
      <sheetName val="374SSHR"/>
      <sheetName val="375SÚJB"/>
      <sheetName val="377 TA ČR"/>
      <sheetName val="381NKÚ"/>
      <sheetName val="ÚO"/>
      <sheetName val="ÚŘO"/>
      <sheetName val="JÚŘ"/>
      <sheetName val="platy příslušníků"/>
      <sheetName val="SOBCPO"/>
      <sheetName val="ORO"/>
      <sheetName val="Podř.st.spr."/>
      <sheetName val="ST.SPR."/>
      <sheetName val="RO "/>
      <sheetName val="PO"/>
      <sheetName val="ROPO"/>
      <sheetName val="CELKEM"/>
      <sheetName val="Komentář -mat. do vlády "/>
      <sheetName val="Obálky"/>
      <sheetName val="Seznam odvětvářů - nový"/>
    </sheetNames>
    <sheetDataSet>
      <sheetData sheetId="10">
        <row r="13">
          <cell r="DF13">
            <v>161961</v>
          </cell>
          <cell r="DG13">
            <v>3684508</v>
          </cell>
          <cell r="DH13">
            <v>10014</v>
          </cell>
        </row>
        <row r="14">
          <cell r="DG14">
            <v>2439197</v>
          </cell>
          <cell r="DH14">
            <v>5525</v>
          </cell>
        </row>
        <row r="19">
          <cell r="DF19">
            <v>9448</v>
          </cell>
          <cell r="DG19">
            <v>292727</v>
          </cell>
          <cell r="DH19">
            <v>1133</v>
          </cell>
        </row>
        <row r="27">
          <cell r="DF27">
            <v>87366</v>
          </cell>
          <cell r="DG27">
            <v>13848820</v>
          </cell>
          <cell r="DH27">
            <v>43303</v>
          </cell>
        </row>
        <row r="29">
          <cell r="DG29">
            <v>12142021</v>
          </cell>
          <cell r="DH29">
            <v>35449</v>
          </cell>
        </row>
        <row r="31">
          <cell r="DF31">
            <v>63783</v>
          </cell>
          <cell r="DG31">
            <v>3507355</v>
          </cell>
          <cell r="DH31">
            <v>9686</v>
          </cell>
        </row>
        <row r="33">
          <cell r="DG33">
            <v>3337922</v>
          </cell>
          <cell r="DH33">
            <v>9060</v>
          </cell>
        </row>
        <row r="49">
          <cell r="DF49">
            <v>19874</v>
          </cell>
          <cell r="DG49">
            <v>713706</v>
          </cell>
          <cell r="DH49">
            <v>2495</v>
          </cell>
        </row>
        <row r="50">
          <cell r="DG50">
            <v>169379</v>
          </cell>
          <cell r="DH50">
            <v>418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LIM"/>
      <sheetName val="SUMSchv.o."/>
      <sheetName val="List1"/>
    </sheetNames>
    <sheetDataSet>
      <sheetData sheetId="1">
        <row r="20">
          <cell r="AC20">
            <v>157696</v>
          </cell>
          <cell r="AD20">
            <v>3446251</v>
          </cell>
          <cell r="AF20">
            <v>9551</v>
          </cell>
          <cell r="AI20">
            <v>2163960</v>
          </cell>
          <cell r="AJ20">
            <v>4924</v>
          </cell>
          <cell r="AU20">
            <v>16086</v>
          </cell>
          <cell r="AV20">
            <v>295924</v>
          </cell>
          <cell r="AX20">
            <v>1144</v>
          </cell>
          <cell r="CV20">
            <v>109374</v>
          </cell>
          <cell r="CW20">
            <v>14031317</v>
          </cell>
          <cell r="CY20">
            <v>43546</v>
          </cell>
          <cell r="DB20">
            <v>12312005</v>
          </cell>
          <cell r="DD20">
            <v>35692</v>
          </cell>
          <cell r="DG20">
            <v>55615</v>
          </cell>
          <cell r="DH20">
            <v>3515263</v>
          </cell>
          <cell r="DI20">
            <v>9705</v>
          </cell>
          <cell r="DM20">
            <v>3345250</v>
          </cell>
          <cell r="DN20">
            <v>9077</v>
          </cell>
          <cell r="EC20">
            <v>40790</v>
          </cell>
          <cell r="ED20">
            <v>768174</v>
          </cell>
          <cell r="EF20">
            <v>2690</v>
          </cell>
          <cell r="EI20">
            <v>164485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22"/>
  <sheetViews>
    <sheetView workbookViewId="0" topLeftCell="A7">
      <selection activeCell="C26" sqref="C26"/>
    </sheetView>
  </sheetViews>
  <sheetFormatPr defaultColWidth="9.00390625" defaultRowHeight="12.75"/>
  <cols>
    <col min="1" max="16384" width="9.125" style="37" customWidth="1"/>
  </cols>
  <sheetData>
    <row r="14" spans="1:9" ht="18">
      <c r="A14" s="1371" t="s">
        <v>802</v>
      </c>
      <c r="B14" s="1371"/>
      <c r="C14" s="1371"/>
      <c r="D14" s="1371"/>
      <c r="E14" s="1371"/>
      <c r="F14" s="1371"/>
      <c r="G14" s="1371"/>
      <c r="H14" s="1371"/>
      <c r="I14" s="1371"/>
    </row>
    <row r="15" spans="1:9" ht="12.75" customHeight="1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18">
      <c r="A16" s="1372" t="s">
        <v>803</v>
      </c>
      <c r="B16" s="1372"/>
      <c r="C16" s="1372"/>
      <c r="D16" s="1372"/>
      <c r="E16" s="1372"/>
      <c r="F16" s="1372"/>
      <c r="G16" s="1372"/>
      <c r="H16" s="1372"/>
      <c r="I16" s="1372"/>
    </row>
    <row r="17" spans="1:9" ht="12.75" customHeight="1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18">
      <c r="A18" s="1372" t="s">
        <v>781</v>
      </c>
      <c r="B18" s="1372"/>
      <c r="C18" s="1372"/>
      <c r="D18" s="1372"/>
      <c r="E18" s="1372"/>
      <c r="F18" s="1372"/>
      <c r="G18" s="1372"/>
      <c r="H18" s="1372"/>
      <c r="I18" s="1372"/>
    </row>
    <row r="19" spans="1:9" ht="18">
      <c r="A19" s="36"/>
      <c r="B19" s="36"/>
      <c r="C19" s="36"/>
      <c r="D19" s="36"/>
      <c r="E19" s="36"/>
      <c r="F19" s="36"/>
      <c r="G19" s="36"/>
      <c r="H19" s="36"/>
      <c r="I19" s="36"/>
    </row>
    <row r="20" spans="1:9" ht="18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18">
      <c r="A21" s="36"/>
      <c r="B21" s="36"/>
      <c r="C21" s="36"/>
      <c r="D21" s="36"/>
      <c r="E21" s="36"/>
      <c r="F21" s="36"/>
      <c r="G21" s="36"/>
      <c r="H21" s="36"/>
      <c r="I21" s="36"/>
    </row>
    <row r="22" spans="1:9" ht="18">
      <c r="A22" s="1372" t="s">
        <v>804</v>
      </c>
      <c r="B22" s="1372"/>
      <c r="C22" s="1372"/>
      <c r="D22" s="1372"/>
      <c r="E22" s="1372"/>
      <c r="F22" s="1372"/>
      <c r="G22" s="1372"/>
      <c r="H22" s="1372"/>
      <c r="I22" s="1372"/>
    </row>
  </sheetData>
  <mergeCells count="4">
    <mergeCell ref="A14:I14"/>
    <mergeCell ref="A16:I16"/>
    <mergeCell ref="A18:I18"/>
    <mergeCell ref="A22:I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P108"/>
  <sheetViews>
    <sheetView zoomScale="65" zoomScaleNormal="65" zoomScaleSheetLayoutView="75" workbookViewId="0" topLeftCell="A69">
      <selection activeCell="G104" sqref="G104"/>
    </sheetView>
  </sheetViews>
  <sheetFormatPr defaultColWidth="9.00390625" defaultRowHeight="12.75"/>
  <cols>
    <col min="1" max="1" width="12.125" style="40" customWidth="1"/>
    <col min="2" max="2" width="54.375" style="40" customWidth="1"/>
    <col min="3" max="11" width="17.625" style="40" customWidth="1"/>
    <col min="12" max="14" width="15.125" style="40" customWidth="1"/>
    <col min="15" max="15" width="5.375" style="40" customWidth="1"/>
    <col min="16" max="16384" width="9.125" style="40" customWidth="1"/>
  </cols>
  <sheetData>
    <row r="1" spans="1:12" s="627" customFormat="1" ht="21.75" customHeight="1">
      <c r="A1" s="1490" t="s">
        <v>579</v>
      </c>
      <c r="B1" s="1490"/>
      <c r="C1" s="1490"/>
      <c r="D1" s="1490"/>
      <c r="E1" s="1490"/>
      <c r="F1" s="1490"/>
      <c r="G1" s="1490"/>
      <c r="H1" s="1490"/>
      <c r="I1" s="1490"/>
      <c r="J1" s="1490"/>
      <c r="K1" s="1490"/>
      <c r="L1" s="1490"/>
    </row>
    <row r="2" spans="2:14" ht="3.75" customHeight="1">
      <c r="B2" s="1046"/>
      <c r="C2" s="445"/>
      <c r="D2" s="445"/>
      <c r="E2" s="445"/>
      <c r="F2" s="445"/>
      <c r="G2" s="445"/>
      <c r="H2" s="445"/>
      <c r="I2" s="445"/>
      <c r="J2" s="445"/>
      <c r="M2" s="1441"/>
      <c r="N2" s="1441"/>
    </row>
    <row r="3" spans="2:13" ht="18" customHeight="1">
      <c r="B3" s="1442" t="s">
        <v>580</v>
      </c>
      <c r="C3" s="1442"/>
      <c r="D3" s="1442"/>
      <c r="E3" s="1442"/>
      <c r="F3" s="1442"/>
      <c r="G3" s="1442"/>
      <c r="H3" s="1442"/>
      <c r="I3" s="1442"/>
      <c r="J3" s="1442"/>
      <c r="K3" s="1442"/>
      <c r="L3" s="1442"/>
      <c r="M3" s="1442"/>
    </row>
    <row r="4" spans="1:14" ht="15" customHeight="1">
      <c r="A4" s="1461" t="s">
        <v>581</v>
      </c>
      <c r="B4" s="1462"/>
      <c r="C4" s="1462"/>
      <c r="D4" s="1462"/>
      <c r="E4" s="1462"/>
      <c r="F4" s="1462"/>
      <c r="G4" s="1462"/>
      <c r="H4" s="1462"/>
      <c r="I4" s="1462"/>
      <c r="J4" s="1462"/>
      <c r="K4" s="1462"/>
      <c r="L4" s="1462"/>
      <c r="M4" s="1462"/>
      <c r="N4" s="1462"/>
    </row>
    <row r="5" spans="2:14" ht="12.75" customHeight="1" thickBot="1"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5" t="s">
        <v>582</v>
      </c>
    </row>
    <row r="6" spans="1:14" s="745" customFormat="1" ht="15" customHeight="1">
      <c r="A6" s="1453" t="s">
        <v>583</v>
      </c>
      <c r="B6" s="1468"/>
      <c r="C6" s="1443" t="s">
        <v>584</v>
      </c>
      <c r="D6" s="1444"/>
      <c r="E6" s="1444"/>
      <c r="F6" s="1444"/>
      <c r="G6" s="1444"/>
      <c r="H6" s="1445"/>
      <c r="I6" s="1453" t="s">
        <v>585</v>
      </c>
      <c r="J6" s="1454"/>
      <c r="K6" s="1455"/>
      <c r="L6" s="1458" t="s">
        <v>586</v>
      </c>
      <c r="M6" s="1454"/>
      <c r="N6" s="1459"/>
    </row>
    <row r="7" spans="1:14" s="745" customFormat="1" ht="15" customHeight="1">
      <c r="A7" s="1463"/>
      <c r="B7" s="1470"/>
      <c r="C7" s="1473" t="s">
        <v>843</v>
      </c>
      <c r="D7" s="1474"/>
      <c r="E7" s="1475"/>
      <c r="F7" s="1476" t="s">
        <v>1</v>
      </c>
      <c r="G7" s="1474"/>
      <c r="H7" s="1474"/>
      <c r="I7" s="1456"/>
      <c r="J7" s="1451"/>
      <c r="K7" s="1457"/>
      <c r="L7" s="1460"/>
      <c r="M7" s="1451"/>
      <c r="N7" s="1452"/>
    </row>
    <row r="8" spans="1:14" s="745" customFormat="1" ht="43.5" customHeight="1">
      <c r="A8" s="1471"/>
      <c r="B8" s="1472"/>
      <c r="C8" s="747" t="s">
        <v>587</v>
      </c>
      <c r="D8" s="748" t="s">
        <v>665</v>
      </c>
      <c r="E8" s="749" t="s">
        <v>588</v>
      </c>
      <c r="F8" s="750" t="s">
        <v>587</v>
      </c>
      <c r="G8" s="748" t="s">
        <v>665</v>
      </c>
      <c r="H8" s="749" t="s">
        <v>588</v>
      </c>
      <c r="I8" s="747" t="s">
        <v>587</v>
      </c>
      <c r="J8" s="748" t="s">
        <v>665</v>
      </c>
      <c r="K8" s="749" t="s">
        <v>588</v>
      </c>
      <c r="L8" s="750" t="s">
        <v>587</v>
      </c>
      <c r="M8" s="748" t="s">
        <v>665</v>
      </c>
      <c r="N8" s="751" t="s">
        <v>588</v>
      </c>
    </row>
    <row r="9" spans="1:16" ht="15" customHeight="1" thickBot="1">
      <c r="A9" s="451"/>
      <c r="B9" s="452" t="s">
        <v>589</v>
      </c>
      <c r="C9" s="453">
        <v>1</v>
      </c>
      <c r="D9" s="454">
        <v>2</v>
      </c>
      <c r="E9" s="455">
        <v>3</v>
      </c>
      <c r="F9" s="454">
        <v>4</v>
      </c>
      <c r="G9" s="454">
        <v>5</v>
      </c>
      <c r="H9" s="455">
        <v>6</v>
      </c>
      <c r="I9" s="453">
        <v>10</v>
      </c>
      <c r="J9" s="454">
        <v>11</v>
      </c>
      <c r="K9" s="455">
        <v>12</v>
      </c>
      <c r="L9" s="456" t="s">
        <v>590</v>
      </c>
      <c r="M9" s="455" t="s">
        <v>591</v>
      </c>
      <c r="N9" s="457" t="s">
        <v>592</v>
      </c>
      <c r="O9" s="458"/>
      <c r="P9" s="458"/>
    </row>
    <row r="10" spans="1:14" s="446" customFormat="1" ht="15" customHeight="1" thickBot="1">
      <c r="A10" s="1446" t="s">
        <v>593</v>
      </c>
      <c r="B10" s="1447"/>
      <c r="C10" s="1447"/>
      <c r="D10" s="1447"/>
      <c r="E10" s="1447"/>
      <c r="F10" s="1447"/>
      <c r="G10" s="1447"/>
      <c r="H10" s="1447"/>
      <c r="I10" s="1447"/>
      <c r="J10" s="1447"/>
      <c r="K10" s="1447"/>
      <c r="L10" s="1447"/>
      <c r="M10" s="1447"/>
      <c r="N10" s="1448"/>
    </row>
    <row r="11" spans="1:14" ht="15" customHeight="1" hidden="1">
      <c r="A11" s="459"/>
      <c r="C11" s="460"/>
      <c r="D11" s="461"/>
      <c r="E11" s="461"/>
      <c r="F11" s="461"/>
      <c r="G11" s="461"/>
      <c r="H11" s="461"/>
      <c r="I11" s="460"/>
      <c r="J11" s="461"/>
      <c r="K11" s="462"/>
      <c r="L11" s="463"/>
      <c r="M11" s="463"/>
      <c r="N11" s="464"/>
    </row>
    <row r="12" spans="1:14" ht="15" customHeight="1">
      <c r="A12" s="465"/>
      <c r="B12" s="769" t="s">
        <v>594</v>
      </c>
      <c r="C12" s="467"/>
      <c r="D12" s="468"/>
      <c r="E12" s="468"/>
      <c r="F12" s="468"/>
      <c r="G12" s="468"/>
      <c r="H12" s="468"/>
      <c r="I12" s="467"/>
      <c r="J12" s="468"/>
      <c r="K12" s="469"/>
      <c r="L12" s="470"/>
      <c r="M12" s="470"/>
      <c r="N12" s="471"/>
    </row>
    <row r="13" spans="1:14" s="480" customFormat="1" ht="15">
      <c r="A13" s="472"/>
      <c r="B13" s="473" t="s">
        <v>595</v>
      </c>
      <c r="C13" s="474"/>
      <c r="D13" s="475"/>
      <c r="E13" s="475"/>
      <c r="F13" s="475"/>
      <c r="G13" s="475"/>
      <c r="H13" s="475"/>
      <c r="I13" s="474"/>
      <c r="J13" s="476"/>
      <c r="K13" s="477"/>
      <c r="L13" s="478"/>
      <c r="M13" s="478"/>
      <c r="N13" s="479"/>
    </row>
    <row r="14" spans="1:14" s="480" customFormat="1" ht="15" customHeight="1">
      <c r="A14" s="481"/>
      <c r="B14" s="770" t="s">
        <v>596</v>
      </c>
      <c r="C14" s="483"/>
      <c r="D14" s="484"/>
      <c r="E14" s="484"/>
      <c r="F14" s="484"/>
      <c r="G14" s="484"/>
      <c r="H14" s="484"/>
      <c r="I14" s="483"/>
      <c r="J14" s="484"/>
      <c r="K14" s="485"/>
      <c r="L14" s="486"/>
      <c r="M14" s="486"/>
      <c r="N14" s="487"/>
    </row>
    <row r="15" spans="1:14" s="373" customFormat="1" ht="15" customHeight="1" thickBot="1">
      <c r="A15" s="488"/>
      <c r="B15" s="489" t="s">
        <v>597</v>
      </c>
      <c r="C15" s="490"/>
      <c r="D15" s="491"/>
      <c r="E15" s="491"/>
      <c r="F15" s="491"/>
      <c r="G15" s="491"/>
      <c r="H15" s="491"/>
      <c r="I15" s="490"/>
      <c r="J15" s="491"/>
      <c r="K15" s="492"/>
      <c r="L15" s="493"/>
      <c r="M15" s="493"/>
      <c r="N15" s="494"/>
    </row>
    <row r="16" spans="1:14" s="446" customFormat="1" ht="15" customHeight="1" thickBot="1">
      <c r="A16" s="1446" t="s">
        <v>598</v>
      </c>
      <c r="B16" s="1447"/>
      <c r="C16" s="1447"/>
      <c r="D16" s="1447"/>
      <c r="E16" s="1447"/>
      <c r="F16" s="1447"/>
      <c r="G16" s="1447"/>
      <c r="H16" s="1447"/>
      <c r="I16" s="1447"/>
      <c r="J16" s="1447"/>
      <c r="K16" s="1447"/>
      <c r="L16" s="1447"/>
      <c r="M16" s="1447"/>
      <c r="N16" s="1448"/>
    </row>
    <row r="17" spans="1:14" ht="15" customHeight="1">
      <c r="A17" s="495">
        <v>33</v>
      </c>
      <c r="B17" s="771" t="s">
        <v>599</v>
      </c>
      <c r="C17" s="497">
        <v>11366</v>
      </c>
      <c r="D17" s="498">
        <v>157336</v>
      </c>
      <c r="E17" s="498">
        <f>SUM(C17:D17)</f>
        <v>168702</v>
      </c>
      <c r="F17" s="497">
        <v>11366</v>
      </c>
      <c r="G17" s="498">
        <v>157336</v>
      </c>
      <c r="H17" s="498">
        <f>SUM(F17:G17)</f>
        <v>168702</v>
      </c>
      <c r="I17" s="499">
        <v>10259.65</v>
      </c>
      <c r="J17" s="498">
        <v>299992.48</v>
      </c>
      <c r="K17" s="498">
        <f>SUM(I17:J17)</f>
        <v>310252.13</v>
      </c>
      <c r="L17" s="500">
        <f aca="true" t="shared" si="0" ref="L17:L33">I17/F17</f>
        <v>0.9027</v>
      </c>
      <c r="M17" s="500">
        <f aca="true" t="shared" si="1" ref="M17:M33">J17/G17</f>
        <v>1.9067</v>
      </c>
      <c r="N17" s="501">
        <f aca="true" t="shared" si="2" ref="N17:N33">K17/H17</f>
        <v>1.8391</v>
      </c>
    </row>
    <row r="18" spans="1:14" ht="15" customHeight="1">
      <c r="A18" s="502">
        <v>36</v>
      </c>
      <c r="B18" s="772" t="s">
        <v>562</v>
      </c>
      <c r="C18" s="503">
        <v>194725</v>
      </c>
      <c r="D18" s="504">
        <v>28052</v>
      </c>
      <c r="E18" s="504">
        <f>SUM(C18:D18)</f>
        <v>222777</v>
      </c>
      <c r="F18" s="503">
        <v>194108</v>
      </c>
      <c r="G18" s="504">
        <v>570013</v>
      </c>
      <c r="H18" s="504">
        <f>SUM(F18:G18)</f>
        <v>764121</v>
      </c>
      <c r="I18" s="505">
        <v>144999.19</v>
      </c>
      <c r="J18" s="504">
        <v>1075668.88</v>
      </c>
      <c r="K18" s="504">
        <f>SUM(I18:J18)</f>
        <v>1220668.07</v>
      </c>
      <c r="L18" s="506">
        <f t="shared" si="0"/>
        <v>0.747</v>
      </c>
      <c r="M18" s="506">
        <f t="shared" si="1"/>
        <v>1.8871</v>
      </c>
      <c r="N18" s="507">
        <f t="shared" si="2"/>
        <v>1.5975</v>
      </c>
    </row>
    <row r="19" spans="1:14" ht="15" customHeight="1">
      <c r="A19" s="502">
        <v>32</v>
      </c>
      <c r="B19" s="772" t="s">
        <v>600</v>
      </c>
      <c r="C19" s="503">
        <v>318</v>
      </c>
      <c r="D19" s="504">
        <v>1759</v>
      </c>
      <c r="E19" s="504">
        <f>SUM(C19:D19)</f>
        <v>2077</v>
      </c>
      <c r="F19" s="503">
        <v>487</v>
      </c>
      <c r="G19" s="504">
        <v>2715</v>
      </c>
      <c r="H19" s="504">
        <f>SUM(F19:G19)</f>
        <v>3202</v>
      </c>
      <c r="I19" s="505">
        <v>204.19</v>
      </c>
      <c r="J19" s="504">
        <v>1156.51</v>
      </c>
      <c r="K19" s="504">
        <f>SUM(I19:J19)</f>
        <v>1360.7</v>
      </c>
      <c r="L19" s="506">
        <f t="shared" si="0"/>
        <v>0.4193</v>
      </c>
      <c r="M19" s="506">
        <f t="shared" si="1"/>
        <v>0.426</v>
      </c>
      <c r="N19" s="507">
        <f t="shared" si="2"/>
        <v>0.425</v>
      </c>
    </row>
    <row r="20" spans="1:14" ht="15" customHeight="1">
      <c r="A20" s="502">
        <v>41</v>
      </c>
      <c r="B20" s="772" t="s">
        <v>601</v>
      </c>
      <c r="C20" s="503">
        <v>2177</v>
      </c>
      <c r="D20" s="504">
        <v>9921</v>
      </c>
      <c r="E20" s="504">
        <f>SUM(C20:D20)</f>
        <v>12098</v>
      </c>
      <c r="F20" s="503">
        <v>1863</v>
      </c>
      <c r="G20" s="504">
        <v>10678</v>
      </c>
      <c r="H20" s="504">
        <f>SUM(F20:G20)</f>
        <v>12541</v>
      </c>
      <c r="I20" s="505">
        <v>1190.55</v>
      </c>
      <c r="J20" s="504">
        <v>6806.82</v>
      </c>
      <c r="K20" s="504">
        <f>SUM(I20:J20)</f>
        <v>7997.37</v>
      </c>
      <c r="L20" s="506">
        <f t="shared" si="0"/>
        <v>0.639</v>
      </c>
      <c r="M20" s="506">
        <f t="shared" si="1"/>
        <v>0.6375</v>
      </c>
      <c r="N20" s="507">
        <f t="shared" si="2"/>
        <v>0.6377</v>
      </c>
    </row>
    <row r="21" spans="1:14" ht="15" customHeight="1">
      <c r="A21" s="465">
        <v>54</v>
      </c>
      <c r="B21" s="769" t="s">
        <v>602</v>
      </c>
      <c r="C21" s="508">
        <v>3080</v>
      </c>
      <c r="D21" s="509">
        <v>41452</v>
      </c>
      <c r="E21" s="504">
        <f>SUM(C21:D21)</f>
        <v>44532</v>
      </c>
      <c r="F21" s="509">
        <v>3008</v>
      </c>
      <c r="G21" s="509">
        <v>33653</v>
      </c>
      <c r="H21" s="504">
        <f>SUM(F21:G21)</f>
        <v>36661</v>
      </c>
      <c r="I21" s="510">
        <v>2536.35</v>
      </c>
      <c r="J21" s="509">
        <v>13547.11</v>
      </c>
      <c r="K21" s="504">
        <f>SUM(I21:J21)</f>
        <v>16083.46</v>
      </c>
      <c r="L21" s="506">
        <f t="shared" si="0"/>
        <v>0.8432</v>
      </c>
      <c r="M21" s="506">
        <f t="shared" si="1"/>
        <v>0.4026</v>
      </c>
      <c r="N21" s="511">
        <f t="shared" si="2"/>
        <v>0.4387</v>
      </c>
    </row>
    <row r="22" spans="1:14" s="480" customFormat="1" ht="15" customHeight="1">
      <c r="A22" s="512"/>
      <c r="B22" s="1057" t="s">
        <v>595</v>
      </c>
      <c r="C22" s="1058">
        <f aca="true" t="shared" si="3" ref="C22:K22">SUM(C17:C21)</f>
        <v>211666</v>
      </c>
      <c r="D22" s="1059">
        <f t="shared" si="3"/>
        <v>238520</v>
      </c>
      <c r="E22" s="1059">
        <f t="shared" si="3"/>
        <v>450186</v>
      </c>
      <c r="F22" s="1059">
        <f t="shared" si="3"/>
        <v>210832</v>
      </c>
      <c r="G22" s="1059">
        <f t="shared" si="3"/>
        <v>774395</v>
      </c>
      <c r="H22" s="1060">
        <f t="shared" si="3"/>
        <v>985227</v>
      </c>
      <c r="I22" s="1058">
        <f t="shared" si="3"/>
        <v>159189.93</v>
      </c>
      <c r="J22" s="1059">
        <f t="shared" si="3"/>
        <v>1397171.8</v>
      </c>
      <c r="K22" s="1059">
        <f t="shared" si="3"/>
        <v>1556361.73</v>
      </c>
      <c r="L22" s="1061">
        <f t="shared" si="0"/>
        <v>0.7551</v>
      </c>
      <c r="M22" s="1061">
        <f t="shared" si="1"/>
        <v>1.8042</v>
      </c>
      <c r="N22" s="1062">
        <f t="shared" si="2"/>
        <v>1.5797</v>
      </c>
    </row>
    <row r="23" spans="1:14" ht="15" customHeight="1">
      <c r="A23" s="513"/>
      <c r="B23" s="773" t="s">
        <v>603</v>
      </c>
      <c r="C23" s="515">
        <v>23870</v>
      </c>
      <c r="D23" s="516">
        <v>78936</v>
      </c>
      <c r="E23" s="504">
        <f aca="true" t="shared" si="4" ref="E23:E30">SUM(C23:D23)</f>
        <v>102806</v>
      </c>
      <c r="F23" s="516">
        <v>22727</v>
      </c>
      <c r="G23" s="516">
        <v>75936</v>
      </c>
      <c r="H23" s="504">
        <f aca="true" t="shared" si="5" ref="H23:H30">SUM(F23:G23)</f>
        <v>98663</v>
      </c>
      <c r="I23" s="517">
        <v>16189.58</v>
      </c>
      <c r="J23" s="518">
        <v>121295.73</v>
      </c>
      <c r="K23" s="519">
        <f aca="true" t="shared" si="6" ref="K23:K30">SUM(I23:J23)</f>
        <v>137485.31</v>
      </c>
      <c r="L23" s="520">
        <f t="shared" si="0"/>
        <v>0.71</v>
      </c>
      <c r="M23" s="520">
        <f t="shared" si="1"/>
        <v>1.6</v>
      </c>
      <c r="N23" s="521">
        <f t="shared" si="2"/>
        <v>1.39</v>
      </c>
    </row>
    <row r="24" spans="1:14" ht="15" customHeight="1">
      <c r="A24" s="522"/>
      <c r="B24" s="772" t="s">
        <v>604</v>
      </c>
      <c r="C24" s="523">
        <v>8085</v>
      </c>
      <c r="D24" s="524">
        <v>7598</v>
      </c>
      <c r="E24" s="504">
        <f t="shared" si="4"/>
        <v>15683</v>
      </c>
      <c r="F24" s="524">
        <v>8165</v>
      </c>
      <c r="G24" s="524">
        <v>7598</v>
      </c>
      <c r="H24" s="504">
        <f t="shared" si="5"/>
        <v>15763</v>
      </c>
      <c r="I24" s="525">
        <v>3746.26</v>
      </c>
      <c r="J24" s="526">
        <v>3716.35</v>
      </c>
      <c r="K24" s="504">
        <f t="shared" si="6"/>
        <v>7462.61</v>
      </c>
      <c r="L24" s="527">
        <f t="shared" si="0"/>
        <v>0.46</v>
      </c>
      <c r="M24" s="527">
        <f t="shared" si="1"/>
        <v>0.49</v>
      </c>
      <c r="N24" s="528">
        <f t="shared" si="2"/>
        <v>0.47</v>
      </c>
    </row>
    <row r="25" spans="1:14" ht="15" customHeight="1" hidden="1">
      <c r="A25" s="522"/>
      <c r="B25" s="772"/>
      <c r="C25" s="523"/>
      <c r="D25" s="524"/>
      <c r="E25" s="504">
        <f t="shared" si="4"/>
        <v>0</v>
      </c>
      <c r="F25" s="524"/>
      <c r="G25" s="524"/>
      <c r="H25" s="504">
        <f t="shared" si="5"/>
        <v>0</v>
      </c>
      <c r="I25" s="525"/>
      <c r="J25" s="526"/>
      <c r="K25" s="504">
        <f t="shared" si="6"/>
        <v>0</v>
      </c>
      <c r="L25" s="527" t="e">
        <f t="shared" si="0"/>
        <v>#DIV/0!</v>
      </c>
      <c r="M25" s="527" t="e">
        <f t="shared" si="1"/>
        <v>#DIV/0!</v>
      </c>
      <c r="N25" s="528" t="e">
        <f t="shared" si="2"/>
        <v>#DIV/0!</v>
      </c>
    </row>
    <row r="26" spans="1:14" ht="15" customHeight="1" hidden="1">
      <c r="A26" s="522"/>
      <c r="B26" s="772"/>
      <c r="C26" s="523"/>
      <c r="D26" s="524"/>
      <c r="E26" s="504">
        <f t="shared" si="4"/>
        <v>0</v>
      </c>
      <c r="F26" s="524"/>
      <c r="G26" s="524"/>
      <c r="H26" s="504">
        <f t="shared" si="5"/>
        <v>0</v>
      </c>
      <c r="I26" s="525"/>
      <c r="J26" s="526"/>
      <c r="K26" s="504">
        <f t="shared" si="6"/>
        <v>0</v>
      </c>
      <c r="L26" s="527" t="e">
        <f t="shared" si="0"/>
        <v>#DIV/0!</v>
      </c>
      <c r="M26" s="527" t="e">
        <f t="shared" si="1"/>
        <v>#DIV/0!</v>
      </c>
      <c r="N26" s="528" t="e">
        <f t="shared" si="2"/>
        <v>#DIV/0!</v>
      </c>
    </row>
    <row r="27" spans="1:14" ht="15" customHeight="1" hidden="1">
      <c r="A27" s="522"/>
      <c r="B27" s="772"/>
      <c r="C27" s="523"/>
      <c r="D27" s="524"/>
      <c r="E27" s="504">
        <f t="shared" si="4"/>
        <v>0</v>
      </c>
      <c r="F27" s="524"/>
      <c r="G27" s="524"/>
      <c r="H27" s="504">
        <f t="shared" si="5"/>
        <v>0</v>
      </c>
      <c r="I27" s="525"/>
      <c r="J27" s="526"/>
      <c r="K27" s="504">
        <f t="shared" si="6"/>
        <v>0</v>
      </c>
      <c r="L27" s="527" t="e">
        <f t="shared" si="0"/>
        <v>#DIV/0!</v>
      </c>
      <c r="M27" s="527" t="e">
        <f t="shared" si="1"/>
        <v>#DIV/0!</v>
      </c>
      <c r="N27" s="528" t="e">
        <f t="shared" si="2"/>
        <v>#DIV/0!</v>
      </c>
    </row>
    <row r="28" spans="1:14" ht="15" customHeight="1" hidden="1">
      <c r="A28" s="522"/>
      <c r="B28" s="772"/>
      <c r="C28" s="523"/>
      <c r="D28" s="524"/>
      <c r="E28" s="504">
        <f t="shared" si="4"/>
        <v>0</v>
      </c>
      <c r="F28" s="524"/>
      <c r="G28" s="524"/>
      <c r="H28" s="504">
        <f t="shared" si="5"/>
        <v>0</v>
      </c>
      <c r="I28" s="525"/>
      <c r="J28" s="526"/>
      <c r="K28" s="504">
        <f t="shared" si="6"/>
        <v>0</v>
      </c>
      <c r="L28" s="527" t="e">
        <f t="shared" si="0"/>
        <v>#DIV/0!</v>
      </c>
      <c r="M28" s="527" t="e">
        <f t="shared" si="1"/>
        <v>#DIV/0!</v>
      </c>
      <c r="N28" s="528" t="e">
        <f t="shared" si="2"/>
        <v>#DIV/0!</v>
      </c>
    </row>
    <row r="29" spans="1:14" ht="15" customHeight="1" hidden="1">
      <c r="A29" s="522"/>
      <c r="B29" s="772"/>
      <c r="C29" s="523"/>
      <c r="D29" s="524"/>
      <c r="E29" s="504">
        <f t="shared" si="4"/>
        <v>0</v>
      </c>
      <c r="F29" s="524"/>
      <c r="G29" s="524"/>
      <c r="H29" s="504">
        <f t="shared" si="5"/>
        <v>0</v>
      </c>
      <c r="I29" s="525"/>
      <c r="J29" s="526"/>
      <c r="K29" s="504">
        <f t="shared" si="6"/>
        <v>0</v>
      </c>
      <c r="L29" s="527" t="e">
        <f t="shared" si="0"/>
        <v>#DIV/0!</v>
      </c>
      <c r="M29" s="527" t="e">
        <f t="shared" si="1"/>
        <v>#DIV/0!</v>
      </c>
      <c r="N29" s="528" t="e">
        <f t="shared" si="2"/>
        <v>#DIV/0!</v>
      </c>
    </row>
    <row r="30" spans="1:14" ht="15" customHeight="1" hidden="1">
      <c r="A30" s="522"/>
      <c r="B30" s="772"/>
      <c r="C30" s="523"/>
      <c r="D30" s="524"/>
      <c r="E30" s="504">
        <f t="shared" si="4"/>
        <v>0</v>
      </c>
      <c r="F30" s="524"/>
      <c r="G30" s="524"/>
      <c r="H30" s="504">
        <f t="shared" si="5"/>
        <v>0</v>
      </c>
      <c r="I30" s="525"/>
      <c r="J30" s="526"/>
      <c r="K30" s="504">
        <f t="shared" si="6"/>
        <v>0</v>
      </c>
      <c r="L30" s="527" t="e">
        <f t="shared" si="0"/>
        <v>#DIV/0!</v>
      </c>
      <c r="M30" s="527" t="e">
        <f t="shared" si="1"/>
        <v>#DIV/0!</v>
      </c>
      <c r="N30" s="529" t="e">
        <f t="shared" si="2"/>
        <v>#DIV/0!</v>
      </c>
    </row>
    <row r="31" spans="1:14" ht="15" customHeight="1">
      <c r="A31" s="530"/>
      <c r="B31" s="1063" t="s">
        <v>605</v>
      </c>
      <c r="C31" s="1064">
        <f aca="true" t="shared" si="7" ref="C31:K31">SUM(C23:C30)</f>
        <v>31955</v>
      </c>
      <c r="D31" s="1059">
        <f t="shared" si="7"/>
        <v>86534</v>
      </c>
      <c r="E31" s="1059">
        <f t="shared" si="7"/>
        <v>118489</v>
      </c>
      <c r="F31" s="1059">
        <f t="shared" si="7"/>
        <v>30892</v>
      </c>
      <c r="G31" s="1059">
        <f t="shared" si="7"/>
        <v>83534</v>
      </c>
      <c r="H31" s="1059">
        <f t="shared" si="7"/>
        <v>114426</v>
      </c>
      <c r="I31" s="1064">
        <f t="shared" si="7"/>
        <v>19935.84</v>
      </c>
      <c r="J31" s="1059">
        <f t="shared" si="7"/>
        <v>125012.08</v>
      </c>
      <c r="K31" s="1059">
        <f t="shared" si="7"/>
        <v>144947.92</v>
      </c>
      <c r="L31" s="1061">
        <f t="shared" si="0"/>
        <v>0.6453</v>
      </c>
      <c r="M31" s="1061">
        <f t="shared" si="1"/>
        <v>1.4965</v>
      </c>
      <c r="N31" s="1062">
        <f t="shared" si="2"/>
        <v>1.2667</v>
      </c>
    </row>
    <row r="32" spans="1:14" ht="15" customHeight="1">
      <c r="A32" s="522"/>
      <c r="B32" s="770" t="s">
        <v>606</v>
      </c>
      <c r="C32" s="523">
        <v>444</v>
      </c>
      <c r="D32" s="524">
        <v>1775</v>
      </c>
      <c r="E32" s="504">
        <f>SUM(C32:D32)</f>
        <v>2219</v>
      </c>
      <c r="F32" s="524">
        <v>444</v>
      </c>
      <c r="G32" s="524">
        <v>1775</v>
      </c>
      <c r="H32" s="504">
        <f>SUM(F32:G32)</f>
        <v>2219</v>
      </c>
      <c r="I32" s="525">
        <v>316.61</v>
      </c>
      <c r="J32" s="526">
        <v>1266.45</v>
      </c>
      <c r="K32" s="519">
        <f>SUM(I32:J32)</f>
        <v>1583.06</v>
      </c>
      <c r="L32" s="520">
        <f t="shared" si="0"/>
        <v>0.71</v>
      </c>
      <c r="M32" s="531">
        <f t="shared" si="1"/>
        <v>0.7135</v>
      </c>
      <c r="N32" s="532">
        <f t="shared" si="2"/>
        <v>0.7134</v>
      </c>
    </row>
    <row r="33" spans="1:14" s="780" customFormat="1" ht="18" customHeight="1" thickBot="1">
      <c r="A33" s="779"/>
      <c r="B33" s="1065" t="s">
        <v>597</v>
      </c>
      <c r="C33" s="1066">
        <f aca="true" t="shared" si="8" ref="C33:K33">C32+C31+C22</f>
        <v>244065</v>
      </c>
      <c r="D33" s="1067">
        <f t="shared" si="8"/>
        <v>326829</v>
      </c>
      <c r="E33" s="1067">
        <f t="shared" si="8"/>
        <v>570894</v>
      </c>
      <c r="F33" s="1067">
        <f t="shared" si="8"/>
        <v>242168</v>
      </c>
      <c r="G33" s="1067">
        <f t="shared" si="8"/>
        <v>859704</v>
      </c>
      <c r="H33" s="1067">
        <f t="shared" si="8"/>
        <v>1101872</v>
      </c>
      <c r="I33" s="1066">
        <f t="shared" si="8"/>
        <v>179442.38</v>
      </c>
      <c r="J33" s="1067">
        <f t="shared" si="8"/>
        <v>1523450.33</v>
      </c>
      <c r="K33" s="1067">
        <f t="shared" si="8"/>
        <v>1702892.71</v>
      </c>
      <c r="L33" s="1068">
        <f t="shared" si="0"/>
        <v>0.741</v>
      </c>
      <c r="M33" s="1068">
        <f t="shared" si="1"/>
        <v>1.7721</v>
      </c>
      <c r="N33" s="1069">
        <f t="shared" si="2"/>
        <v>1.5455</v>
      </c>
    </row>
    <row r="34" spans="1:14" s="446" customFormat="1" ht="15" customHeight="1" thickBot="1">
      <c r="A34" s="1446" t="s">
        <v>607</v>
      </c>
      <c r="B34" s="1447"/>
      <c r="C34" s="1447"/>
      <c r="D34" s="1447"/>
      <c r="E34" s="1447"/>
      <c r="F34" s="1447"/>
      <c r="G34" s="1447"/>
      <c r="H34" s="1447"/>
      <c r="I34" s="1447"/>
      <c r="J34" s="1447"/>
      <c r="K34" s="1447"/>
      <c r="L34" s="1447"/>
      <c r="M34" s="1447"/>
      <c r="N34" s="1448"/>
    </row>
    <row r="35" spans="1:14" ht="15" customHeight="1">
      <c r="A35" s="495"/>
      <c r="B35" s="496" t="s">
        <v>594</v>
      </c>
      <c r="C35" s="460"/>
      <c r="D35" s="461"/>
      <c r="E35" s="461"/>
      <c r="F35" s="461"/>
      <c r="G35" s="461"/>
      <c r="H35" s="461"/>
      <c r="I35" s="460"/>
      <c r="J35" s="461"/>
      <c r="K35" s="462"/>
      <c r="L35" s="463"/>
      <c r="M35" s="463"/>
      <c r="N35" s="464"/>
    </row>
    <row r="36" spans="1:14" ht="15" customHeight="1">
      <c r="A36" s="465"/>
      <c r="B36" s="466" t="s">
        <v>594</v>
      </c>
      <c r="C36" s="467"/>
      <c r="D36" s="468"/>
      <c r="E36" s="468"/>
      <c r="F36" s="468"/>
      <c r="G36" s="468"/>
      <c r="H36" s="468"/>
      <c r="I36" s="467"/>
      <c r="J36" s="468"/>
      <c r="K36" s="469"/>
      <c r="L36" s="470"/>
      <c r="M36" s="470"/>
      <c r="N36" s="471"/>
    </row>
    <row r="37" spans="1:14" s="480" customFormat="1" ht="15" customHeight="1">
      <c r="A37" s="512"/>
      <c r="B37" s="533" t="s">
        <v>595</v>
      </c>
      <c r="C37" s="534"/>
      <c r="D37" s="476"/>
      <c r="E37" s="476"/>
      <c r="F37" s="476"/>
      <c r="G37" s="476"/>
      <c r="H37" s="476"/>
      <c r="I37" s="534"/>
      <c r="J37" s="476"/>
      <c r="K37" s="477"/>
      <c r="L37" s="478"/>
      <c r="M37" s="478"/>
      <c r="N37" s="479"/>
    </row>
    <row r="38" spans="1:14" ht="15" customHeight="1">
      <c r="A38" s="513"/>
      <c r="B38" s="514" t="s">
        <v>608</v>
      </c>
      <c r="C38" s="515"/>
      <c r="D38" s="516"/>
      <c r="E38" s="516"/>
      <c r="F38" s="516"/>
      <c r="G38" s="516"/>
      <c r="H38" s="516"/>
      <c r="I38" s="515"/>
      <c r="J38" s="516"/>
      <c r="K38" s="535"/>
      <c r="L38" s="536"/>
      <c r="M38" s="536"/>
      <c r="N38" s="537"/>
    </row>
    <row r="39" spans="1:14" ht="15" customHeight="1">
      <c r="A39" s="530"/>
      <c r="B39" s="538" t="s">
        <v>605</v>
      </c>
      <c r="C39" s="539"/>
      <c r="D39" s="540"/>
      <c r="E39" s="540"/>
      <c r="F39" s="540"/>
      <c r="G39" s="540"/>
      <c r="H39" s="540"/>
      <c r="I39" s="539"/>
      <c r="J39" s="540"/>
      <c r="K39" s="541"/>
      <c r="L39" s="542"/>
      <c r="M39" s="542"/>
      <c r="N39" s="543"/>
    </row>
    <row r="40" spans="1:14" ht="15" customHeight="1">
      <c r="A40" s="522"/>
      <c r="B40" s="482" t="s">
        <v>596</v>
      </c>
      <c r="C40" s="523"/>
      <c r="D40" s="524"/>
      <c r="E40" s="524"/>
      <c r="F40" s="524"/>
      <c r="G40" s="524"/>
      <c r="H40" s="524"/>
      <c r="I40" s="523"/>
      <c r="J40" s="524"/>
      <c r="K40" s="544"/>
      <c r="L40" s="545"/>
      <c r="M40" s="545"/>
      <c r="N40" s="546"/>
    </row>
    <row r="41" spans="1:14" ht="15" customHeight="1" thickBot="1">
      <c r="A41" s="547"/>
      <c r="B41" s="489" t="s">
        <v>597</v>
      </c>
      <c r="C41" s="548"/>
      <c r="D41" s="549"/>
      <c r="E41" s="549"/>
      <c r="F41" s="549"/>
      <c r="G41" s="549"/>
      <c r="H41" s="549"/>
      <c r="I41" s="548"/>
      <c r="J41" s="549"/>
      <c r="K41" s="550"/>
      <c r="L41" s="551"/>
      <c r="M41" s="551"/>
      <c r="N41" s="552"/>
    </row>
    <row r="42" spans="1:14" ht="25.5" customHeight="1" thickBot="1">
      <c r="A42" s="1449" t="s">
        <v>609</v>
      </c>
      <c r="B42" s="1450"/>
      <c r="C42" s="553"/>
      <c r="D42" s="554"/>
      <c r="E42" s="554"/>
      <c r="F42" s="554"/>
      <c r="G42" s="554"/>
      <c r="H42" s="555"/>
      <c r="I42" s="553"/>
      <c r="J42" s="554"/>
      <c r="K42" s="554"/>
      <c r="L42" s="554"/>
      <c r="M42" s="554"/>
      <c r="N42" s="555"/>
    </row>
    <row r="43" spans="1:14" ht="19.5" customHeight="1" thickBot="1">
      <c r="A43" s="556"/>
      <c r="B43" s="557"/>
      <c r="C43" s="558"/>
      <c r="D43" s="558"/>
      <c r="E43" s="558"/>
      <c r="F43" s="558"/>
      <c r="G43" s="558"/>
      <c r="H43" s="558"/>
      <c r="I43" s="558"/>
      <c r="J43" s="558"/>
      <c r="K43" s="558"/>
      <c r="L43" s="559"/>
      <c r="M43" s="559"/>
      <c r="N43" s="559"/>
    </row>
    <row r="44" spans="1:14" s="745" customFormat="1" ht="15" customHeight="1" thickBot="1">
      <c r="A44" s="1453" t="s">
        <v>610</v>
      </c>
      <c r="B44" s="1459"/>
      <c r="C44" s="1465" t="s">
        <v>630</v>
      </c>
      <c r="D44" s="1466"/>
      <c r="E44" s="1466"/>
      <c r="F44" s="1466"/>
      <c r="G44" s="1466"/>
      <c r="H44" s="1467"/>
      <c r="I44" s="752"/>
      <c r="J44" s="752"/>
      <c r="K44" s="752"/>
      <c r="L44" s="753"/>
      <c r="M44" s="753"/>
      <c r="N44" s="753"/>
    </row>
    <row r="45" spans="1:14" s="745" customFormat="1" ht="15" customHeight="1">
      <c r="A45" s="1463"/>
      <c r="B45" s="1464"/>
      <c r="C45" s="1456" t="s">
        <v>631</v>
      </c>
      <c r="D45" s="1451"/>
      <c r="E45" s="1452"/>
      <c r="F45" s="1451" t="s">
        <v>632</v>
      </c>
      <c r="G45" s="1451"/>
      <c r="H45" s="1452"/>
      <c r="I45" s="752"/>
      <c r="J45" s="752"/>
      <c r="K45" s="752"/>
      <c r="L45" s="753"/>
      <c r="M45" s="753"/>
      <c r="N45" s="753"/>
    </row>
    <row r="46" spans="1:14" s="745" customFormat="1" ht="43.5" customHeight="1">
      <c r="A46" s="1463"/>
      <c r="B46" s="1464"/>
      <c r="C46" s="747" t="s">
        <v>587</v>
      </c>
      <c r="D46" s="748" t="s">
        <v>665</v>
      </c>
      <c r="E46" s="754" t="s">
        <v>588</v>
      </c>
      <c r="F46" s="746" t="s">
        <v>587</v>
      </c>
      <c r="G46" s="748" t="s">
        <v>665</v>
      </c>
      <c r="H46" s="751" t="s">
        <v>588</v>
      </c>
      <c r="I46" s="752"/>
      <c r="J46" s="752"/>
      <c r="K46" s="752"/>
      <c r="L46" s="753"/>
      <c r="M46" s="753"/>
      <c r="N46" s="753"/>
    </row>
    <row r="47" spans="1:14" s="745" customFormat="1" ht="15" customHeight="1" thickBot="1">
      <c r="A47" s="755" t="s">
        <v>633</v>
      </c>
      <c r="B47" s="756" t="s">
        <v>589</v>
      </c>
      <c r="C47" s="755">
        <v>16</v>
      </c>
      <c r="D47" s="757">
        <v>17</v>
      </c>
      <c r="E47" s="758">
        <v>18</v>
      </c>
      <c r="F47" s="759">
        <v>19</v>
      </c>
      <c r="G47" s="760">
        <v>20</v>
      </c>
      <c r="H47" s="758">
        <v>21</v>
      </c>
      <c r="I47" s="752"/>
      <c r="J47" s="752"/>
      <c r="K47" s="752"/>
      <c r="L47" s="753"/>
      <c r="M47" s="753"/>
      <c r="N47" s="753"/>
    </row>
    <row r="48" spans="1:14" ht="15" customHeight="1" thickBot="1">
      <c r="A48" s="1446" t="s">
        <v>593</v>
      </c>
      <c r="B48" s="1447"/>
      <c r="C48" s="1447"/>
      <c r="D48" s="1447"/>
      <c r="E48" s="1447"/>
      <c r="F48" s="1447"/>
      <c r="G48" s="1447"/>
      <c r="H48" s="1448"/>
      <c r="I48" s="622"/>
      <c r="J48" s="622"/>
      <c r="K48" s="622"/>
      <c r="L48" s="622"/>
      <c r="M48" s="622"/>
      <c r="N48" s="622"/>
    </row>
    <row r="49" spans="1:14" ht="15" customHeight="1">
      <c r="A49" s="495"/>
      <c r="B49" s="496" t="s">
        <v>594</v>
      </c>
      <c r="C49" s="460"/>
      <c r="D49" s="461"/>
      <c r="E49" s="562"/>
      <c r="F49" s="563"/>
      <c r="G49" s="461"/>
      <c r="H49" s="562"/>
      <c r="I49" s="558"/>
      <c r="J49" s="558"/>
      <c r="K49" s="558"/>
      <c r="L49" s="559"/>
      <c r="M49" s="559"/>
      <c r="N49" s="559"/>
    </row>
    <row r="50" spans="1:14" ht="15" customHeight="1">
      <c r="A50" s="465"/>
      <c r="B50" s="466" t="s">
        <v>594</v>
      </c>
      <c r="C50" s="467"/>
      <c r="D50" s="468"/>
      <c r="E50" s="564"/>
      <c r="F50" s="565"/>
      <c r="G50" s="468"/>
      <c r="H50" s="564"/>
      <c r="I50" s="558"/>
      <c r="J50" s="558"/>
      <c r="K50" s="558"/>
      <c r="L50" s="559"/>
      <c r="M50" s="559"/>
      <c r="N50" s="559"/>
    </row>
    <row r="51" spans="1:14" ht="15" customHeight="1">
      <c r="A51" s="512"/>
      <c r="B51" s="533" t="s">
        <v>595</v>
      </c>
      <c r="C51" s="534"/>
      <c r="D51" s="476"/>
      <c r="E51" s="566"/>
      <c r="F51" s="567"/>
      <c r="G51" s="476"/>
      <c r="H51" s="566"/>
      <c r="I51" s="568"/>
      <c r="J51" s="568"/>
      <c r="K51" s="568"/>
      <c r="L51" s="569"/>
      <c r="M51" s="569"/>
      <c r="N51" s="569"/>
    </row>
    <row r="52" spans="1:14" ht="15" customHeight="1">
      <c r="A52" s="481"/>
      <c r="B52" s="482" t="s">
        <v>596</v>
      </c>
      <c r="C52" s="483"/>
      <c r="D52" s="484"/>
      <c r="E52" s="570"/>
      <c r="F52" s="571"/>
      <c r="G52" s="484"/>
      <c r="H52" s="570"/>
      <c r="I52" s="568"/>
      <c r="J52" s="568"/>
      <c r="K52" s="568"/>
      <c r="L52" s="569"/>
      <c r="M52" s="569"/>
      <c r="N52" s="569"/>
    </row>
    <row r="53" spans="1:14" ht="15" customHeight="1" thickBot="1">
      <c r="A53" s="488"/>
      <c r="B53" s="489" t="s">
        <v>597</v>
      </c>
      <c r="C53" s="572"/>
      <c r="D53" s="573"/>
      <c r="E53" s="574"/>
      <c r="F53" s="575"/>
      <c r="G53" s="491"/>
      <c r="H53" s="576"/>
      <c r="I53" s="577"/>
      <c r="J53" s="577"/>
      <c r="K53" s="577"/>
      <c r="L53" s="578"/>
      <c r="M53" s="578"/>
      <c r="N53" s="578"/>
    </row>
    <row r="54" spans="1:14" ht="15" customHeight="1" thickBot="1">
      <c r="A54" s="1446" t="s">
        <v>598</v>
      </c>
      <c r="B54" s="1447"/>
      <c r="C54" s="1447"/>
      <c r="D54" s="1447"/>
      <c r="E54" s="1447"/>
      <c r="F54" s="1447"/>
      <c r="G54" s="1447"/>
      <c r="H54" s="1448"/>
      <c r="I54" s="622"/>
      <c r="J54" s="622"/>
      <c r="K54" s="622"/>
      <c r="L54" s="622"/>
      <c r="M54" s="622"/>
      <c r="N54" s="622"/>
    </row>
    <row r="55" spans="1:14" ht="15" customHeight="1">
      <c r="A55" s="495">
        <v>33</v>
      </c>
      <c r="B55" s="771" t="s">
        <v>599</v>
      </c>
      <c r="C55" s="499">
        <v>748.69</v>
      </c>
      <c r="D55" s="498">
        <v>4234.47</v>
      </c>
      <c r="E55" s="579">
        <f>SUM(C55:D55)</f>
        <v>4983.16</v>
      </c>
      <c r="F55" s="497">
        <v>230554.54</v>
      </c>
      <c r="G55" s="498">
        <v>961715.99</v>
      </c>
      <c r="H55" s="579">
        <f>SUM(F55:G55)</f>
        <v>1192270.53</v>
      </c>
      <c r="I55" s="558"/>
      <c r="J55" s="580"/>
      <c r="K55" s="581"/>
      <c r="L55" s="559"/>
      <c r="M55" s="559"/>
      <c r="N55" s="559"/>
    </row>
    <row r="56" spans="1:14" ht="15" customHeight="1">
      <c r="A56" s="502"/>
      <c r="B56" s="772" t="s">
        <v>562</v>
      </c>
      <c r="C56" s="505">
        <f>76876.89</f>
        <v>76876.89</v>
      </c>
      <c r="D56" s="504">
        <f>554444.39</f>
        <v>554444.39</v>
      </c>
      <c r="E56" s="582">
        <f>SUM(C56:D56)</f>
        <v>631321.28</v>
      </c>
      <c r="F56" s="503">
        <v>1077224.62</v>
      </c>
      <c r="G56" s="504">
        <v>2923250.76</v>
      </c>
      <c r="H56" s="582">
        <f>SUM(F56:G56)</f>
        <v>4000475.38</v>
      </c>
      <c r="I56" s="558"/>
      <c r="J56" s="580"/>
      <c r="K56" s="581"/>
      <c r="L56" s="559"/>
      <c r="M56" s="559"/>
      <c r="N56" s="559"/>
    </row>
    <row r="57" spans="1:14" ht="15" customHeight="1">
      <c r="A57" s="502">
        <v>32</v>
      </c>
      <c r="B57" s="772" t="s">
        <v>600</v>
      </c>
      <c r="C57" s="505">
        <v>157.44</v>
      </c>
      <c r="D57" s="504">
        <v>885.16</v>
      </c>
      <c r="E57" s="582">
        <f>SUM(C57:D57)</f>
        <v>1042.6</v>
      </c>
      <c r="F57" s="503">
        <v>440.25</v>
      </c>
      <c r="G57" s="504">
        <v>2443.65</v>
      </c>
      <c r="H57" s="582">
        <f>SUM(F57:G57)</f>
        <v>2883.9</v>
      </c>
      <c r="I57" s="558"/>
      <c r="J57" s="580"/>
      <c r="K57" s="581"/>
      <c r="L57" s="559"/>
      <c r="M57" s="559"/>
      <c r="N57" s="559"/>
    </row>
    <row r="58" spans="1:14" ht="15" customHeight="1">
      <c r="A58" s="502">
        <v>41</v>
      </c>
      <c r="B58" s="772" t="s">
        <v>601</v>
      </c>
      <c r="C58" s="505">
        <f>1042.97+0.01</f>
        <v>1042.98</v>
      </c>
      <c r="D58" s="504">
        <f>5895.53-0.01</f>
        <v>5895.52</v>
      </c>
      <c r="E58" s="582">
        <f>SUM(C58:D58)</f>
        <v>6938.5</v>
      </c>
      <c r="F58" s="503">
        <v>3889.05</v>
      </c>
      <c r="G58" s="504">
        <v>51958.59</v>
      </c>
      <c r="H58" s="582">
        <f>SUM(F58:G58)</f>
        <v>55847.64</v>
      </c>
      <c r="I58" s="558"/>
      <c r="J58" s="580"/>
      <c r="K58" s="581"/>
      <c r="L58" s="559"/>
      <c r="M58" s="559"/>
      <c r="N58" s="559"/>
    </row>
    <row r="59" spans="1:14" ht="15" customHeight="1">
      <c r="A59" s="465">
        <v>54</v>
      </c>
      <c r="B59" s="769" t="s">
        <v>602</v>
      </c>
      <c r="C59" s="510">
        <v>3205.28</v>
      </c>
      <c r="D59" s="509">
        <v>0</v>
      </c>
      <c r="E59" s="582">
        <f>SUM(C59:D59)</f>
        <v>3205.28</v>
      </c>
      <c r="F59" s="508">
        <v>36322.77</v>
      </c>
      <c r="G59" s="509">
        <v>111592.58</v>
      </c>
      <c r="H59" s="582">
        <f>SUM(F59:G59)</f>
        <v>147915.35</v>
      </c>
      <c r="I59" s="558"/>
      <c r="J59" s="580"/>
      <c r="K59" s="581"/>
      <c r="L59" s="559"/>
      <c r="M59" s="559"/>
      <c r="N59" s="559"/>
    </row>
    <row r="60" spans="1:14" ht="15" customHeight="1">
      <c r="A60" s="512"/>
      <c r="B60" s="1057" t="s">
        <v>595</v>
      </c>
      <c r="C60" s="1064">
        <f aca="true" t="shared" si="9" ref="C60:H60">SUM(C55:C59)</f>
        <v>82031.28</v>
      </c>
      <c r="D60" s="1059">
        <f t="shared" si="9"/>
        <v>565459.54</v>
      </c>
      <c r="E60" s="1060">
        <f t="shared" si="9"/>
        <v>647490.82</v>
      </c>
      <c r="F60" s="1070">
        <f t="shared" si="9"/>
        <v>1348431.23</v>
      </c>
      <c r="G60" s="1059">
        <f t="shared" si="9"/>
        <v>4050961.57</v>
      </c>
      <c r="H60" s="1071">
        <f t="shared" si="9"/>
        <v>5399392.8</v>
      </c>
      <c r="I60" s="568"/>
      <c r="J60" s="583"/>
      <c r="K60" s="581"/>
      <c r="L60" s="569"/>
      <c r="M60" s="569"/>
      <c r="N60" s="569"/>
    </row>
    <row r="61" spans="1:14" ht="15" customHeight="1">
      <c r="A61" s="513"/>
      <c r="B61" s="773" t="s">
        <v>634</v>
      </c>
      <c r="C61" s="517">
        <f>949.59-0.6</f>
        <v>948.99</v>
      </c>
      <c r="D61" s="518">
        <v>228397.84</v>
      </c>
      <c r="E61" s="582">
        <f aca="true" t="shared" si="10" ref="E61:E68">SUM(C61:D61)</f>
        <v>229346.83</v>
      </c>
      <c r="F61" s="584">
        <f>17794.13-0.6</f>
        <v>17793.53</v>
      </c>
      <c r="G61" s="518">
        <f>280592.35+0.01</f>
        <v>280592.36</v>
      </c>
      <c r="H61" s="582">
        <f aca="true" t="shared" si="11" ref="H61:H68">SUM(F61:G61)</f>
        <v>298385.89</v>
      </c>
      <c r="I61" s="568"/>
      <c r="J61" s="583"/>
      <c r="K61" s="581"/>
      <c r="L61" s="569"/>
      <c r="M61" s="569"/>
      <c r="N61" s="569"/>
    </row>
    <row r="62" spans="1:14" ht="15" customHeight="1">
      <c r="A62" s="522"/>
      <c r="B62" s="772" t="s">
        <v>604</v>
      </c>
      <c r="C62" s="525">
        <v>2401.06</v>
      </c>
      <c r="D62" s="526">
        <v>1200.01</v>
      </c>
      <c r="E62" s="582">
        <f t="shared" si="10"/>
        <v>3601.07</v>
      </c>
      <c r="F62" s="585">
        <v>7688.3</v>
      </c>
      <c r="G62" s="526">
        <v>10002.11</v>
      </c>
      <c r="H62" s="582">
        <f t="shared" si="11"/>
        <v>17690.41</v>
      </c>
      <c r="I62" s="568"/>
      <c r="J62" s="583"/>
      <c r="K62" s="581"/>
      <c r="L62" s="569"/>
      <c r="M62" s="569"/>
      <c r="N62" s="569"/>
    </row>
    <row r="63" spans="1:14" ht="15" customHeight="1" hidden="1">
      <c r="A63" s="522"/>
      <c r="B63" s="772"/>
      <c r="C63" s="525"/>
      <c r="D63" s="526"/>
      <c r="E63" s="582">
        <f t="shared" si="10"/>
        <v>0</v>
      </c>
      <c r="F63" s="585"/>
      <c r="G63" s="526"/>
      <c r="H63" s="582">
        <f t="shared" si="11"/>
        <v>0</v>
      </c>
      <c r="I63" s="568"/>
      <c r="J63" s="583"/>
      <c r="K63" s="581"/>
      <c r="L63" s="569"/>
      <c r="M63" s="569"/>
      <c r="N63" s="569"/>
    </row>
    <row r="64" spans="1:14" ht="15" customHeight="1" hidden="1">
      <c r="A64" s="522"/>
      <c r="B64" s="772"/>
      <c r="C64" s="525"/>
      <c r="D64" s="526"/>
      <c r="E64" s="582">
        <f t="shared" si="10"/>
        <v>0</v>
      </c>
      <c r="F64" s="585"/>
      <c r="G64" s="526"/>
      <c r="H64" s="582">
        <f t="shared" si="11"/>
        <v>0</v>
      </c>
      <c r="I64" s="568"/>
      <c r="J64" s="583"/>
      <c r="K64" s="581"/>
      <c r="L64" s="569"/>
      <c r="M64" s="569"/>
      <c r="N64" s="569"/>
    </row>
    <row r="65" spans="1:14" ht="15" customHeight="1" hidden="1">
      <c r="A65" s="522"/>
      <c r="B65" s="772"/>
      <c r="C65" s="525"/>
      <c r="D65" s="526"/>
      <c r="E65" s="582">
        <f t="shared" si="10"/>
        <v>0</v>
      </c>
      <c r="F65" s="585"/>
      <c r="G65" s="526"/>
      <c r="H65" s="582">
        <f t="shared" si="11"/>
        <v>0</v>
      </c>
      <c r="I65" s="568"/>
      <c r="J65" s="583"/>
      <c r="K65" s="581"/>
      <c r="L65" s="569"/>
      <c r="M65" s="569"/>
      <c r="N65" s="569"/>
    </row>
    <row r="66" spans="1:14" ht="15" customHeight="1" hidden="1">
      <c r="A66" s="522"/>
      <c r="B66" s="772"/>
      <c r="C66" s="525"/>
      <c r="D66" s="526"/>
      <c r="E66" s="582">
        <f t="shared" si="10"/>
        <v>0</v>
      </c>
      <c r="F66" s="585"/>
      <c r="G66" s="526"/>
      <c r="H66" s="582">
        <f t="shared" si="11"/>
        <v>0</v>
      </c>
      <c r="I66" s="568"/>
      <c r="J66" s="583"/>
      <c r="K66" s="581"/>
      <c r="L66" s="569"/>
      <c r="M66" s="569"/>
      <c r="N66" s="569"/>
    </row>
    <row r="67" spans="1:14" ht="15" customHeight="1" hidden="1">
      <c r="A67" s="522"/>
      <c r="B67" s="772"/>
      <c r="C67" s="525"/>
      <c r="D67" s="526"/>
      <c r="E67" s="582">
        <f t="shared" si="10"/>
        <v>0</v>
      </c>
      <c r="F67" s="585"/>
      <c r="G67" s="526"/>
      <c r="H67" s="582">
        <f t="shared" si="11"/>
        <v>0</v>
      </c>
      <c r="I67" s="568"/>
      <c r="J67" s="583"/>
      <c r="K67" s="581"/>
      <c r="L67" s="569"/>
      <c r="M67" s="569"/>
      <c r="N67" s="569"/>
    </row>
    <row r="68" spans="1:14" ht="15" customHeight="1" hidden="1">
      <c r="A68" s="522"/>
      <c r="B68" s="772"/>
      <c r="C68" s="525"/>
      <c r="D68" s="526"/>
      <c r="E68" s="582">
        <f t="shared" si="10"/>
        <v>0</v>
      </c>
      <c r="F68" s="585"/>
      <c r="G68" s="526"/>
      <c r="H68" s="582">
        <f t="shared" si="11"/>
        <v>0</v>
      </c>
      <c r="I68" s="568"/>
      <c r="J68" s="583"/>
      <c r="K68" s="581"/>
      <c r="L68" s="569"/>
      <c r="M68" s="569"/>
      <c r="N68" s="569"/>
    </row>
    <row r="69" spans="1:14" ht="15" customHeight="1">
      <c r="A69" s="530"/>
      <c r="B69" s="1063" t="s">
        <v>605</v>
      </c>
      <c r="C69" s="1064">
        <f aca="true" t="shared" si="12" ref="C69:H69">SUM(C61:C68)</f>
        <v>3350.05</v>
      </c>
      <c r="D69" s="1059">
        <f t="shared" si="12"/>
        <v>229597.85</v>
      </c>
      <c r="E69" s="1060">
        <f t="shared" si="12"/>
        <v>232947.9</v>
      </c>
      <c r="F69" s="1070">
        <f t="shared" si="12"/>
        <v>25481.83</v>
      </c>
      <c r="G69" s="1059">
        <f t="shared" si="12"/>
        <v>290594.47</v>
      </c>
      <c r="H69" s="1071">
        <f t="shared" si="12"/>
        <v>316076.3</v>
      </c>
      <c r="I69" s="568"/>
      <c r="J69" s="583"/>
      <c r="K69" s="581"/>
      <c r="L69" s="569"/>
      <c r="M69" s="569"/>
      <c r="N69" s="569"/>
    </row>
    <row r="70" spans="1:14" ht="15" customHeight="1">
      <c r="A70" s="522"/>
      <c r="B70" s="770" t="s">
        <v>606</v>
      </c>
      <c r="C70" s="523"/>
      <c r="D70" s="524"/>
      <c r="E70" s="582">
        <f>SUM(C70:D70)</f>
        <v>0</v>
      </c>
      <c r="F70" s="585">
        <v>569.93</v>
      </c>
      <c r="G70" s="526">
        <v>1996.06</v>
      </c>
      <c r="H70" s="582">
        <f>SUM(F70:G70)</f>
        <v>2565.99</v>
      </c>
      <c r="I70" s="568"/>
      <c r="J70" s="583"/>
      <c r="K70" s="581"/>
      <c r="L70" s="569"/>
      <c r="M70" s="569"/>
      <c r="N70" s="569"/>
    </row>
    <row r="71" spans="1:14" s="780" customFormat="1" ht="15.75" customHeight="1" thickBot="1">
      <c r="A71" s="779"/>
      <c r="B71" s="1065" t="s">
        <v>597</v>
      </c>
      <c r="C71" s="1066">
        <f aca="true" t="shared" si="13" ref="C71:H71">C70+C69+C60</f>
        <v>85381.33</v>
      </c>
      <c r="D71" s="1067">
        <f t="shared" si="13"/>
        <v>795057.39</v>
      </c>
      <c r="E71" s="1072">
        <f t="shared" si="13"/>
        <v>880438.72</v>
      </c>
      <c r="F71" s="1073">
        <f t="shared" si="13"/>
        <v>1374482.99</v>
      </c>
      <c r="G71" s="1067">
        <f t="shared" si="13"/>
        <v>4343552.1</v>
      </c>
      <c r="H71" s="1074">
        <f t="shared" si="13"/>
        <v>5718035.09</v>
      </c>
      <c r="I71" s="781"/>
      <c r="J71" s="782"/>
      <c r="K71" s="782"/>
      <c r="L71" s="783"/>
      <c r="M71" s="783"/>
      <c r="N71" s="783"/>
    </row>
    <row r="72" spans="1:14" ht="15" customHeight="1" thickBot="1">
      <c r="A72" s="1446" t="s">
        <v>635</v>
      </c>
      <c r="B72" s="1447"/>
      <c r="C72" s="1447"/>
      <c r="D72" s="1447"/>
      <c r="E72" s="1447"/>
      <c r="F72" s="1447"/>
      <c r="G72" s="1447"/>
      <c r="H72" s="1448"/>
      <c r="I72" s="558"/>
      <c r="J72" s="580"/>
      <c r="K72" s="580"/>
      <c r="L72" s="559"/>
      <c r="M72" s="559"/>
      <c r="N72" s="559"/>
    </row>
    <row r="73" spans="1:14" ht="15" customHeight="1">
      <c r="A73" s="495"/>
      <c r="B73" s="496" t="s">
        <v>594</v>
      </c>
      <c r="C73" s="460"/>
      <c r="D73" s="461"/>
      <c r="E73" s="461"/>
      <c r="F73" s="461"/>
      <c r="G73" s="461"/>
      <c r="H73" s="562"/>
      <c r="I73" s="558"/>
      <c r="J73" s="580"/>
      <c r="K73" s="580"/>
      <c r="L73" s="559"/>
      <c r="M73" s="559"/>
      <c r="N73" s="559"/>
    </row>
    <row r="74" spans="1:14" ht="15" customHeight="1">
      <c r="A74" s="465"/>
      <c r="B74" s="466" t="s">
        <v>594</v>
      </c>
      <c r="C74" s="467"/>
      <c r="D74" s="468"/>
      <c r="E74" s="468"/>
      <c r="F74" s="468"/>
      <c r="G74" s="468"/>
      <c r="H74" s="564"/>
      <c r="I74" s="558"/>
      <c r="J74" s="558"/>
      <c r="K74" s="558"/>
      <c r="L74" s="559"/>
      <c r="M74" s="559"/>
      <c r="N74" s="559"/>
    </row>
    <row r="75" spans="1:14" ht="15" customHeight="1">
      <c r="A75" s="512"/>
      <c r="B75" s="533" t="s">
        <v>595</v>
      </c>
      <c r="C75" s="534"/>
      <c r="D75" s="476"/>
      <c r="E75" s="476"/>
      <c r="F75" s="476"/>
      <c r="G75" s="476"/>
      <c r="H75" s="566"/>
      <c r="I75" s="558"/>
      <c r="J75" s="558"/>
      <c r="K75" s="580"/>
      <c r="L75" s="559"/>
      <c r="M75" s="559"/>
      <c r="N75" s="559"/>
    </row>
    <row r="76" spans="1:14" ht="15" customHeight="1">
      <c r="A76" s="513"/>
      <c r="B76" s="514" t="s">
        <v>608</v>
      </c>
      <c r="C76" s="515"/>
      <c r="D76" s="516"/>
      <c r="E76" s="516"/>
      <c r="F76" s="516"/>
      <c r="G76" s="516"/>
      <c r="H76" s="586"/>
      <c r="I76" s="558"/>
      <c r="J76" s="558"/>
      <c r="K76" s="558"/>
      <c r="L76" s="559"/>
      <c r="M76" s="559"/>
      <c r="N76" s="559"/>
    </row>
    <row r="77" spans="1:14" ht="15" customHeight="1">
      <c r="A77" s="530"/>
      <c r="B77" s="538" t="s">
        <v>605</v>
      </c>
      <c r="C77" s="539"/>
      <c r="D77" s="540"/>
      <c r="E77" s="540"/>
      <c r="F77" s="540"/>
      <c r="G77" s="540"/>
      <c r="H77" s="587"/>
      <c r="I77" s="558"/>
      <c r="J77" s="558"/>
      <c r="K77" s="558"/>
      <c r="L77" s="559"/>
      <c r="M77" s="559"/>
      <c r="N77" s="559"/>
    </row>
    <row r="78" spans="1:14" ht="15" customHeight="1">
      <c r="A78" s="522"/>
      <c r="B78" s="482" t="s">
        <v>596</v>
      </c>
      <c r="C78" s="523"/>
      <c r="D78" s="524"/>
      <c r="E78" s="524"/>
      <c r="F78" s="524"/>
      <c r="G78" s="524"/>
      <c r="H78" s="588"/>
      <c r="I78" s="558"/>
      <c r="J78" s="558"/>
      <c r="K78" s="558"/>
      <c r="L78" s="559"/>
      <c r="M78" s="559"/>
      <c r="N78" s="559"/>
    </row>
    <row r="79" spans="1:14" ht="15" customHeight="1" thickBot="1">
      <c r="A79" s="547"/>
      <c r="B79" s="489" t="s">
        <v>597</v>
      </c>
      <c r="C79" s="548"/>
      <c r="D79" s="549"/>
      <c r="E79" s="549"/>
      <c r="F79" s="549"/>
      <c r="G79" s="549"/>
      <c r="H79" s="589"/>
      <c r="I79" s="1075"/>
      <c r="J79" s="1075"/>
      <c r="K79" s="1075"/>
      <c r="L79" s="1075"/>
      <c r="M79" s="1075"/>
      <c r="N79" s="1075"/>
    </row>
    <row r="80" spans="1:14" ht="25.5" customHeight="1" thickBot="1">
      <c r="A80" s="1449" t="s">
        <v>609</v>
      </c>
      <c r="B80" s="1450"/>
      <c r="C80" s="553"/>
      <c r="D80" s="554"/>
      <c r="E80" s="554"/>
      <c r="F80" s="554"/>
      <c r="G80" s="554"/>
      <c r="H80" s="555"/>
      <c r="I80" s="590"/>
      <c r="J80" s="590"/>
      <c r="K80" s="590"/>
      <c r="L80" s="590"/>
      <c r="M80" s="590"/>
      <c r="N80" s="590"/>
    </row>
    <row r="81" ht="15" customHeight="1"/>
    <row r="82" spans="2:10" s="1047" customFormat="1" ht="23.25" customHeight="1">
      <c r="B82" s="1047" t="s">
        <v>350</v>
      </c>
      <c r="D82" s="1047" t="s">
        <v>348</v>
      </c>
      <c r="I82" s="1079"/>
      <c r="J82" s="1047" t="s">
        <v>530</v>
      </c>
    </row>
    <row r="83" ht="19.5" customHeight="1"/>
    <row r="84" spans="2:14" ht="6" customHeight="1">
      <c r="B84" s="1046"/>
      <c r="C84" s="445"/>
      <c r="D84" s="445"/>
      <c r="E84" s="445"/>
      <c r="F84" s="445"/>
      <c r="G84" s="445"/>
      <c r="H84" s="445"/>
      <c r="I84" s="445"/>
      <c r="J84" s="445"/>
      <c r="M84" s="445"/>
      <c r="N84" s="445"/>
    </row>
    <row r="85" spans="2:13" ht="18" customHeight="1">
      <c r="B85" s="1442" t="s">
        <v>636</v>
      </c>
      <c r="C85" s="1442"/>
      <c r="D85" s="1442"/>
      <c r="E85" s="1442"/>
      <c r="F85" s="1442"/>
      <c r="G85" s="1442"/>
      <c r="H85" s="1442"/>
      <c r="I85" s="1442"/>
      <c r="J85" s="1442"/>
      <c r="K85" s="1442"/>
      <c r="L85" s="1442"/>
      <c r="M85" s="1442"/>
    </row>
    <row r="86" spans="2:14" ht="14.25" customHeight="1" thickBot="1">
      <c r="B86" s="447"/>
      <c r="C86" s="447"/>
      <c r="D86" s="447"/>
      <c r="E86" s="447"/>
      <c r="F86" s="447"/>
      <c r="G86" s="447"/>
      <c r="H86" s="447"/>
      <c r="I86" s="447"/>
      <c r="J86" s="447"/>
      <c r="K86" s="447"/>
      <c r="L86" s="447"/>
      <c r="M86" s="447"/>
      <c r="N86" s="445" t="s">
        <v>582</v>
      </c>
    </row>
    <row r="87" spans="1:14" s="745" customFormat="1" ht="15" customHeight="1">
      <c r="A87" s="1453" t="s">
        <v>637</v>
      </c>
      <c r="B87" s="1468"/>
      <c r="C87" s="1453" t="s">
        <v>584</v>
      </c>
      <c r="D87" s="1454"/>
      <c r="E87" s="1454"/>
      <c r="F87" s="1454"/>
      <c r="G87" s="1454"/>
      <c r="H87" s="1454"/>
      <c r="I87" s="1453" t="s">
        <v>585</v>
      </c>
      <c r="J87" s="1454"/>
      <c r="K87" s="1454"/>
      <c r="L87" s="1458" t="s">
        <v>586</v>
      </c>
      <c r="M87" s="1454"/>
      <c r="N87" s="1459"/>
    </row>
    <row r="88" spans="1:14" s="745" customFormat="1" ht="15" customHeight="1">
      <c r="A88" s="1469"/>
      <c r="B88" s="1470"/>
      <c r="C88" s="1473" t="s">
        <v>843</v>
      </c>
      <c r="D88" s="1474"/>
      <c r="E88" s="1475"/>
      <c r="F88" s="1476" t="s">
        <v>1</v>
      </c>
      <c r="G88" s="1474"/>
      <c r="H88" s="1474"/>
      <c r="I88" s="1456"/>
      <c r="J88" s="1451"/>
      <c r="K88" s="1451"/>
      <c r="L88" s="1460"/>
      <c r="M88" s="1451"/>
      <c r="N88" s="1452"/>
    </row>
    <row r="89" spans="1:14" s="745" customFormat="1" ht="58.5" customHeight="1">
      <c r="A89" s="1471"/>
      <c r="B89" s="1472"/>
      <c r="C89" s="747" t="s">
        <v>587</v>
      </c>
      <c r="D89" s="748" t="s">
        <v>666</v>
      </c>
      <c r="E89" s="749" t="s">
        <v>588</v>
      </c>
      <c r="F89" s="761" t="s">
        <v>587</v>
      </c>
      <c r="G89" s="748" t="s">
        <v>666</v>
      </c>
      <c r="H89" s="749" t="s">
        <v>588</v>
      </c>
      <c r="I89" s="747" t="s">
        <v>587</v>
      </c>
      <c r="J89" s="748" t="s">
        <v>666</v>
      </c>
      <c r="K89" s="762" t="s">
        <v>588</v>
      </c>
      <c r="L89" s="761" t="s">
        <v>587</v>
      </c>
      <c r="M89" s="748" t="s">
        <v>666</v>
      </c>
      <c r="N89" s="751" t="s">
        <v>588</v>
      </c>
    </row>
    <row r="90" spans="1:14" s="745" customFormat="1" ht="15" customHeight="1" thickBot="1">
      <c r="A90" s="763" t="s">
        <v>633</v>
      </c>
      <c r="B90" s="764" t="s">
        <v>589</v>
      </c>
      <c r="C90" s="765">
        <v>1</v>
      </c>
      <c r="D90" s="766">
        <v>2</v>
      </c>
      <c r="E90" s="767">
        <v>3</v>
      </c>
      <c r="F90" s="766">
        <v>4</v>
      </c>
      <c r="G90" s="766">
        <v>5</v>
      </c>
      <c r="H90" s="767">
        <v>6</v>
      </c>
      <c r="I90" s="765">
        <v>10</v>
      </c>
      <c r="J90" s="766">
        <v>11</v>
      </c>
      <c r="K90" s="767">
        <v>12</v>
      </c>
      <c r="L90" s="757" t="s">
        <v>590</v>
      </c>
      <c r="M90" s="767" t="s">
        <v>591</v>
      </c>
      <c r="N90" s="768" t="s">
        <v>592</v>
      </c>
    </row>
    <row r="91" spans="1:14" ht="15" customHeight="1">
      <c r="A91" s="593">
        <v>60</v>
      </c>
      <c r="B91" s="774" t="s">
        <v>638</v>
      </c>
      <c r="C91" s="594">
        <v>0</v>
      </c>
      <c r="D91" s="595">
        <v>0</v>
      </c>
      <c r="E91" s="596">
        <f>SUM(C91:D91)</f>
        <v>0</v>
      </c>
      <c r="F91" s="597">
        <v>0</v>
      </c>
      <c r="G91" s="595">
        <v>0</v>
      </c>
      <c r="H91" s="596">
        <f>SUM(F91:G91)</f>
        <v>0</v>
      </c>
      <c r="I91" s="594">
        <v>0</v>
      </c>
      <c r="J91" s="595">
        <v>0</v>
      </c>
      <c r="K91" s="596">
        <f>SUM(I91:J91)</f>
        <v>0</v>
      </c>
      <c r="L91" s="598"/>
      <c r="M91" s="598"/>
      <c r="N91" s="599"/>
    </row>
    <row r="92" spans="1:14" ht="15" customHeight="1">
      <c r="A92" s="600">
        <v>60</v>
      </c>
      <c r="B92" s="775" t="s">
        <v>568</v>
      </c>
      <c r="C92" s="602">
        <v>0</v>
      </c>
      <c r="D92" s="603">
        <v>0</v>
      </c>
      <c r="E92" s="604">
        <f>SUM(C92:D92)</f>
        <v>0</v>
      </c>
      <c r="F92" s="605">
        <v>0</v>
      </c>
      <c r="G92" s="603">
        <v>0</v>
      </c>
      <c r="H92" s="604">
        <f>SUM(F92:G92)</f>
        <v>0</v>
      </c>
      <c r="I92" s="606">
        <v>13.04</v>
      </c>
      <c r="J92" s="604">
        <v>72.25</v>
      </c>
      <c r="K92" s="604">
        <f>SUM(I92:J92)</f>
        <v>85.29</v>
      </c>
      <c r="L92" s="506"/>
      <c r="M92" s="506"/>
      <c r="N92" s="607"/>
    </row>
    <row r="93" spans="1:14" ht="15" customHeight="1">
      <c r="A93" s="608"/>
      <c r="B93" s="609"/>
      <c r="C93" s="610"/>
      <c r="D93" s="611"/>
      <c r="E93" s="604">
        <f>SUM(C93:D93)</f>
        <v>0</v>
      </c>
      <c r="F93" s="612"/>
      <c r="G93" s="611"/>
      <c r="H93" s="604">
        <f>SUM(F93:G93)</f>
        <v>0</v>
      </c>
      <c r="I93" s="610"/>
      <c r="J93" s="611"/>
      <c r="K93" s="604">
        <f>SUM(I93:J93)</f>
        <v>0</v>
      </c>
      <c r="L93" s="613"/>
      <c r="M93" s="613"/>
      <c r="N93" s="507"/>
    </row>
    <row r="94" spans="1:14" ht="15" customHeight="1">
      <c r="A94" s="530"/>
      <c r="B94" s="614"/>
      <c r="C94" s="539"/>
      <c r="D94" s="540"/>
      <c r="E94" s="604">
        <f>SUM(C94:D94)</f>
        <v>0</v>
      </c>
      <c r="F94" s="615"/>
      <c r="G94" s="540"/>
      <c r="H94" s="604">
        <f>SUM(F94:G94)</f>
        <v>0</v>
      </c>
      <c r="I94" s="539"/>
      <c r="J94" s="540"/>
      <c r="K94" s="604">
        <f>SUM(I94:J94)</f>
        <v>0</v>
      </c>
      <c r="L94" s="506"/>
      <c r="M94" s="506"/>
      <c r="N94" s="532"/>
    </row>
    <row r="95" spans="1:14" s="780" customFormat="1" ht="18.75" customHeight="1" thickBot="1">
      <c r="A95" s="779"/>
      <c r="B95" s="1076" t="s">
        <v>597</v>
      </c>
      <c r="C95" s="1066">
        <f aca="true" t="shared" si="14" ref="C95:K95">SUM(C91:C94)</f>
        <v>0</v>
      </c>
      <c r="D95" s="1067">
        <f t="shared" si="14"/>
        <v>0</v>
      </c>
      <c r="E95" s="1067">
        <f t="shared" si="14"/>
        <v>0</v>
      </c>
      <c r="F95" s="1073">
        <f t="shared" si="14"/>
        <v>0</v>
      </c>
      <c r="G95" s="1067">
        <f t="shared" si="14"/>
        <v>0</v>
      </c>
      <c r="H95" s="1067">
        <f t="shared" si="14"/>
        <v>0</v>
      </c>
      <c r="I95" s="1066">
        <f t="shared" si="14"/>
        <v>13.04</v>
      </c>
      <c r="J95" s="1067">
        <f t="shared" si="14"/>
        <v>72.25</v>
      </c>
      <c r="K95" s="1067">
        <f t="shared" si="14"/>
        <v>85.29</v>
      </c>
      <c r="L95" s="1077"/>
      <c r="M95" s="1077"/>
      <c r="N95" s="1078"/>
    </row>
    <row r="96" spans="2:14" ht="15" customHeight="1">
      <c r="B96" s="556"/>
      <c r="C96" s="616"/>
      <c r="D96" s="616"/>
      <c r="E96" s="616"/>
      <c r="F96" s="616"/>
      <c r="G96" s="616"/>
      <c r="H96" s="616"/>
      <c r="I96" s="616"/>
      <c r="J96" s="616"/>
      <c r="K96" s="556"/>
      <c r="L96" s="617"/>
      <c r="M96" s="617"/>
      <c r="N96" s="617"/>
    </row>
    <row r="97" spans="2:13" ht="15" customHeight="1" thickBot="1">
      <c r="B97" s="447"/>
      <c r="C97" s="447"/>
      <c r="D97" s="447"/>
      <c r="E97" s="447"/>
      <c r="F97" s="447"/>
      <c r="G97" s="447"/>
      <c r="H97" s="618" t="s">
        <v>498</v>
      </c>
      <c r="I97" s="447"/>
      <c r="J97" s="447"/>
      <c r="K97" s="447"/>
      <c r="L97" s="447"/>
      <c r="M97" s="447"/>
    </row>
    <row r="98" spans="1:14" ht="15" customHeight="1" thickBot="1">
      <c r="A98" s="1477" t="s">
        <v>637</v>
      </c>
      <c r="B98" s="1478"/>
      <c r="C98" s="1477" t="s">
        <v>630</v>
      </c>
      <c r="D98" s="1483"/>
      <c r="E98" s="1483"/>
      <c r="F98" s="1484"/>
      <c r="G98" s="1484"/>
      <c r="H98" s="1485"/>
      <c r="I98" s="1486"/>
      <c r="J98" s="1486"/>
      <c r="K98" s="1486"/>
      <c r="L98" s="1486"/>
      <c r="M98" s="1486"/>
      <c r="N98" s="1486"/>
    </row>
    <row r="99" spans="1:14" ht="15" customHeight="1">
      <c r="A99" s="1479"/>
      <c r="B99" s="1480"/>
      <c r="C99" s="1487" t="s">
        <v>631</v>
      </c>
      <c r="D99" s="1484"/>
      <c r="E99" s="1485"/>
      <c r="F99" s="1488" t="s">
        <v>632</v>
      </c>
      <c r="G99" s="1488"/>
      <c r="H99" s="1489"/>
      <c r="I99" s="1486"/>
      <c r="J99" s="1486"/>
      <c r="K99" s="1486"/>
      <c r="L99" s="1486"/>
      <c r="M99" s="1486"/>
      <c r="N99" s="1486"/>
    </row>
    <row r="100" spans="1:14" ht="60.75" customHeight="1">
      <c r="A100" s="1481"/>
      <c r="B100" s="1482"/>
      <c r="C100" s="449" t="s">
        <v>587</v>
      </c>
      <c r="D100" s="450" t="s">
        <v>667</v>
      </c>
      <c r="E100" s="452" t="s">
        <v>588</v>
      </c>
      <c r="F100" s="448" t="s">
        <v>587</v>
      </c>
      <c r="G100" s="450" t="s">
        <v>667</v>
      </c>
      <c r="H100" s="452" t="s">
        <v>588</v>
      </c>
      <c r="I100" s="619"/>
      <c r="J100" s="619"/>
      <c r="K100" s="619"/>
      <c r="L100" s="619"/>
      <c r="M100" s="619"/>
      <c r="N100" s="619"/>
    </row>
    <row r="101" spans="1:14" ht="15" customHeight="1" thickBot="1">
      <c r="A101" s="591" t="s">
        <v>633</v>
      </c>
      <c r="B101" s="452" t="s">
        <v>589</v>
      </c>
      <c r="C101" s="560">
        <v>16</v>
      </c>
      <c r="D101" s="592">
        <v>17</v>
      </c>
      <c r="E101" s="620">
        <v>18</v>
      </c>
      <c r="F101" s="621">
        <v>19</v>
      </c>
      <c r="G101" s="592">
        <v>20</v>
      </c>
      <c r="H101" s="620">
        <v>21</v>
      </c>
      <c r="I101" s="622"/>
      <c r="J101" s="622"/>
      <c r="K101" s="622"/>
      <c r="L101" s="622"/>
      <c r="M101" s="622"/>
      <c r="N101" s="622"/>
    </row>
    <row r="102" spans="1:14" ht="15" customHeight="1" thickBot="1">
      <c r="A102" s="593">
        <v>60</v>
      </c>
      <c r="B102" s="774" t="s">
        <v>638</v>
      </c>
      <c r="C102" s="596">
        <v>415.67</v>
      </c>
      <c r="D102" s="595">
        <v>0</v>
      </c>
      <c r="E102" s="596">
        <f>SUM(C102:D102)</f>
        <v>415.67</v>
      </c>
      <c r="F102" s="594">
        <v>415.67</v>
      </c>
      <c r="G102" s="595">
        <v>425</v>
      </c>
      <c r="H102" s="623">
        <f>SUM(F102:G102)</f>
        <v>840.67</v>
      </c>
      <c r="I102" s="558"/>
      <c r="J102" s="558"/>
      <c r="K102" s="558"/>
      <c r="L102" s="559"/>
      <c r="M102" s="559"/>
      <c r="N102" s="559"/>
    </row>
    <row r="103" spans="1:14" ht="15" customHeight="1">
      <c r="A103" s="600">
        <v>60</v>
      </c>
      <c r="B103" s="775" t="s">
        <v>568</v>
      </c>
      <c r="C103" s="596">
        <v>0</v>
      </c>
      <c r="D103" s="603">
        <v>0</v>
      </c>
      <c r="E103" s="604">
        <f>SUM(C103:D103)</f>
        <v>0</v>
      </c>
      <c r="F103" s="602">
        <v>13448</v>
      </c>
      <c r="G103" s="603">
        <v>77092</v>
      </c>
      <c r="H103" s="624">
        <f>SUM(F103:G103)</f>
        <v>90540</v>
      </c>
      <c r="I103" s="558"/>
      <c r="J103" s="558"/>
      <c r="K103" s="558"/>
      <c r="L103" s="559"/>
      <c r="M103" s="559"/>
      <c r="N103" s="559"/>
    </row>
    <row r="104" spans="1:14" ht="15" customHeight="1">
      <c r="A104" s="600"/>
      <c r="B104" s="601"/>
      <c r="C104" s="610"/>
      <c r="D104" s="611"/>
      <c r="E104" s="604">
        <f>SUM(C104:D104)</f>
        <v>0</v>
      </c>
      <c r="F104" s="610"/>
      <c r="G104" s="611"/>
      <c r="H104" s="624">
        <f>SUM(F104:G104)</f>
        <v>0</v>
      </c>
      <c r="I104" s="558"/>
      <c r="J104" s="558"/>
      <c r="K104" s="558"/>
      <c r="L104" s="559"/>
      <c r="M104" s="559"/>
      <c r="N104" s="559"/>
    </row>
    <row r="105" spans="1:14" ht="15" customHeight="1">
      <c r="A105" s="530"/>
      <c r="B105" s="538"/>
      <c r="C105" s="539"/>
      <c r="D105" s="540"/>
      <c r="E105" s="604">
        <f>SUM(C105:D105)</f>
        <v>0</v>
      </c>
      <c r="F105" s="539"/>
      <c r="G105" s="540"/>
      <c r="H105" s="624">
        <f>SUM(F105:G105)</f>
        <v>0</v>
      </c>
      <c r="I105" s="568"/>
      <c r="J105" s="568"/>
      <c r="K105" s="568"/>
      <c r="L105" s="569"/>
      <c r="M105" s="569"/>
      <c r="N105" s="569"/>
    </row>
    <row r="106" spans="1:14" s="745" customFormat="1" ht="18" customHeight="1" thickBot="1">
      <c r="A106" s="776"/>
      <c r="B106" s="1076" t="s">
        <v>597</v>
      </c>
      <c r="C106" s="1066">
        <f aca="true" t="shared" si="15" ref="C106:H106">SUM(C102:C105)</f>
        <v>415.67</v>
      </c>
      <c r="D106" s="1067">
        <f t="shared" si="15"/>
        <v>0</v>
      </c>
      <c r="E106" s="1067">
        <f t="shared" si="15"/>
        <v>415.67</v>
      </c>
      <c r="F106" s="1066">
        <f t="shared" si="15"/>
        <v>13863.67</v>
      </c>
      <c r="G106" s="1067">
        <f t="shared" si="15"/>
        <v>77517</v>
      </c>
      <c r="H106" s="1072">
        <f t="shared" si="15"/>
        <v>91380.67</v>
      </c>
      <c r="I106" s="777"/>
      <c r="J106" s="777"/>
      <c r="K106" s="777"/>
      <c r="L106" s="778"/>
      <c r="M106" s="778"/>
      <c r="N106" s="778"/>
    </row>
    <row r="107" ht="25.5" customHeight="1"/>
    <row r="108" spans="2:10" s="1047" customFormat="1" ht="24" customHeight="1">
      <c r="B108" s="1047" t="s">
        <v>349</v>
      </c>
      <c r="E108" s="1047" t="s">
        <v>348</v>
      </c>
      <c r="J108" s="1047" t="s">
        <v>530</v>
      </c>
    </row>
  </sheetData>
  <sheetProtection/>
  <mergeCells count="35">
    <mergeCell ref="A1:L1"/>
    <mergeCell ref="A6:B8"/>
    <mergeCell ref="C7:E7"/>
    <mergeCell ref="F7:H7"/>
    <mergeCell ref="A98:B100"/>
    <mergeCell ref="C98:H98"/>
    <mergeCell ref="I98:K99"/>
    <mergeCell ref="L98:N99"/>
    <mergeCell ref="C99:E99"/>
    <mergeCell ref="F99:H99"/>
    <mergeCell ref="B85:M85"/>
    <mergeCell ref="A87:B89"/>
    <mergeCell ref="C87:H87"/>
    <mergeCell ref="I87:K88"/>
    <mergeCell ref="L87:N88"/>
    <mergeCell ref="C88:E88"/>
    <mergeCell ref="F88:H88"/>
    <mergeCell ref="A80:B80"/>
    <mergeCell ref="A4:N4"/>
    <mergeCell ref="A48:H48"/>
    <mergeCell ref="A54:H54"/>
    <mergeCell ref="A10:N10"/>
    <mergeCell ref="A16:N16"/>
    <mergeCell ref="A34:N34"/>
    <mergeCell ref="A44:B46"/>
    <mergeCell ref="C44:H44"/>
    <mergeCell ref="C45:E45"/>
    <mergeCell ref="M2:N2"/>
    <mergeCell ref="B3:M3"/>
    <mergeCell ref="C6:H6"/>
    <mergeCell ref="A72:H72"/>
    <mergeCell ref="A42:B42"/>
    <mergeCell ref="F45:H45"/>
    <mergeCell ref="I6:K7"/>
    <mergeCell ref="L6:N7"/>
  </mergeCells>
  <printOptions horizontalCentered="1"/>
  <pageMargins left="0.7874015748031497" right="0.7874015748031497" top="0.9055118110236221" bottom="0.5118110236220472" header="0.7086614173228347" footer="0.31496062992125984"/>
  <pageSetup blackAndWhite="1" fitToHeight="3" fitToWidth="3" horizontalDpi="600" verticalDpi="600" orientation="landscape" paperSize="9" scale="44" r:id="rId1"/>
  <headerFooter alignWithMargins="0">
    <oddHeader>&amp;L&amp;"Arial CE,Tučné"&amp;14Kapitola: 314 - Ministerstvo vnitra&amp;R&amp;"Arial CE,Tučné"&amp;16Tabulka č. 8&amp;"Arial CE,Obyčejné"&amp;10
&amp;14List č.&amp;P</oddHeader>
    <oddFooter>&amp;C&amp;18&amp;P+52&amp;16
</oddFooter>
  </headerFooter>
  <rowBreaks count="1" manualBreakCount="1">
    <brk id="83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FN49"/>
  <sheetViews>
    <sheetView view="pageBreakPreview" zoomScale="75" zoomScaleNormal="75" zoomScaleSheetLayoutView="75" workbookViewId="0" topLeftCell="A1">
      <selection activeCell="J21" sqref="J21"/>
    </sheetView>
  </sheetViews>
  <sheetFormatPr defaultColWidth="9.00390625" defaultRowHeight="12.75"/>
  <cols>
    <col min="1" max="1" width="64.875" style="1045" customWidth="1"/>
    <col min="2" max="2" width="41.375" style="1045" customWidth="1"/>
    <col min="3" max="4" width="15.625" style="1045" customWidth="1"/>
    <col min="5" max="6" width="15.25390625" style="1045" customWidth="1"/>
    <col min="7" max="7" width="15.625" style="1045" customWidth="1"/>
    <col min="8" max="8" width="14.625" style="1045" customWidth="1"/>
    <col min="9" max="20" width="16.875" style="1045" customWidth="1"/>
    <col min="21" max="21" width="9.125" style="1044" customWidth="1"/>
    <col min="22" max="22" width="9.875" style="1044" bestFit="1" customWidth="1"/>
    <col min="23" max="23" width="9.125" style="1044" customWidth="1"/>
    <col min="24" max="24" width="21.00390625" style="1044" customWidth="1"/>
    <col min="25" max="170" width="9.125" style="1044" customWidth="1"/>
    <col min="171" max="16384" width="9.125" style="1045" customWidth="1"/>
  </cols>
  <sheetData>
    <row r="1" spans="1:20" ht="21.75" customHeight="1">
      <c r="A1" s="1086" t="s">
        <v>845</v>
      </c>
      <c r="E1" s="1082"/>
      <c r="F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  <c r="S1" s="1492" t="s">
        <v>842</v>
      </c>
      <c r="T1" s="1492"/>
    </row>
    <row r="2" spans="19:20" ht="7.5" customHeight="1">
      <c r="S2" s="1083"/>
      <c r="T2" s="1083"/>
    </row>
    <row r="3" spans="1:20" ht="22.5" customHeight="1">
      <c r="A3" s="1493" t="s">
        <v>38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</row>
    <row r="4" spans="9:20" ht="31.5" customHeight="1" thickBot="1">
      <c r="I4" s="1084"/>
      <c r="J4" s="1084"/>
      <c r="K4" s="1084"/>
      <c r="L4" s="1084"/>
      <c r="M4" s="1084"/>
      <c r="N4" s="1084"/>
      <c r="O4" s="1084"/>
      <c r="P4" s="1084"/>
      <c r="Q4" s="1085"/>
      <c r="R4" s="1085"/>
      <c r="S4" s="1085"/>
      <c r="T4" s="1085"/>
    </row>
    <row r="5" spans="1:20" ht="19.5" customHeight="1">
      <c r="A5" s="1509"/>
      <c r="B5" s="1523" t="s">
        <v>438</v>
      </c>
      <c r="C5" s="1526" t="s">
        <v>625</v>
      </c>
      <c r="D5" s="1497" t="s">
        <v>627</v>
      </c>
      <c r="E5" s="1497" t="s">
        <v>439</v>
      </c>
      <c r="F5" s="1497"/>
      <c r="G5" s="1529"/>
      <c r="H5" s="1529"/>
      <c r="I5" s="1533" t="s">
        <v>440</v>
      </c>
      <c r="J5" s="1534"/>
      <c r="K5" s="1535"/>
      <c r="L5" s="1535"/>
      <c r="M5" s="1535"/>
      <c r="N5" s="1535"/>
      <c r="O5" s="1535"/>
      <c r="P5" s="1535"/>
      <c r="Q5" s="1535"/>
      <c r="R5" s="1535"/>
      <c r="S5" s="1535"/>
      <c r="T5" s="1536"/>
    </row>
    <row r="6" spans="1:20" ht="26.25" customHeight="1">
      <c r="A6" s="1510"/>
      <c r="B6" s="1524"/>
      <c r="C6" s="1527"/>
      <c r="D6" s="1498"/>
      <c r="E6" s="1530"/>
      <c r="F6" s="1530"/>
      <c r="G6" s="1530"/>
      <c r="H6" s="1530"/>
      <c r="I6" s="1521" t="s">
        <v>441</v>
      </c>
      <c r="J6" s="1522"/>
      <c r="K6" s="1522"/>
      <c r="L6" s="1513"/>
      <c r="M6" s="1513" t="s">
        <v>442</v>
      </c>
      <c r="N6" s="1513"/>
      <c r="O6" s="1507"/>
      <c r="P6" s="1514"/>
      <c r="Q6" s="1537" t="s">
        <v>588</v>
      </c>
      <c r="R6" s="1522"/>
      <c r="S6" s="1522"/>
      <c r="T6" s="1538"/>
    </row>
    <row r="7" spans="1:20" ht="26.25" customHeight="1">
      <c r="A7" s="1510"/>
      <c r="B7" s="1524"/>
      <c r="C7" s="1527"/>
      <c r="D7" s="1498"/>
      <c r="E7" s="1531"/>
      <c r="F7" s="1531"/>
      <c r="G7" s="1531"/>
      <c r="H7" s="1531"/>
      <c r="I7" s="1521" t="s">
        <v>443</v>
      </c>
      <c r="J7" s="1522"/>
      <c r="K7" s="1522"/>
      <c r="L7" s="1513"/>
      <c r="M7" s="1507" t="s">
        <v>443</v>
      </c>
      <c r="N7" s="1507"/>
      <c r="O7" s="1508"/>
      <c r="P7" s="1508"/>
      <c r="Q7" s="1513" t="s">
        <v>443</v>
      </c>
      <c r="R7" s="1513"/>
      <c r="S7" s="1508"/>
      <c r="T7" s="1539"/>
    </row>
    <row r="8" spans="1:20" ht="21" customHeight="1">
      <c r="A8" s="1511"/>
      <c r="B8" s="1524"/>
      <c r="C8" s="1527"/>
      <c r="D8" s="1498"/>
      <c r="E8" s="1532" t="s">
        <v>628</v>
      </c>
      <c r="F8" s="1494" t="s">
        <v>611</v>
      </c>
      <c r="G8" s="1532" t="s">
        <v>629</v>
      </c>
      <c r="H8" s="1501" t="s">
        <v>588</v>
      </c>
      <c r="I8" s="1515" t="s">
        <v>444</v>
      </c>
      <c r="J8" s="1494" t="s">
        <v>611</v>
      </c>
      <c r="K8" s="1494" t="s">
        <v>445</v>
      </c>
      <c r="L8" s="1501" t="s">
        <v>588</v>
      </c>
      <c r="M8" s="1518" t="s">
        <v>444</v>
      </c>
      <c r="N8" s="1494" t="s">
        <v>611</v>
      </c>
      <c r="O8" s="1494" t="s">
        <v>445</v>
      </c>
      <c r="P8" s="1501" t="s">
        <v>588</v>
      </c>
      <c r="Q8" s="1518" t="s">
        <v>444</v>
      </c>
      <c r="R8" s="1494" t="s">
        <v>611</v>
      </c>
      <c r="S8" s="1494" t="s">
        <v>445</v>
      </c>
      <c r="T8" s="1504" t="s">
        <v>588</v>
      </c>
    </row>
    <row r="9" spans="1:20" ht="12.75" customHeight="1">
      <c r="A9" s="1511"/>
      <c r="B9" s="1524"/>
      <c r="C9" s="1527"/>
      <c r="D9" s="1498"/>
      <c r="E9" s="1530"/>
      <c r="F9" s="1495"/>
      <c r="G9" s="1530"/>
      <c r="H9" s="1502"/>
      <c r="I9" s="1516"/>
      <c r="J9" s="1495"/>
      <c r="K9" s="1495"/>
      <c r="L9" s="1540"/>
      <c r="M9" s="1519"/>
      <c r="N9" s="1495"/>
      <c r="O9" s="1530"/>
      <c r="P9" s="1502"/>
      <c r="Q9" s="1519"/>
      <c r="R9" s="1495"/>
      <c r="S9" s="1530"/>
      <c r="T9" s="1505"/>
    </row>
    <row r="10" spans="1:20" ht="36" customHeight="1">
      <c r="A10" s="1511"/>
      <c r="B10" s="1525"/>
      <c r="C10" s="1528"/>
      <c r="D10" s="1499"/>
      <c r="E10" s="1531"/>
      <c r="F10" s="1496"/>
      <c r="G10" s="1531"/>
      <c r="H10" s="1503"/>
      <c r="I10" s="1517"/>
      <c r="J10" s="1496"/>
      <c r="K10" s="1496"/>
      <c r="L10" s="1541"/>
      <c r="M10" s="1520"/>
      <c r="N10" s="1496"/>
      <c r="O10" s="1531"/>
      <c r="P10" s="1503"/>
      <c r="Q10" s="1520"/>
      <c r="R10" s="1496"/>
      <c r="S10" s="1531"/>
      <c r="T10" s="1506"/>
    </row>
    <row r="11" spans="1:20" ht="14.25" customHeight="1" thickBot="1">
      <c r="A11" s="1512"/>
      <c r="B11" s="1344">
        <v>1</v>
      </c>
      <c r="C11" s="1345">
        <v>2</v>
      </c>
      <c r="D11" s="1346">
        <v>3</v>
      </c>
      <c r="E11" s="1347">
        <v>4</v>
      </c>
      <c r="F11" s="1347">
        <v>5</v>
      </c>
      <c r="G11" s="1347">
        <v>6</v>
      </c>
      <c r="H11" s="1347" t="s">
        <v>612</v>
      </c>
      <c r="I11" s="1348">
        <v>8</v>
      </c>
      <c r="J11" s="1349">
        <v>9</v>
      </c>
      <c r="K11" s="1350">
        <v>10</v>
      </c>
      <c r="L11" s="1351" t="s">
        <v>613</v>
      </c>
      <c r="M11" s="1352">
        <v>12</v>
      </c>
      <c r="N11" s="1352">
        <v>13</v>
      </c>
      <c r="O11" s="1353">
        <v>14</v>
      </c>
      <c r="P11" s="1350" t="s">
        <v>614</v>
      </c>
      <c r="Q11" s="1349" t="s">
        <v>615</v>
      </c>
      <c r="R11" s="1349" t="s">
        <v>616</v>
      </c>
      <c r="S11" s="1350" t="s">
        <v>617</v>
      </c>
      <c r="T11" s="1354" t="s">
        <v>618</v>
      </c>
    </row>
    <row r="12" spans="1:20" ht="24.75" customHeight="1">
      <c r="A12" s="1263" t="s">
        <v>446</v>
      </c>
      <c r="B12" s="1262"/>
      <c r="C12" s="1282">
        <f>Q12/H12/12*1000</f>
        <v>29723</v>
      </c>
      <c r="D12" s="1283">
        <v>0</v>
      </c>
      <c r="E12" s="1284">
        <f>E14+E36</f>
        <v>31</v>
      </c>
      <c r="F12" s="1284">
        <f>F14+F36</f>
        <v>0</v>
      </c>
      <c r="G12" s="1284">
        <f>G14+G36</f>
        <v>73</v>
      </c>
      <c r="H12" s="1284">
        <f>E12+G12+F12</f>
        <v>104</v>
      </c>
      <c r="I12" s="1285">
        <f>I14+I36</f>
        <v>8152.43</v>
      </c>
      <c r="J12" s="1284">
        <f>J14+J36</f>
        <v>0</v>
      </c>
      <c r="K12" s="1285">
        <f>K14+K36</f>
        <v>3402.55</v>
      </c>
      <c r="L12" s="1285">
        <f>I12+K12+J12</f>
        <v>11554.98</v>
      </c>
      <c r="M12" s="1285">
        <f>M14+M36</f>
        <v>28942.23</v>
      </c>
      <c r="N12" s="1284">
        <f>N14+N36</f>
        <v>0</v>
      </c>
      <c r="O12" s="1285">
        <f>O14+O36</f>
        <v>18744.86</v>
      </c>
      <c r="P12" s="1285">
        <f>M12+O12+N12</f>
        <v>47687.09</v>
      </c>
      <c r="Q12" s="1285">
        <f>I12+M12</f>
        <v>37094.66</v>
      </c>
      <c r="R12" s="1285">
        <f>R14+R36</f>
        <v>0</v>
      </c>
      <c r="S12" s="1285">
        <f>K12+O12</f>
        <v>22147.41</v>
      </c>
      <c r="T12" s="1286">
        <f>Q12+S12+R12</f>
        <v>59242.07</v>
      </c>
    </row>
    <row r="13" spans="1:20" ht="19.5" customHeight="1">
      <c r="A13" s="1264" t="s">
        <v>523</v>
      </c>
      <c r="B13" s="1264"/>
      <c r="C13" s="1287"/>
      <c r="D13" s="1288"/>
      <c r="E13" s="1289"/>
      <c r="F13" s="1289"/>
      <c r="G13" s="1289"/>
      <c r="H13" s="1289"/>
      <c r="I13" s="1290"/>
      <c r="J13" s="1289"/>
      <c r="K13" s="1290"/>
      <c r="L13" s="1290"/>
      <c r="M13" s="1290"/>
      <c r="N13" s="1289"/>
      <c r="O13" s="1290"/>
      <c r="P13" s="1290"/>
      <c r="Q13" s="1290"/>
      <c r="R13" s="1290"/>
      <c r="S13" s="1290"/>
      <c r="T13" s="1291"/>
    </row>
    <row r="14" spans="1:20" ht="24.75" customHeight="1">
      <c r="A14" s="1338" t="s">
        <v>447</v>
      </c>
      <c r="B14" s="1264"/>
      <c r="C14" s="1287">
        <f>Q14/H14/12*1000</f>
        <v>34931</v>
      </c>
      <c r="D14" s="1288">
        <v>0</v>
      </c>
      <c r="E14" s="1289">
        <f>E16+E23+E27</f>
        <v>31</v>
      </c>
      <c r="F14" s="1289">
        <f>F16+F23+F27</f>
        <v>0</v>
      </c>
      <c r="G14" s="1289">
        <f>G16+G23+G27</f>
        <v>47</v>
      </c>
      <c r="H14" s="1289">
        <f>E14+G14+F14</f>
        <v>78</v>
      </c>
      <c r="I14" s="1290">
        <f>I16+I23+I27</f>
        <v>4516.82</v>
      </c>
      <c r="J14" s="1289">
        <f>J16+J23+J27</f>
        <v>0</v>
      </c>
      <c r="K14" s="1290">
        <f>K16+K23+K27</f>
        <v>3136.98</v>
      </c>
      <c r="L14" s="1290">
        <f>I14+K14+J14</f>
        <v>7653.8</v>
      </c>
      <c r="M14" s="1290">
        <f>M16+M23+M27</f>
        <v>28178.97</v>
      </c>
      <c r="N14" s="1289">
        <f>N16+N23+N27</f>
        <v>0</v>
      </c>
      <c r="O14" s="1290">
        <f>O16+O23+O27</f>
        <v>17348.48</v>
      </c>
      <c r="P14" s="1290">
        <f>M14+O14+N14</f>
        <v>45527.45</v>
      </c>
      <c r="Q14" s="1290">
        <f>Q16+Q23+Q27</f>
        <v>32695.79</v>
      </c>
      <c r="R14" s="1290">
        <f>R16+R23+R27</f>
        <v>0</v>
      </c>
      <c r="S14" s="1290">
        <f>S16+S23+S27</f>
        <v>20485.46</v>
      </c>
      <c r="T14" s="1291">
        <f>Q14+S14+R14</f>
        <v>53181.25</v>
      </c>
    </row>
    <row r="15" spans="1:20" ht="19.5" customHeight="1">
      <c r="A15" s="1338" t="s">
        <v>523</v>
      </c>
      <c r="B15" s="1264"/>
      <c r="C15" s="1287"/>
      <c r="D15" s="1288"/>
      <c r="E15" s="1289"/>
      <c r="F15" s="1289"/>
      <c r="G15" s="1289"/>
      <c r="H15" s="1289"/>
      <c r="I15" s="1290"/>
      <c r="J15" s="1289"/>
      <c r="K15" s="1290"/>
      <c r="L15" s="1290"/>
      <c r="M15" s="1290"/>
      <c r="N15" s="1289"/>
      <c r="O15" s="1290"/>
      <c r="P15" s="1290"/>
      <c r="Q15" s="1290"/>
      <c r="R15" s="1290"/>
      <c r="S15" s="1290"/>
      <c r="T15" s="1291"/>
    </row>
    <row r="16" spans="1:21" ht="19.5" customHeight="1">
      <c r="A16" s="1280" t="s">
        <v>619</v>
      </c>
      <c r="B16" s="1264"/>
      <c r="C16" s="1287">
        <f aca="true" t="shared" si="0" ref="C16:C38">Q16/H16/12*1000</f>
        <v>35894</v>
      </c>
      <c r="D16" s="1288">
        <v>0</v>
      </c>
      <c r="E16" s="1289">
        <f>E17+E18+E19+E21+E22</f>
        <v>28</v>
      </c>
      <c r="F16" s="1289">
        <f>F17+F18+F19+F21+F22</f>
        <v>0</v>
      </c>
      <c r="G16" s="1289">
        <f>G17+G18+G19+G21+G22</f>
        <v>44</v>
      </c>
      <c r="H16" s="1289">
        <f aca="true" t="shared" si="1" ref="H16:H43">E16+G16+F16</f>
        <v>72</v>
      </c>
      <c r="I16" s="1290">
        <f>I17+I18+I19+I21+I22</f>
        <v>4264.34</v>
      </c>
      <c r="J16" s="1289">
        <f>J17+J18+J19+J21+J22</f>
        <v>0</v>
      </c>
      <c r="K16" s="1290">
        <f>K17+K18+K19+K21+K22</f>
        <v>3085.52</v>
      </c>
      <c r="L16" s="1290">
        <f aca="true" t="shared" si="2" ref="L16:L43">I16+K16+J16</f>
        <v>7349.86</v>
      </c>
      <c r="M16" s="1290">
        <f>M17+M18+M19+M21+M22</f>
        <v>26748.23</v>
      </c>
      <c r="N16" s="1289">
        <f>N17+N18+N19+N21+N22</f>
        <v>0</v>
      </c>
      <c r="O16" s="1290">
        <f>O17+O18+O19+O21+O22</f>
        <v>16821.81</v>
      </c>
      <c r="P16" s="1290">
        <f aca="true" t="shared" si="3" ref="P16:P43">M16+O16+N16</f>
        <v>43570.04</v>
      </c>
      <c r="Q16" s="1290">
        <f>Q17+Q18+Q19+Q21+Q22</f>
        <v>31012.57</v>
      </c>
      <c r="R16" s="1290">
        <f>R17+R18+R19+R21+R22</f>
        <v>0</v>
      </c>
      <c r="S16" s="1290">
        <f>S17+S18+S19+S21+S22</f>
        <v>19907.33</v>
      </c>
      <c r="T16" s="1291">
        <f aca="true" t="shared" si="4" ref="T16:T43">Q16+S16+R16</f>
        <v>50919.9</v>
      </c>
      <c r="U16" s="1259"/>
    </row>
    <row r="17" spans="1:20" ht="25.5" customHeight="1">
      <c r="A17" s="1341"/>
      <c r="B17" s="1265" t="s">
        <v>24</v>
      </c>
      <c r="C17" s="1287">
        <f t="shared" si="0"/>
        <v>28336</v>
      </c>
      <c r="D17" s="1288">
        <v>0</v>
      </c>
      <c r="E17" s="1289">
        <v>1</v>
      </c>
      <c r="F17" s="1289">
        <v>0</v>
      </c>
      <c r="G17" s="1289">
        <v>2</v>
      </c>
      <c r="H17" s="1289">
        <f t="shared" si="1"/>
        <v>3</v>
      </c>
      <c r="I17" s="1290">
        <v>204.02</v>
      </c>
      <c r="J17" s="1289">
        <v>0</v>
      </c>
      <c r="K17" s="1290">
        <v>0</v>
      </c>
      <c r="L17" s="1290">
        <f t="shared" si="2"/>
        <v>204.02</v>
      </c>
      <c r="M17" s="1290">
        <v>816.09</v>
      </c>
      <c r="N17" s="1289">
        <v>0</v>
      </c>
      <c r="O17" s="1290">
        <v>0</v>
      </c>
      <c r="P17" s="1290">
        <f t="shared" si="3"/>
        <v>816.09</v>
      </c>
      <c r="Q17" s="1290">
        <f aca="true" t="shared" si="5" ref="Q17:Q22">I17+M17</f>
        <v>1020.11</v>
      </c>
      <c r="R17" s="1290">
        <v>0</v>
      </c>
      <c r="S17" s="1290">
        <f aca="true" t="shared" si="6" ref="S17:S22">K17+O17</f>
        <v>0</v>
      </c>
      <c r="T17" s="1291">
        <f t="shared" si="4"/>
        <v>1020.11</v>
      </c>
    </row>
    <row r="18" spans="1:21" ht="33.75" customHeight="1">
      <c r="A18" s="1342"/>
      <c r="B18" s="1265" t="s">
        <v>25</v>
      </c>
      <c r="C18" s="1287">
        <f t="shared" si="0"/>
        <v>27110</v>
      </c>
      <c r="D18" s="1288">
        <v>0</v>
      </c>
      <c r="E18" s="1289">
        <v>0</v>
      </c>
      <c r="F18" s="1289">
        <v>0</v>
      </c>
      <c r="G18" s="1289">
        <v>9</v>
      </c>
      <c r="H18" s="1289">
        <f t="shared" si="1"/>
        <v>9</v>
      </c>
      <c r="I18" s="1290">
        <v>0</v>
      </c>
      <c r="J18" s="1289">
        <v>0</v>
      </c>
      <c r="K18" s="1290">
        <v>0</v>
      </c>
      <c r="L18" s="1290">
        <f t="shared" si="2"/>
        <v>0</v>
      </c>
      <c r="M18" s="1290">
        <v>2927.87</v>
      </c>
      <c r="N18" s="1289">
        <v>0</v>
      </c>
      <c r="O18" s="1290">
        <v>40.95</v>
      </c>
      <c r="P18" s="1290">
        <f t="shared" si="3"/>
        <v>2968.82</v>
      </c>
      <c r="Q18" s="1290">
        <f t="shared" si="5"/>
        <v>2927.87</v>
      </c>
      <c r="R18" s="1290">
        <v>0</v>
      </c>
      <c r="S18" s="1290">
        <f t="shared" si="6"/>
        <v>40.95</v>
      </c>
      <c r="T18" s="1291">
        <f t="shared" si="4"/>
        <v>2968.82</v>
      </c>
      <c r="U18" s="1259"/>
    </row>
    <row r="19" spans="1:21" ht="25.5" customHeight="1">
      <c r="A19" s="1342"/>
      <c r="B19" s="1265" t="s">
        <v>26</v>
      </c>
      <c r="C19" s="1287">
        <v>0</v>
      </c>
      <c r="D19" s="1288">
        <v>0</v>
      </c>
      <c r="E19" s="1289">
        <v>0</v>
      </c>
      <c r="F19" s="1289">
        <v>0</v>
      </c>
      <c r="G19" s="1289">
        <v>0</v>
      </c>
      <c r="H19" s="1289">
        <f t="shared" si="1"/>
        <v>0</v>
      </c>
      <c r="I19" s="1290">
        <v>0</v>
      </c>
      <c r="J19" s="1289">
        <v>0</v>
      </c>
      <c r="K19" s="1290">
        <v>150.8</v>
      </c>
      <c r="L19" s="1290">
        <f t="shared" si="2"/>
        <v>150.8</v>
      </c>
      <c r="M19" s="1290">
        <v>0</v>
      </c>
      <c r="N19" s="1289">
        <v>0</v>
      </c>
      <c r="O19" s="1290">
        <v>150.8</v>
      </c>
      <c r="P19" s="1290">
        <f t="shared" si="3"/>
        <v>150.8</v>
      </c>
      <c r="Q19" s="1290">
        <f t="shared" si="5"/>
        <v>0</v>
      </c>
      <c r="R19" s="1290">
        <v>0</v>
      </c>
      <c r="S19" s="1290">
        <f t="shared" si="6"/>
        <v>301.6</v>
      </c>
      <c r="T19" s="1291">
        <f t="shared" si="4"/>
        <v>301.6</v>
      </c>
      <c r="U19" s="1259"/>
    </row>
    <row r="20" spans="1:21" ht="45.75" customHeight="1" hidden="1">
      <c r="A20" s="1342"/>
      <c r="B20" s="1265"/>
      <c r="C20" s="1287" t="e">
        <f t="shared" si="0"/>
        <v>#DIV/0!</v>
      </c>
      <c r="D20" s="1288"/>
      <c r="E20" s="1289">
        <v>0</v>
      </c>
      <c r="F20" s="1289">
        <v>0</v>
      </c>
      <c r="G20" s="1289">
        <v>0</v>
      </c>
      <c r="H20" s="1289">
        <f t="shared" si="1"/>
        <v>0</v>
      </c>
      <c r="I20" s="1290">
        <v>0</v>
      </c>
      <c r="J20" s="1289">
        <v>0</v>
      </c>
      <c r="K20" s="1290"/>
      <c r="L20" s="1290">
        <f t="shared" si="2"/>
        <v>0</v>
      </c>
      <c r="M20" s="1290">
        <v>0</v>
      </c>
      <c r="N20" s="1289">
        <v>0</v>
      </c>
      <c r="O20" s="1290"/>
      <c r="P20" s="1290">
        <f t="shared" si="3"/>
        <v>0</v>
      </c>
      <c r="Q20" s="1290">
        <f t="shared" si="5"/>
        <v>0</v>
      </c>
      <c r="R20" s="1290">
        <v>0</v>
      </c>
      <c r="S20" s="1290">
        <f t="shared" si="6"/>
        <v>0</v>
      </c>
      <c r="T20" s="1291">
        <f t="shared" si="4"/>
        <v>0</v>
      </c>
      <c r="U20" s="1259"/>
    </row>
    <row r="21" spans="1:21" ht="25.5" customHeight="1">
      <c r="A21" s="1342"/>
      <c r="B21" s="1264" t="s">
        <v>27</v>
      </c>
      <c r="C21" s="1287">
        <f t="shared" si="0"/>
        <v>39901</v>
      </c>
      <c r="D21" s="1288">
        <v>0</v>
      </c>
      <c r="E21" s="1289">
        <v>5</v>
      </c>
      <c r="F21" s="1289">
        <v>0</v>
      </c>
      <c r="G21" s="1289">
        <v>29</v>
      </c>
      <c r="H21" s="1289">
        <f t="shared" si="1"/>
        <v>34</v>
      </c>
      <c r="I21" s="1290">
        <f>140.33658+531.66499+212.70112+9.21131+28.12949+398.50509+1.92+751.78922+366.87873</f>
        <v>2441.14</v>
      </c>
      <c r="J21" s="1289">
        <v>0</v>
      </c>
      <c r="K21" s="1290">
        <v>1736.86</v>
      </c>
      <c r="L21" s="1290">
        <f t="shared" si="2"/>
        <v>4178</v>
      </c>
      <c r="M21" s="1290">
        <f>795.24042+3012.76800999999+1205.31691+52.19738+155.31281+2258.19531+10.88+4259.64277+2088.81141</f>
        <v>13838.37</v>
      </c>
      <c r="N21" s="1289">
        <v>0</v>
      </c>
      <c r="O21" s="1290">
        <v>9841.72</v>
      </c>
      <c r="P21" s="1290">
        <f t="shared" si="3"/>
        <v>23680.09</v>
      </c>
      <c r="Q21" s="1290">
        <f t="shared" si="5"/>
        <v>16279.51</v>
      </c>
      <c r="R21" s="1290">
        <v>0</v>
      </c>
      <c r="S21" s="1290">
        <f t="shared" si="6"/>
        <v>11578.58</v>
      </c>
      <c r="T21" s="1291">
        <f t="shared" si="4"/>
        <v>27858.09</v>
      </c>
      <c r="U21" s="1259"/>
    </row>
    <row r="22" spans="1:21" ht="25.5" customHeight="1">
      <c r="A22" s="1343"/>
      <c r="B22" s="1266" t="s">
        <v>28</v>
      </c>
      <c r="C22" s="1292">
        <f t="shared" si="0"/>
        <v>34568</v>
      </c>
      <c r="D22" s="1293">
        <v>0</v>
      </c>
      <c r="E22" s="1294">
        <v>22</v>
      </c>
      <c r="F22" s="1294">
        <v>0</v>
      </c>
      <c r="G22" s="1294">
        <v>4</v>
      </c>
      <c r="H22" s="1294">
        <f t="shared" si="1"/>
        <v>26</v>
      </c>
      <c r="I22" s="1295">
        <f>37.05+790.87485+791.25672</f>
        <v>1619.18</v>
      </c>
      <c r="J22" s="1294">
        <v>0</v>
      </c>
      <c r="K22" s="1295">
        <v>1197.86</v>
      </c>
      <c r="L22" s="1295">
        <f t="shared" si="2"/>
        <v>2817.04</v>
      </c>
      <c r="M22" s="1295">
        <f>209.95+4482.10016+4473.85365</f>
        <v>9165.9</v>
      </c>
      <c r="N22" s="1294">
        <v>0</v>
      </c>
      <c r="O22" s="1295">
        <v>6788.34</v>
      </c>
      <c r="P22" s="1295">
        <f t="shared" si="3"/>
        <v>15954.24</v>
      </c>
      <c r="Q22" s="1295">
        <f t="shared" si="5"/>
        <v>10785.08</v>
      </c>
      <c r="R22" s="1295">
        <v>0</v>
      </c>
      <c r="S22" s="1295">
        <f t="shared" si="6"/>
        <v>7986.2</v>
      </c>
      <c r="T22" s="1296">
        <f t="shared" si="4"/>
        <v>18771.28</v>
      </c>
      <c r="U22" s="1259"/>
    </row>
    <row r="23" spans="1:20" ht="31.5" customHeight="1">
      <c r="A23" s="1280" t="s">
        <v>620</v>
      </c>
      <c r="B23" s="1265"/>
      <c r="C23" s="1287">
        <f t="shared" si="0"/>
        <v>23378</v>
      </c>
      <c r="D23" s="1288">
        <v>0</v>
      </c>
      <c r="E23" s="1289">
        <f>E24+E25+E26</f>
        <v>3</v>
      </c>
      <c r="F23" s="1289">
        <f>F24+F25+F26</f>
        <v>0</v>
      </c>
      <c r="G23" s="1289">
        <f>G24+G25+G26</f>
        <v>3</v>
      </c>
      <c r="H23" s="1289">
        <f t="shared" si="1"/>
        <v>6</v>
      </c>
      <c r="I23" s="1290">
        <f>I24+I25+I26</f>
        <v>252.48</v>
      </c>
      <c r="J23" s="1289">
        <f>J24+J25+J26</f>
        <v>0</v>
      </c>
      <c r="K23" s="1290">
        <f>K24+K25+K26</f>
        <v>3.6</v>
      </c>
      <c r="L23" s="1290">
        <f t="shared" si="2"/>
        <v>256.08</v>
      </c>
      <c r="M23" s="1290">
        <f>M24+M25+M26</f>
        <v>1430.74</v>
      </c>
      <c r="N23" s="1289">
        <f>N24+N25+N26</f>
        <v>0</v>
      </c>
      <c r="O23" s="1290">
        <f>O24+O25+O26</f>
        <v>20.4</v>
      </c>
      <c r="P23" s="1290">
        <f t="shared" si="3"/>
        <v>1451.14</v>
      </c>
      <c r="Q23" s="1290">
        <f>Q24+Q25+Q26</f>
        <v>1683.22</v>
      </c>
      <c r="R23" s="1290">
        <f>R24+R25+R26</f>
        <v>0</v>
      </c>
      <c r="S23" s="1290">
        <f>S24+S25+S26</f>
        <v>24</v>
      </c>
      <c r="T23" s="1291">
        <f t="shared" si="4"/>
        <v>1707.22</v>
      </c>
    </row>
    <row r="24" spans="1:20" ht="66" customHeight="1">
      <c r="A24" s="1280" t="s">
        <v>621</v>
      </c>
      <c r="B24" s="1267" t="s">
        <v>29</v>
      </c>
      <c r="C24" s="1297">
        <f t="shared" si="0"/>
        <v>27604</v>
      </c>
      <c r="D24" s="1298">
        <v>0</v>
      </c>
      <c r="E24" s="1289">
        <v>1</v>
      </c>
      <c r="F24" s="1289">
        <v>0</v>
      </c>
      <c r="G24" s="1289">
        <v>0</v>
      </c>
      <c r="H24" s="1289">
        <f t="shared" si="1"/>
        <v>1</v>
      </c>
      <c r="I24" s="1290">
        <f>35.32904+14.3586</f>
        <v>49.69</v>
      </c>
      <c r="J24" s="1289">
        <v>0</v>
      </c>
      <c r="K24" s="1290">
        <v>0</v>
      </c>
      <c r="L24" s="1290">
        <f t="shared" si="2"/>
        <v>49.69</v>
      </c>
      <c r="M24" s="1290">
        <f>195.53127+86.0321</f>
        <v>281.56</v>
      </c>
      <c r="N24" s="1289">
        <v>0</v>
      </c>
      <c r="O24" s="1290">
        <v>0</v>
      </c>
      <c r="P24" s="1290">
        <f t="shared" si="3"/>
        <v>281.56</v>
      </c>
      <c r="Q24" s="1290">
        <f>I24+M24</f>
        <v>331.25</v>
      </c>
      <c r="R24" s="1290">
        <v>0</v>
      </c>
      <c r="S24" s="1290">
        <f>K24+O24</f>
        <v>0</v>
      </c>
      <c r="T24" s="1291">
        <f t="shared" si="4"/>
        <v>331.25</v>
      </c>
    </row>
    <row r="25" spans="1:20" ht="51" customHeight="1">
      <c r="A25" s="1341"/>
      <c r="B25" s="1268" t="s">
        <v>30</v>
      </c>
      <c r="C25" s="1299">
        <f t="shared" si="0"/>
        <v>10540</v>
      </c>
      <c r="D25" s="1300">
        <v>0</v>
      </c>
      <c r="E25" s="1301">
        <v>1</v>
      </c>
      <c r="F25" s="1301">
        <v>0</v>
      </c>
      <c r="G25" s="1301">
        <v>0</v>
      </c>
      <c r="H25" s="1301">
        <f t="shared" si="1"/>
        <v>1</v>
      </c>
      <c r="I25" s="1302">
        <v>18.97</v>
      </c>
      <c r="J25" s="1301">
        <v>0</v>
      </c>
      <c r="K25" s="1302">
        <v>0</v>
      </c>
      <c r="L25" s="1302">
        <f t="shared" si="2"/>
        <v>18.97</v>
      </c>
      <c r="M25" s="1302">
        <v>107.51</v>
      </c>
      <c r="N25" s="1301">
        <v>0</v>
      </c>
      <c r="O25" s="1302">
        <v>0</v>
      </c>
      <c r="P25" s="1302">
        <f t="shared" si="3"/>
        <v>107.51</v>
      </c>
      <c r="Q25" s="1302">
        <f>I25+M25</f>
        <v>126.48</v>
      </c>
      <c r="R25" s="1302">
        <v>0</v>
      </c>
      <c r="S25" s="1302">
        <f>K25+O25</f>
        <v>0</v>
      </c>
      <c r="T25" s="1303">
        <f t="shared" si="4"/>
        <v>126.48</v>
      </c>
    </row>
    <row r="26" spans="1:20" ht="39.75" customHeight="1">
      <c r="A26" s="1343"/>
      <c r="B26" s="1269" t="s">
        <v>31</v>
      </c>
      <c r="C26" s="1292">
        <f t="shared" si="0"/>
        <v>25531</v>
      </c>
      <c r="D26" s="1293">
        <v>0</v>
      </c>
      <c r="E26" s="1294">
        <v>1</v>
      </c>
      <c r="F26" s="1294">
        <v>0</v>
      </c>
      <c r="G26" s="1294">
        <v>3</v>
      </c>
      <c r="H26" s="1294">
        <f t="shared" si="1"/>
        <v>4</v>
      </c>
      <c r="I26" s="1295">
        <f>183.82387</f>
        <v>183.82</v>
      </c>
      <c r="J26" s="1294">
        <v>0</v>
      </c>
      <c r="K26" s="1295">
        <v>3.6</v>
      </c>
      <c r="L26" s="1295">
        <f t="shared" si="2"/>
        <v>187.42</v>
      </c>
      <c r="M26" s="1295">
        <v>1041.67</v>
      </c>
      <c r="N26" s="1294">
        <v>0</v>
      </c>
      <c r="O26" s="1295">
        <v>20.4</v>
      </c>
      <c r="P26" s="1295">
        <f t="shared" si="3"/>
        <v>1062.07</v>
      </c>
      <c r="Q26" s="1295">
        <f>I26+M26</f>
        <v>1225.49</v>
      </c>
      <c r="R26" s="1295">
        <v>0</v>
      </c>
      <c r="S26" s="1295">
        <f>K26+O26</f>
        <v>24</v>
      </c>
      <c r="T26" s="1296">
        <f t="shared" si="4"/>
        <v>1249.49</v>
      </c>
    </row>
    <row r="27" spans="1:20" ht="39.75" customHeight="1">
      <c r="A27" s="1280" t="s">
        <v>622</v>
      </c>
      <c r="B27" s="1264"/>
      <c r="C27" s="1287">
        <v>0</v>
      </c>
      <c r="D27" s="1288">
        <v>0</v>
      </c>
      <c r="E27" s="1289">
        <f>E28</f>
        <v>0</v>
      </c>
      <c r="F27" s="1289">
        <f>F28</f>
        <v>0</v>
      </c>
      <c r="G27" s="1289">
        <f>G28</f>
        <v>0</v>
      </c>
      <c r="H27" s="1289">
        <f t="shared" si="1"/>
        <v>0</v>
      </c>
      <c r="I27" s="1290">
        <f>I28</f>
        <v>0</v>
      </c>
      <c r="J27" s="1289">
        <f>J28</f>
        <v>0</v>
      </c>
      <c r="K27" s="1290">
        <f>K28</f>
        <v>47.86</v>
      </c>
      <c r="L27" s="1290">
        <f t="shared" si="2"/>
        <v>47.86</v>
      </c>
      <c r="M27" s="1290">
        <f>M28</f>
        <v>0</v>
      </c>
      <c r="N27" s="1289">
        <f>N28</f>
        <v>0</v>
      </c>
      <c r="O27" s="1290">
        <f>O28</f>
        <v>506.27</v>
      </c>
      <c r="P27" s="1290">
        <f t="shared" si="3"/>
        <v>506.27</v>
      </c>
      <c r="Q27" s="1290">
        <f>Q28</f>
        <v>0</v>
      </c>
      <c r="R27" s="1290">
        <f>R28</f>
        <v>0</v>
      </c>
      <c r="S27" s="1290">
        <f>S28</f>
        <v>554.13</v>
      </c>
      <c r="T27" s="1291">
        <f t="shared" si="4"/>
        <v>554.13</v>
      </c>
    </row>
    <row r="28" spans="1:22" ht="26.25" customHeight="1">
      <c r="A28" s="1280" t="s">
        <v>448</v>
      </c>
      <c r="B28" s="1264"/>
      <c r="C28" s="1287">
        <v>0</v>
      </c>
      <c r="D28" s="1288">
        <v>0</v>
      </c>
      <c r="E28" s="1289">
        <f>E29+E30+E31+E32+E33+E34+E35</f>
        <v>0</v>
      </c>
      <c r="F28" s="1289">
        <f>F29+F30+F31+F32+F33+F34+F35</f>
        <v>0</v>
      </c>
      <c r="G28" s="1289">
        <f>G29+G30+G31+G32+G33+G34+G35</f>
        <v>0</v>
      </c>
      <c r="H28" s="1289">
        <f t="shared" si="1"/>
        <v>0</v>
      </c>
      <c r="I28" s="1290">
        <f>I29+I30+I31+I32+I33+I34+I35</f>
        <v>0</v>
      </c>
      <c r="J28" s="1289">
        <f>J29+J30+J31+J32+J33+J34+J35</f>
        <v>0</v>
      </c>
      <c r="K28" s="1290">
        <f>K29+K30+K31+K32+K33+K34+K35</f>
        <v>47.86</v>
      </c>
      <c r="L28" s="1290">
        <f t="shared" si="2"/>
        <v>47.86</v>
      </c>
      <c r="M28" s="1290">
        <f>M29+M30+M31+M32+M33+M34+M35</f>
        <v>0</v>
      </c>
      <c r="N28" s="1289">
        <f>N29+N30+N31+N32+N33+N34+N35</f>
        <v>0</v>
      </c>
      <c r="O28" s="1290">
        <f>O29+O30+O31+O32+O33+O34+O35</f>
        <v>506.27</v>
      </c>
      <c r="P28" s="1290">
        <f t="shared" si="3"/>
        <v>506.27</v>
      </c>
      <c r="Q28" s="1290">
        <f>Q29+Q30+Q31+Q32+Q33+Q34+Q35</f>
        <v>0</v>
      </c>
      <c r="R28" s="1290">
        <f>R29+R30+R31+R32+R33+R34+R35</f>
        <v>0</v>
      </c>
      <c r="S28" s="1290">
        <f>S29+S30+S31+S32+S33+S34+S35</f>
        <v>554.13</v>
      </c>
      <c r="T28" s="1291">
        <f t="shared" si="4"/>
        <v>554.13</v>
      </c>
      <c r="V28" s="1260"/>
    </row>
    <row r="29" spans="1:20" ht="46.5" customHeight="1">
      <c r="A29" s="1270"/>
      <c r="B29" s="1265" t="s">
        <v>32</v>
      </c>
      <c r="C29" s="1287">
        <v>0</v>
      </c>
      <c r="D29" s="1288">
        <v>0</v>
      </c>
      <c r="E29" s="1289">
        <v>0</v>
      </c>
      <c r="F29" s="1289">
        <v>0</v>
      </c>
      <c r="G29" s="1289">
        <v>0</v>
      </c>
      <c r="H29" s="1289">
        <f t="shared" si="1"/>
        <v>0</v>
      </c>
      <c r="I29" s="1290">
        <v>0</v>
      </c>
      <c r="J29" s="1289">
        <v>0</v>
      </c>
      <c r="K29" s="1290">
        <v>0</v>
      </c>
      <c r="L29" s="1290">
        <f t="shared" si="2"/>
        <v>0</v>
      </c>
      <c r="M29" s="1290">
        <v>0</v>
      </c>
      <c r="N29" s="1289">
        <v>0</v>
      </c>
      <c r="O29" s="1290">
        <v>218.28</v>
      </c>
      <c r="P29" s="1290">
        <f t="shared" si="3"/>
        <v>218.28</v>
      </c>
      <c r="Q29" s="1290">
        <f aca="true" t="shared" si="7" ref="Q29:Q35">I29+M29</f>
        <v>0</v>
      </c>
      <c r="R29" s="1290">
        <v>0</v>
      </c>
      <c r="S29" s="1290">
        <f aca="true" t="shared" si="8" ref="S29:S35">K29+O29</f>
        <v>218.28</v>
      </c>
      <c r="T29" s="1291">
        <f t="shared" si="4"/>
        <v>218.28</v>
      </c>
    </row>
    <row r="30" spans="1:20" ht="30.75" customHeight="1" hidden="1">
      <c r="A30" s="1271"/>
      <c r="B30" s="1272"/>
      <c r="C30" s="1287" t="e">
        <f t="shared" si="0"/>
        <v>#DIV/0!</v>
      </c>
      <c r="D30" s="1288"/>
      <c r="E30" s="1289"/>
      <c r="F30" s="1289"/>
      <c r="G30" s="1289"/>
      <c r="H30" s="1289">
        <f t="shared" si="1"/>
        <v>0</v>
      </c>
      <c r="I30" s="1290"/>
      <c r="J30" s="1289"/>
      <c r="K30" s="1290"/>
      <c r="L30" s="1290">
        <f t="shared" si="2"/>
        <v>0</v>
      </c>
      <c r="M30" s="1290"/>
      <c r="N30" s="1289"/>
      <c r="O30" s="1290"/>
      <c r="P30" s="1290">
        <f t="shared" si="3"/>
        <v>0</v>
      </c>
      <c r="Q30" s="1290">
        <f t="shared" si="7"/>
        <v>0</v>
      </c>
      <c r="R30" s="1290"/>
      <c r="S30" s="1290">
        <f t="shared" si="8"/>
        <v>0</v>
      </c>
      <c r="T30" s="1291">
        <f t="shared" si="4"/>
        <v>0</v>
      </c>
    </row>
    <row r="31" spans="1:20" ht="30.75" customHeight="1" hidden="1">
      <c r="A31" s="1271"/>
      <c r="B31" s="1265"/>
      <c r="C31" s="1287" t="e">
        <f t="shared" si="0"/>
        <v>#DIV/0!</v>
      </c>
      <c r="D31" s="1288"/>
      <c r="E31" s="1289"/>
      <c r="F31" s="1289"/>
      <c r="G31" s="1289"/>
      <c r="H31" s="1289">
        <f t="shared" si="1"/>
        <v>0</v>
      </c>
      <c r="I31" s="1290"/>
      <c r="J31" s="1289"/>
      <c r="K31" s="1290"/>
      <c r="L31" s="1290">
        <f t="shared" si="2"/>
        <v>0</v>
      </c>
      <c r="M31" s="1290"/>
      <c r="N31" s="1289"/>
      <c r="O31" s="1290"/>
      <c r="P31" s="1290">
        <f t="shared" si="3"/>
        <v>0</v>
      </c>
      <c r="Q31" s="1290">
        <f t="shared" si="7"/>
        <v>0</v>
      </c>
      <c r="R31" s="1290"/>
      <c r="S31" s="1290">
        <f t="shared" si="8"/>
        <v>0</v>
      </c>
      <c r="T31" s="1291">
        <f t="shared" si="4"/>
        <v>0</v>
      </c>
    </row>
    <row r="32" spans="1:20" ht="79.5" customHeight="1">
      <c r="A32" s="1271"/>
      <c r="B32" s="1265" t="s">
        <v>33</v>
      </c>
      <c r="C32" s="1287">
        <v>0</v>
      </c>
      <c r="D32" s="1288">
        <v>0</v>
      </c>
      <c r="E32" s="1289">
        <v>0</v>
      </c>
      <c r="F32" s="1289">
        <v>0</v>
      </c>
      <c r="G32" s="1289">
        <v>0</v>
      </c>
      <c r="H32" s="1289">
        <f t="shared" si="1"/>
        <v>0</v>
      </c>
      <c r="I32" s="1290">
        <v>0</v>
      </c>
      <c r="J32" s="1289">
        <v>0</v>
      </c>
      <c r="K32" s="1290">
        <v>17.12</v>
      </c>
      <c r="L32" s="1290">
        <f t="shared" si="2"/>
        <v>17.12</v>
      </c>
      <c r="M32" s="1290">
        <v>0</v>
      </c>
      <c r="N32" s="1289">
        <v>0</v>
      </c>
      <c r="O32" s="1290">
        <v>96.99</v>
      </c>
      <c r="P32" s="1290">
        <f t="shared" si="3"/>
        <v>96.99</v>
      </c>
      <c r="Q32" s="1290">
        <f t="shared" si="7"/>
        <v>0</v>
      </c>
      <c r="R32" s="1290">
        <v>0</v>
      </c>
      <c r="S32" s="1290">
        <f t="shared" si="8"/>
        <v>114.11</v>
      </c>
      <c r="T32" s="1291">
        <f t="shared" si="4"/>
        <v>114.11</v>
      </c>
    </row>
    <row r="33" spans="1:20" ht="114" customHeight="1" hidden="1">
      <c r="A33" s="1271"/>
      <c r="B33" s="1265"/>
      <c r="C33" s="1287" t="e">
        <f t="shared" si="0"/>
        <v>#DIV/0!</v>
      </c>
      <c r="D33" s="1288"/>
      <c r="E33" s="1289">
        <v>0</v>
      </c>
      <c r="F33" s="1289">
        <v>0</v>
      </c>
      <c r="G33" s="1289">
        <v>0</v>
      </c>
      <c r="H33" s="1289">
        <f t="shared" si="1"/>
        <v>0</v>
      </c>
      <c r="I33" s="1290">
        <v>0</v>
      </c>
      <c r="J33" s="1289">
        <v>0</v>
      </c>
      <c r="K33" s="1290">
        <v>0</v>
      </c>
      <c r="L33" s="1290">
        <f t="shared" si="2"/>
        <v>0</v>
      </c>
      <c r="M33" s="1290">
        <v>0</v>
      </c>
      <c r="N33" s="1289">
        <v>0</v>
      </c>
      <c r="O33" s="1290">
        <v>0</v>
      </c>
      <c r="P33" s="1290">
        <f t="shared" si="3"/>
        <v>0</v>
      </c>
      <c r="Q33" s="1290">
        <f t="shared" si="7"/>
        <v>0</v>
      </c>
      <c r="R33" s="1290">
        <v>0</v>
      </c>
      <c r="S33" s="1290">
        <f t="shared" si="8"/>
        <v>0</v>
      </c>
      <c r="T33" s="1291">
        <f t="shared" si="4"/>
        <v>0</v>
      </c>
    </row>
    <row r="34" spans="1:20" ht="91.5" customHeight="1">
      <c r="A34" s="1271"/>
      <c r="B34" s="1265" t="s">
        <v>623</v>
      </c>
      <c r="C34" s="1287">
        <v>0</v>
      </c>
      <c r="D34" s="1288">
        <v>0</v>
      </c>
      <c r="E34" s="1289">
        <v>0</v>
      </c>
      <c r="F34" s="1289">
        <v>0</v>
      </c>
      <c r="G34" s="1289">
        <v>0</v>
      </c>
      <c r="H34" s="1289">
        <f t="shared" si="1"/>
        <v>0</v>
      </c>
      <c r="I34" s="1290">
        <v>0</v>
      </c>
      <c r="J34" s="1289">
        <v>0</v>
      </c>
      <c r="K34" s="1290">
        <v>0</v>
      </c>
      <c r="L34" s="1290">
        <f t="shared" si="2"/>
        <v>0</v>
      </c>
      <c r="M34" s="1290">
        <v>0</v>
      </c>
      <c r="N34" s="1289">
        <v>0</v>
      </c>
      <c r="O34" s="1290">
        <v>16.8</v>
      </c>
      <c r="P34" s="1290">
        <f t="shared" si="3"/>
        <v>16.8</v>
      </c>
      <c r="Q34" s="1290">
        <f t="shared" si="7"/>
        <v>0</v>
      </c>
      <c r="R34" s="1290">
        <v>0</v>
      </c>
      <c r="S34" s="1290">
        <f t="shared" si="8"/>
        <v>16.8</v>
      </c>
      <c r="T34" s="1291">
        <f t="shared" si="4"/>
        <v>16.8</v>
      </c>
    </row>
    <row r="35" spans="1:20" ht="39" customHeight="1">
      <c r="A35" s="1273"/>
      <c r="B35" s="1274" t="s">
        <v>34</v>
      </c>
      <c r="C35" s="1292">
        <v>0</v>
      </c>
      <c r="D35" s="1293">
        <v>0</v>
      </c>
      <c r="E35" s="1294">
        <v>0</v>
      </c>
      <c r="F35" s="1294">
        <v>0</v>
      </c>
      <c r="G35" s="1294">
        <v>0</v>
      </c>
      <c r="H35" s="1294">
        <f t="shared" si="1"/>
        <v>0</v>
      </c>
      <c r="I35" s="1295">
        <v>0</v>
      </c>
      <c r="J35" s="1294">
        <v>0</v>
      </c>
      <c r="K35" s="1295">
        <f>20.1759+10.56525</f>
        <v>30.74</v>
      </c>
      <c r="L35" s="1295">
        <f t="shared" si="2"/>
        <v>30.74</v>
      </c>
      <c r="M35" s="1295">
        <v>0</v>
      </c>
      <c r="N35" s="1294">
        <v>0</v>
      </c>
      <c r="O35" s="1295">
        <f>59.86975+114.3301</f>
        <v>174.2</v>
      </c>
      <c r="P35" s="1295">
        <f t="shared" si="3"/>
        <v>174.2</v>
      </c>
      <c r="Q35" s="1295">
        <f t="shared" si="7"/>
        <v>0</v>
      </c>
      <c r="R35" s="1295">
        <v>0</v>
      </c>
      <c r="S35" s="1295">
        <f t="shared" si="8"/>
        <v>204.94</v>
      </c>
      <c r="T35" s="1296">
        <f t="shared" si="4"/>
        <v>204.94</v>
      </c>
    </row>
    <row r="36" spans="1:20" ht="24.75" customHeight="1">
      <c r="A36" s="1338" t="s">
        <v>449</v>
      </c>
      <c r="B36" s="1264"/>
      <c r="C36" s="1287">
        <f t="shared" si="0"/>
        <v>14099</v>
      </c>
      <c r="D36" s="1288">
        <v>0</v>
      </c>
      <c r="E36" s="1289">
        <f>E37+E38+E39+E40</f>
        <v>0</v>
      </c>
      <c r="F36" s="1289">
        <f>F37+F38+F39+F40</f>
        <v>0</v>
      </c>
      <c r="G36" s="1289">
        <f>G37+G38+G39+G40</f>
        <v>26</v>
      </c>
      <c r="H36" s="1289">
        <f t="shared" si="1"/>
        <v>26</v>
      </c>
      <c r="I36" s="1290">
        <f>I37+I38+I39+I40</f>
        <v>3635.61</v>
      </c>
      <c r="J36" s="1289">
        <f>J37+J38+J39+J40</f>
        <v>0</v>
      </c>
      <c r="K36" s="1290">
        <f>K37+K38+K39+K40</f>
        <v>265.57</v>
      </c>
      <c r="L36" s="1290">
        <f t="shared" si="2"/>
        <v>3901.18</v>
      </c>
      <c r="M36" s="1290">
        <f>M37+M38+M39+M40</f>
        <v>763.26</v>
      </c>
      <c r="N36" s="1289">
        <f>N37+N38+N39+N40</f>
        <v>0</v>
      </c>
      <c r="O36" s="1290">
        <f>O37+O38+O39+O40</f>
        <v>1396.38</v>
      </c>
      <c r="P36" s="1290">
        <f t="shared" si="3"/>
        <v>2159.64</v>
      </c>
      <c r="Q36" s="1290">
        <f>Q37+Q38+Q39+Q40</f>
        <v>4398.87</v>
      </c>
      <c r="R36" s="1290">
        <f>R37+R38+R39+R40</f>
        <v>0</v>
      </c>
      <c r="S36" s="1290">
        <f>S37+S38+S39+S40</f>
        <v>1661.95</v>
      </c>
      <c r="T36" s="1291">
        <f t="shared" si="4"/>
        <v>6060.82</v>
      </c>
    </row>
    <row r="37" spans="1:24" ht="42.75" customHeight="1">
      <c r="A37" s="1275"/>
      <c r="B37" s="1265" t="s">
        <v>35</v>
      </c>
      <c r="C37" s="1287">
        <f t="shared" si="0"/>
        <v>28203</v>
      </c>
      <c r="D37" s="1288">
        <v>0</v>
      </c>
      <c r="E37" s="1289">
        <v>0</v>
      </c>
      <c r="F37" s="1289">
        <v>0</v>
      </c>
      <c r="G37" s="1289">
        <v>2</v>
      </c>
      <c r="H37" s="1289">
        <f t="shared" si="1"/>
        <v>2</v>
      </c>
      <c r="I37" s="1290">
        <f>46.772+0.88635+53.95338</f>
        <v>101.61</v>
      </c>
      <c r="J37" s="1289">
        <v>0</v>
      </c>
      <c r="K37" s="1290">
        <f>4.56+32.2485</f>
        <v>36.81</v>
      </c>
      <c r="L37" s="1290">
        <f t="shared" si="2"/>
        <v>138.42</v>
      </c>
      <c r="M37" s="1290">
        <f>264.503+5.02095+305.73362</f>
        <v>575.26</v>
      </c>
      <c r="N37" s="1289">
        <v>0</v>
      </c>
      <c r="O37" s="1290">
        <f>25.84+182.7415</f>
        <v>208.58</v>
      </c>
      <c r="P37" s="1290">
        <f t="shared" si="3"/>
        <v>783.84</v>
      </c>
      <c r="Q37" s="1290">
        <f>I37+M37</f>
        <v>676.87</v>
      </c>
      <c r="R37" s="1290">
        <v>0</v>
      </c>
      <c r="S37" s="1290">
        <f>K37+O37</f>
        <v>245.39</v>
      </c>
      <c r="T37" s="1291">
        <f t="shared" si="4"/>
        <v>922.26</v>
      </c>
      <c r="X37" s="1260"/>
    </row>
    <row r="38" spans="1:20" ht="34.5" customHeight="1">
      <c r="A38" s="1275"/>
      <c r="B38" s="1265" t="s">
        <v>36</v>
      </c>
      <c r="C38" s="1287">
        <f t="shared" si="0"/>
        <v>12924</v>
      </c>
      <c r="D38" s="1288">
        <v>0</v>
      </c>
      <c r="E38" s="1289">
        <v>0</v>
      </c>
      <c r="F38" s="1289">
        <v>0</v>
      </c>
      <c r="G38" s="1289">
        <v>24</v>
      </c>
      <c r="H38" s="1289">
        <f t="shared" si="1"/>
        <v>24</v>
      </c>
      <c r="I38" s="1290">
        <v>3534</v>
      </c>
      <c r="J38" s="1289">
        <v>0</v>
      </c>
      <c r="K38" s="1290">
        <v>0</v>
      </c>
      <c r="L38" s="1290">
        <f t="shared" si="2"/>
        <v>3534</v>
      </c>
      <c r="M38" s="1290">
        <v>188</v>
      </c>
      <c r="N38" s="1289">
        <v>0</v>
      </c>
      <c r="O38" s="1290">
        <v>36</v>
      </c>
      <c r="P38" s="1290">
        <f t="shared" si="3"/>
        <v>224</v>
      </c>
      <c r="Q38" s="1290">
        <f>I38+M38</f>
        <v>3722</v>
      </c>
      <c r="R38" s="1290">
        <v>0</v>
      </c>
      <c r="S38" s="1290">
        <f>K38+O38</f>
        <v>36</v>
      </c>
      <c r="T38" s="1291">
        <f t="shared" si="4"/>
        <v>3758</v>
      </c>
    </row>
    <row r="39" spans="1:20" ht="34.5" customHeight="1">
      <c r="A39" s="1275"/>
      <c r="B39" s="1265" t="s">
        <v>626</v>
      </c>
      <c r="C39" s="1287">
        <v>0</v>
      </c>
      <c r="D39" s="1288">
        <v>0</v>
      </c>
      <c r="E39" s="1289">
        <v>0</v>
      </c>
      <c r="F39" s="1289">
        <v>0</v>
      </c>
      <c r="G39" s="1289">
        <v>0</v>
      </c>
      <c r="H39" s="1289">
        <f t="shared" si="1"/>
        <v>0</v>
      </c>
      <c r="I39" s="1290">
        <v>0</v>
      </c>
      <c r="J39" s="1289">
        <v>0</v>
      </c>
      <c r="K39" s="1290">
        <v>54.18</v>
      </c>
      <c r="L39" s="1290">
        <f t="shared" si="2"/>
        <v>54.18</v>
      </c>
      <c r="M39" s="1290">
        <v>0</v>
      </c>
      <c r="N39" s="1289">
        <v>0</v>
      </c>
      <c r="O39" s="1290">
        <v>162.54</v>
      </c>
      <c r="P39" s="1290">
        <f t="shared" si="3"/>
        <v>162.54</v>
      </c>
      <c r="Q39" s="1290">
        <f>I39+M39</f>
        <v>0</v>
      </c>
      <c r="R39" s="1290">
        <v>0</v>
      </c>
      <c r="S39" s="1290">
        <f>K39+O39</f>
        <v>216.72</v>
      </c>
      <c r="T39" s="1291">
        <f t="shared" si="4"/>
        <v>216.72</v>
      </c>
    </row>
    <row r="40" spans="1:20" ht="90.75" customHeight="1">
      <c r="A40" s="1276"/>
      <c r="B40" s="1265" t="s">
        <v>37</v>
      </c>
      <c r="C40" s="1287">
        <v>0</v>
      </c>
      <c r="D40" s="1288">
        <v>0</v>
      </c>
      <c r="E40" s="1289">
        <v>0</v>
      </c>
      <c r="F40" s="1289">
        <v>0</v>
      </c>
      <c r="G40" s="1289">
        <v>0</v>
      </c>
      <c r="H40" s="1289">
        <f t="shared" si="1"/>
        <v>0</v>
      </c>
      <c r="I40" s="1290">
        <v>0</v>
      </c>
      <c r="J40" s="1289">
        <v>0</v>
      </c>
      <c r="K40" s="1290">
        <v>174.58</v>
      </c>
      <c r="L40" s="1290">
        <f t="shared" si="2"/>
        <v>174.58</v>
      </c>
      <c r="M40" s="1290">
        <v>0</v>
      </c>
      <c r="N40" s="1289">
        <v>0</v>
      </c>
      <c r="O40" s="1290">
        <v>989.26</v>
      </c>
      <c r="P40" s="1290">
        <f t="shared" si="3"/>
        <v>989.26</v>
      </c>
      <c r="Q40" s="1290">
        <f>I40+M40</f>
        <v>0</v>
      </c>
      <c r="R40" s="1290">
        <v>0</v>
      </c>
      <c r="S40" s="1290">
        <f>K40+O40</f>
        <v>1163.84</v>
      </c>
      <c r="T40" s="1291">
        <f t="shared" si="4"/>
        <v>1163.84</v>
      </c>
    </row>
    <row r="41" spans="1:20" ht="25.5" customHeight="1" thickBot="1">
      <c r="A41" s="1277" t="s">
        <v>39</v>
      </c>
      <c r="B41" s="1258"/>
      <c r="C41" s="1304"/>
      <c r="D41" s="1305"/>
      <c r="E41" s="1305"/>
      <c r="F41" s="1305"/>
      <c r="G41" s="1305"/>
      <c r="H41" s="1305">
        <f t="shared" si="1"/>
        <v>0</v>
      </c>
      <c r="I41" s="1302"/>
      <c r="J41" s="1305"/>
      <c r="K41" s="1302"/>
      <c r="L41" s="1302">
        <f t="shared" si="2"/>
        <v>0</v>
      </c>
      <c r="M41" s="1302"/>
      <c r="N41" s="1305"/>
      <c r="O41" s="1302"/>
      <c r="P41" s="1302">
        <f t="shared" si="3"/>
        <v>0</v>
      </c>
      <c r="Q41" s="1302"/>
      <c r="R41" s="1302"/>
      <c r="S41" s="1302"/>
      <c r="T41" s="1303">
        <f t="shared" si="4"/>
        <v>0</v>
      </c>
    </row>
    <row r="42" spans="1:170" s="1337" customFormat="1" ht="45" customHeight="1" thickBot="1" thickTop="1">
      <c r="A42" s="1330" t="s">
        <v>450</v>
      </c>
      <c r="B42" s="1331"/>
      <c r="C42" s="1332">
        <f>Q42/H42/12*1000</f>
        <v>29723</v>
      </c>
      <c r="D42" s="1333">
        <v>0</v>
      </c>
      <c r="E42" s="1333">
        <f>E36+E27+E23+E16</f>
        <v>31</v>
      </c>
      <c r="F42" s="1333">
        <f>F36+F27+F23+F16</f>
        <v>0</v>
      </c>
      <c r="G42" s="1333">
        <f>G36+G27+G23+G16</f>
        <v>73</v>
      </c>
      <c r="H42" s="1333">
        <f t="shared" si="1"/>
        <v>104</v>
      </c>
      <c r="I42" s="1334">
        <f>I36+I27+I23+I16</f>
        <v>8152.43</v>
      </c>
      <c r="J42" s="1333">
        <f>J36+J27+J23+J16</f>
        <v>0</v>
      </c>
      <c r="K42" s="1334">
        <f>K36+K27+K23+K16</f>
        <v>3402.55</v>
      </c>
      <c r="L42" s="1334">
        <f t="shared" si="2"/>
        <v>11554.98</v>
      </c>
      <c r="M42" s="1334">
        <f>M36+M27+M23+M16</f>
        <v>28942.23</v>
      </c>
      <c r="N42" s="1333">
        <f>N36+N27+N23+N16</f>
        <v>0</v>
      </c>
      <c r="O42" s="1334">
        <f>O36+O27+O23+O16</f>
        <v>18744.86</v>
      </c>
      <c r="P42" s="1334">
        <f t="shared" si="3"/>
        <v>47687.09</v>
      </c>
      <c r="Q42" s="1334">
        <f>Q36+Q27+Q23+Q16</f>
        <v>37094.66</v>
      </c>
      <c r="R42" s="1334">
        <f>R36+R27+R23+R16</f>
        <v>0</v>
      </c>
      <c r="S42" s="1334">
        <f>S36+S27+S23+S16</f>
        <v>22147.41</v>
      </c>
      <c r="T42" s="1335">
        <f t="shared" si="4"/>
        <v>59242.07</v>
      </c>
      <c r="U42" s="1336"/>
      <c r="V42" s="1336"/>
      <c r="W42" s="1336"/>
      <c r="X42" s="1336"/>
      <c r="Y42" s="1336"/>
      <c r="Z42" s="1336"/>
      <c r="AA42" s="1336"/>
      <c r="AB42" s="1336"/>
      <c r="AC42" s="1336"/>
      <c r="AD42" s="1336"/>
      <c r="AE42" s="1336"/>
      <c r="AF42" s="1336"/>
      <c r="AG42" s="1336"/>
      <c r="AH42" s="1336"/>
      <c r="AI42" s="1336"/>
      <c r="AJ42" s="1336"/>
      <c r="AK42" s="1336"/>
      <c r="AL42" s="1336"/>
      <c r="AM42" s="1336"/>
      <c r="AN42" s="1336"/>
      <c r="AO42" s="1336"/>
      <c r="AP42" s="1336"/>
      <c r="AQ42" s="1336"/>
      <c r="AR42" s="1336"/>
      <c r="AS42" s="1336"/>
      <c r="AT42" s="1336"/>
      <c r="AU42" s="1336"/>
      <c r="AV42" s="1336"/>
      <c r="AW42" s="1336"/>
      <c r="AX42" s="1336"/>
      <c r="AY42" s="1336"/>
      <c r="AZ42" s="1336"/>
      <c r="BA42" s="1336"/>
      <c r="BB42" s="1336"/>
      <c r="BC42" s="1336"/>
      <c r="BD42" s="1336"/>
      <c r="BE42" s="1336"/>
      <c r="BF42" s="1336"/>
      <c r="BG42" s="1336"/>
      <c r="BH42" s="1336"/>
      <c r="BI42" s="1336"/>
      <c r="BJ42" s="1336"/>
      <c r="BK42" s="1336"/>
      <c r="BL42" s="1336"/>
      <c r="BM42" s="1336"/>
      <c r="BN42" s="1336"/>
      <c r="BO42" s="1336"/>
      <c r="BP42" s="1336"/>
      <c r="BQ42" s="1336"/>
      <c r="BR42" s="1336"/>
      <c r="BS42" s="1336"/>
      <c r="BT42" s="1336"/>
      <c r="BU42" s="1336"/>
      <c r="BV42" s="1336"/>
      <c r="BW42" s="1336"/>
      <c r="BX42" s="1336"/>
      <c r="BY42" s="1336"/>
      <c r="BZ42" s="1336"/>
      <c r="CA42" s="1336"/>
      <c r="CB42" s="1336"/>
      <c r="CC42" s="1336"/>
      <c r="CD42" s="1336"/>
      <c r="CE42" s="1336"/>
      <c r="CF42" s="1336"/>
      <c r="CG42" s="1336"/>
      <c r="CH42" s="1336"/>
      <c r="CI42" s="1336"/>
      <c r="CJ42" s="1336"/>
      <c r="CK42" s="1336"/>
      <c r="CL42" s="1336"/>
      <c r="CM42" s="1336"/>
      <c r="CN42" s="1336"/>
      <c r="CO42" s="1336"/>
      <c r="CP42" s="1336"/>
      <c r="CQ42" s="1336"/>
      <c r="CR42" s="1336"/>
      <c r="CS42" s="1336"/>
      <c r="CT42" s="1336"/>
      <c r="CU42" s="1336"/>
      <c r="CV42" s="1336"/>
      <c r="CW42" s="1336"/>
      <c r="CX42" s="1336"/>
      <c r="CY42" s="1336"/>
      <c r="CZ42" s="1336"/>
      <c r="DA42" s="1336"/>
      <c r="DB42" s="1336"/>
      <c r="DC42" s="1336"/>
      <c r="DD42" s="1336"/>
      <c r="DE42" s="1336"/>
      <c r="DF42" s="1336"/>
      <c r="DG42" s="1336"/>
      <c r="DH42" s="1336"/>
      <c r="DI42" s="1336"/>
      <c r="DJ42" s="1336"/>
      <c r="DK42" s="1336"/>
      <c r="DL42" s="1336"/>
      <c r="DM42" s="1336"/>
      <c r="DN42" s="1336"/>
      <c r="DO42" s="1336"/>
      <c r="DP42" s="1336"/>
      <c r="DQ42" s="1336"/>
      <c r="DR42" s="1336"/>
      <c r="DS42" s="1336"/>
      <c r="DT42" s="1336"/>
      <c r="DU42" s="1336"/>
      <c r="DV42" s="1336"/>
      <c r="DW42" s="1336"/>
      <c r="DX42" s="1336"/>
      <c r="DY42" s="1336"/>
      <c r="DZ42" s="1336"/>
      <c r="EA42" s="1336"/>
      <c r="EB42" s="1336"/>
      <c r="EC42" s="1336"/>
      <c r="ED42" s="1336"/>
      <c r="EE42" s="1336"/>
      <c r="EF42" s="1336"/>
      <c r="EG42" s="1336"/>
      <c r="EH42" s="1336"/>
      <c r="EI42" s="1336"/>
      <c r="EJ42" s="1336"/>
      <c r="EK42" s="1336"/>
      <c r="EL42" s="1336"/>
      <c r="EM42" s="1336"/>
      <c r="EN42" s="1336"/>
      <c r="EO42" s="1336"/>
      <c r="EP42" s="1336"/>
      <c r="EQ42" s="1336"/>
      <c r="ER42" s="1336"/>
      <c r="ES42" s="1336"/>
      <c r="ET42" s="1336"/>
      <c r="EU42" s="1336"/>
      <c r="EV42" s="1336"/>
      <c r="EW42" s="1336"/>
      <c r="EX42" s="1336"/>
      <c r="EY42" s="1336"/>
      <c r="EZ42" s="1336"/>
      <c r="FA42" s="1336"/>
      <c r="FB42" s="1336"/>
      <c r="FC42" s="1336"/>
      <c r="FD42" s="1336"/>
      <c r="FE42" s="1336"/>
      <c r="FF42" s="1336"/>
      <c r="FG42" s="1336"/>
      <c r="FH42" s="1336"/>
      <c r="FI42" s="1336"/>
      <c r="FJ42" s="1336"/>
      <c r="FK42" s="1336"/>
      <c r="FL42" s="1336"/>
      <c r="FM42" s="1336"/>
      <c r="FN42" s="1336"/>
    </row>
    <row r="43" spans="1:170" s="1261" customFormat="1" ht="35.25" customHeight="1" thickTop="1">
      <c r="A43" s="1278" t="s">
        <v>40</v>
      </c>
      <c r="B43" s="1278" t="s">
        <v>624</v>
      </c>
      <c r="C43" s="1306">
        <f>Q43/H43/12*1000</f>
        <v>38152</v>
      </c>
      <c r="D43" s="1307">
        <v>0</v>
      </c>
      <c r="E43" s="1308">
        <v>3</v>
      </c>
      <c r="F43" s="1309"/>
      <c r="G43" s="1310">
        <v>19</v>
      </c>
      <c r="H43" s="1310">
        <f t="shared" si="1"/>
        <v>22</v>
      </c>
      <c r="I43" s="1311">
        <f>93.83+1024.8379+195.361+195.361</f>
        <v>1509.39</v>
      </c>
      <c r="J43" s="1309"/>
      <c r="K43" s="1311">
        <f>973.62</f>
        <v>973.62</v>
      </c>
      <c r="L43" s="1311">
        <f t="shared" si="2"/>
        <v>2483.01</v>
      </c>
      <c r="M43" s="1311">
        <f>531.61+5816.844+1107.14+1107.14</f>
        <v>8562.73</v>
      </c>
      <c r="N43" s="1309"/>
      <c r="O43" s="1311">
        <f>5516.713-40.95</f>
        <v>5475.76</v>
      </c>
      <c r="P43" s="1311">
        <f t="shared" si="3"/>
        <v>14038.49</v>
      </c>
      <c r="Q43" s="1311">
        <f>I43+M43</f>
        <v>10072.12</v>
      </c>
      <c r="R43" s="1311"/>
      <c r="S43" s="1311">
        <f>K43+O43</f>
        <v>6449.38</v>
      </c>
      <c r="T43" s="1312">
        <f t="shared" si="4"/>
        <v>16521.5</v>
      </c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  <c r="AJ43" s="1044"/>
      <c r="AK43" s="1044"/>
      <c r="AL43" s="1044"/>
      <c r="AM43" s="1044"/>
      <c r="AN43" s="1044"/>
      <c r="AO43" s="1044"/>
      <c r="AP43" s="1044"/>
      <c r="AQ43" s="1044"/>
      <c r="AR43" s="1044"/>
      <c r="AS43" s="1044"/>
      <c r="AT43" s="1044"/>
      <c r="AU43" s="1044"/>
      <c r="AV43" s="1044"/>
      <c r="AW43" s="1044"/>
      <c r="AX43" s="1044"/>
      <c r="AY43" s="1044"/>
      <c r="AZ43" s="1044"/>
      <c r="BA43" s="1044"/>
      <c r="BB43" s="1044"/>
      <c r="BC43" s="1044"/>
      <c r="BD43" s="1044"/>
      <c r="BE43" s="1044"/>
      <c r="BF43" s="1044"/>
      <c r="BG43" s="1044"/>
      <c r="BH43" s="1044"/>
      <c r="BI43" s="1044"/>
      <c r="BJ43" s="1044"/>
      <c r="BK43" s="1044"/>
      <c r="BL43" s="1044"/>
      <c r="BM43" s="1044"/>
      <c r="BN43" s="1044"/>
      <c r="BO43" s="1044"/>
      <c r="BP43" s="1044"/>
      <c r="BQ43" s="1044"/>
      <c r="BR43" s="1044"/>
      <c r="BS43" s="1044"/>
      <c r="BT43" s="1044"/>
      <c r="BU43" s="1044"/>
      <c r="BV43" s="1044"/>
      <c r="BW43" s="1044"/>
      <c r="BX43" s="1044"/>
      <c r="BY43" s="1044"/>
      <c r="BZ43" s="1044"/>
      <c r="CA43" s="1044"/>
      <c r="CB43" s="1044"/>
      <c r="CC43" s="1044"/>
      <c r="CD43" s="1044"/>
      <c r="CE43" s="1044"/>
      <c r="CF43" s="1044"/>
      <c r="CG43" s="1044"/>
      <c r="CH43" s="1044"/>
      <c r="CI43" s="1044"/>
      <c r="CJ43" s="1044"/>
      <c r="CK43" s="1044"/>
      <c r="CL43" s="1044"/>
      <c r="CM43" s="1044"/>
      <c r="CN43" s="1044"/>
      <c r="CO43" s="1044"/>
      <c r="CP43" s="1044"/>
      <c r="CQ43" s="1044"/>
      <c r="CR43" s="1044"/>
      <c r="CS43" s="1044"/>
      <c r="CT43" s="1044"/>
      <c r="CU43" s="1044"/>
      <c r="CV43" s="1044"/>
      <c r="CW43" s="1044"/>
      <c r="CX43" s="1044"/>
      <c r="CY43" s="1044"/>
      <c r="CZ43" s="1044"/>
      <c r="DA43" s="1044"/>
      <c r="DB43" s="1044"/>
      <c r="DC43" s="1044"/>
      <c r="DD43" s="1044"/>
      <c r="DE43" s="1044"/>
      <c r="DF43" s="1044"/>
      <c r="DG43" s="1044"/>
      <c r="DH43" s="1044"/>
      <c r="DI43" s="1044"/>
      <c r="DJ43" s="1044"/>
      <c r="DK43" s="1044"/>
      <c r="DL43" s="1044"/>
      <c r="DM43" s="1044"/>
      <c r="DN43" s="1044"/>
      <c r="DO43" s="1044"/>
      <c r="DP43" s="1044"/>
      <c r="DQ43" s="1044"/>
      <c r="DR43" s="1044"/>
      <c r="DS43" s="1044"/>
      <c r="DT43" s="1044"/>
      <c r="DU43" s="1044"/>
      <c r="DV43" s="1044"/>
      <c r="DW43" s="1044"/>
      <c r="DX43" s="1044"/>
      <c r="DY43" s="1044"/>
      <c r="DZ43" s="1044"/>
      <c r="EA43" s="1044"/>
      <c r="EB43" s="1044"/>
      <c r="EC43" s="1044"/>
      <c r="ED43" s="1044"/>
      <c r="EE43" s="1044"/>
      <c r="EF43" s="1044"/>
      <c r="EG43" s="1044"/>
      <c r="EH43" s="1044"/>
      <c r="EI43" s="1044"/>
      <c r="EJ43" s="1044"/>
      <c r="EK43" s="1044"/>
      <c r="EL43" s="1044"/>
      <c r="EM43" s="1044"/>
      <c r="EN43" s="1044"/>
      <c r="EO43" s="1044"/>
      <c r="EP43" s="1044"/>
      <c r="EQ43" s="1044"/>
      <c r="ER43" s="1044"/>
      <c r="ES43" s="1044"/>
      <c r="ET43" s="1044"/>
      <c r="EU43" s="1044"/>
      <c r="EV43" s="1044"/>
      <c r="EW43" s="1044"/>
      <c r="EX43" s="1044"/>
      <c r="EY43" s="1044"/>
      <c r="EZ43" s="1044"/>
      <c r="FA43" s="1044"/>
      <c r="FB43" s="1044"/>
      <c r="FC43" s="1044"/>
      <c r="FD43" s="1044"/>
      <c r="FE43" s="1044"/>
      <c r="FF43" s="1044"/>
      <c r="FG43" s="1044"/>
      <c r="FH43" s="1044"/>
      <c r="FI43" s="1044"/>
      <c r="FJ43" s="1044"/>
      <c r="FK43" s="1044"/>
      <c r="FL43" s="1044"/>
      <c r="FM43" s="1044"/>
      <c r="FN43" s="1044"/>
    </row>
    <row r="44" spans="1:170" s="1261" customFormat="1" ht="19.5" customHeight="1">
      <c r="A44" s="1265" t="s">
        <v>556</v>
      </c>
      <c r="B44" s="1279"/>
      <c r="C44" s="1313"/>
      <c r="D44" s="1314"/>
      <c r="E44" s="1315"/>
      <c r="F44" s="1298"/>
      <c r="G44" s="1316"/>
      <c r="H44" s="1316"/>
      <c r="I44" s="1317"/>
      <c r="J44" s="1298"/>
      <c r="K44" s="1317"/>
      <c r="L44" s="1317"/>
      <c r="M44" s="1317"/>
      <c r="N44" s="1298"/>
      <c r="O44" s="1317"/>
      <c r="P44" s="1317"/>
      <c r="Q44" s="1317"/>
      <c r="R44" s="1317"/>
      <c r="S44" s="1317"/>
      <c r="T44" s="1318"/>
      <c r="U44" s="1044"/>
      <c r="V44" s="1044"/>
      <c r="W44" s="1044"/>
      <c r="X44" s="1044"/>
      <c r="Y44" s="1044"/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4"/>
      <c r="AJ44" s="1044"/>
      <c r="AK44" s="1044"/>
      <c r="AL44" s="1044"/>
      <c r="AM44" s="1044"/>
      <c r="AN44" s="1044"/>
      <c r="AO44" s="1044"/>
      <c r="AP44" s="1044"/>
      <c r="AQ44" s="1044"/>
      <c r="AR44" s="1044"/>
      <c r="AS44" s="1044"/>
      <c r="AT44" s="1044"/>
      <c r="AU44" s="1044"/>
      <c r="AV44" s="1044"/>
      <c r="AW44" s="1044"/>
      <c r="AX44" s="1044"/>
      <c r="AY44" s="1044"/>
      <c r="AZ44" s="1044"/>
      <c r="BA44" s="1044"/>
      <c r="BB44" s="1044"/>
      <c r="BC44" s="1044"/>
      <c r="BD44" s="1044"/>
      <c r="BE44" s="1044"/>
      <c r="BF44" s="1044"/>
      <c r="BG44" s="1044"/>
      <c r="BH44" s="1044"/>
      <c r="BI44" s="1044"/>
      <c r="BJ44" s="1044"/>
      <c r="BK44" s="1044"/>
      <c r="BL44" s="1044"/>
      <c r="BM44" s="1044"/>
      <c r="BN44" s="1044"/>
      <c r="BO44" s="1044"/>
      <c r="BP44" s="1044"/>
      <c r="BQ44" s="1044"/>
      <c r="BR44" s="1044"/>
      <c r="BS44" s="1044"/>
      <c r="BT44" s="1044"/>
      <c r="BU44" s="1044"/>
      <c r="BV44" s="1044"/>
      <c r="BW44" s="1044"/>
      <c r="BX44" s="1044"/>
      <c r="BY44" s="1044"/>
      <c r="BZ44" s="1044"/>
      <c r="CA44" s="1044"/>
      <c r="CB44" s="1044"/>
      <c r="CC44" s="1044"/>
      <c r="CD44" s="1044"/>
      <c r="CE44" s="1044"/>
      <c r="CF44" s="1044"/>
      <c r="CG44" s="1044"/>
      <c r="CH44" s="1044"/>
      <c r="CI44" s="1044"/>
      <c r="CJ44" s="1044"/>
      <c r="CK44" s="1044"/>
      <c r="CL44" s="1044"/>
      <c r="CM44" s="1044"/>
      <c r="CN44" s="1044"/>
      <c r="CO44" s="1044"/>
      <c r="CP44" s="1044"/>
      <c r="CQ44" s="1044"/>
      <c r="CR44" s="1044"/>
      <c r="CS44" s="1044"/>
      <c r="CT44" s="1044"/>
      <c r="CU44" s="1044"/>
      <c r="CV44" s="1044"/>
      <c r="CW44" s="1044"/>
      <c r="CX44" s="1044"/>
      <c r="CY44" s="1044"/>
      <c r="CZ44" s="1044"/>
      <c r="DA44" s="1044"/>
      <c r="DB44" s="1044"/>
      <c r="DC44" s="1044"/>
      <c r="DD44" s="1044"/>
      <c r="DE44" s="1044"/>
      <c r="DF44" s="1044"/>
      <c r="DG44" s="1044"/>
      <c r="DH44" s="1044"/>
      <c r="DI44" s="1044"/>
      <c r="DJ44" s="1044"/>
      <c r="DK44" s="1044"/>
      <c r="DL44" s="1044"/>
      <c r="DM44" s="1044"/>
      <c r="DN44" s="1044"/>
      <c r="DO44" s="1044"/>
      <c r="DP44" s="1044"/>
      <c r="DQ44" s="1044"/>
      <c r="DR44" s="1044"/>
      <c r="DS44" s="1044"/>
      <c r="DT44" s="1044"/>
      <c r="DU44" s="1044"/>
      <c r="DV44" s="1044"/>
      <c r="DW44" s="1044"/>
      <c r="DX44" s="1044"/>
      <c r="DY44" s="1044"/>
      <c r="DZ44" s="1044"/>
      <c r="EA44" s="1044"/>
      <c r="EB44" s="1044"/>
      <c r="EC44" s="1044"/>
      <c r="ED44" s="1044"/>
      <c r="EE44" s="1044"/>
      <c r="EF44" s="1044"/>
      <c r="EG44" s="1044"/>
      <c r="EH44" s="1044"/>
      <c r="EI44" s="1044"/>
      <c r="EJ44" s="1044"/>
      <c r="EK44" s="1044"/>
      <c r="EL44" s="1044"/>
      <c r="EM44" s="1044"/>
      <c r="EN44" s="1044"/>
      <c r="EO44" s="1044"/>
      <c r="EP44" s="1044"/>
      <c r="EQ44" s="1044"/>
      <c r="ER44" s="1044"/>
      <c r="ES44" s="1044"/>
      <c r="ET44" s="1044"/>
      <c r="EU44" s="1044"/>
      <c r="EV44" s="1044"/>
      <c r="EW44" s="1044"/>
      <c r="EX44" s="1044"/>
      <c r="EY44" s="1044"/>
      <c r="EZ44" s="1044"/>
      <c r="FA44" s="1044"/>
      <c r="FB44" s="1044"/>
      <c r="FC44" s="1044"/>
      <c r="FD44" s="1044"/>
      <c r="FE44" s="1044"/>
      <c r="FF44" s="1044"/>
      <c r="FG44" s="1044"/>
      <c r="FH44" s="1044"/>
      <c r="FI44" s="1044"/>
      <c r="FJ44" s="1044"/>
      <c r="FK44" s="1044"/>
      <c r="FL44" s="1044"/>
      <c r="FM44" s="1044"/>
      <c r="FN44" s="1044"/>
    </row>
    <row r="45" spans="1:20" ht="34.5" customHeight="1">
      <c r="A45" s="1339" t="s">
        <v>41</v>
      </c>
      <c r="B45" s="1279"/>
      <c r="C45" s="1319"/>
      <c r="D45" s="1320"/>
      <c r="E45" s="1315"/>
      <c r="F45" s="1298"/>
      <c r="G45" s="1316"/>
      <c r="H45" s="1316"/>
      <c r="I45" s="1321"/>
      <c r="J45" s="1298"/>
      <c r="K45" s="1321"/>
      <c r="L45" s="1321"/>
      <c r="M45" s="1321"/>
      <c r="N45" s="1298"/>
      <c r="O45" s="1321"/>
      <c r="P45" s="1321"/>
      <c r="Q45" s="1321"/>
      <c r="R45" s="1321"/>
      <c r="S45" s="1321"/>
      <c r="T45" s="1322"/>
    </row>
    <row r="46" spans="1:20" ht="19.5" customHeight="1" thickBot="1">
      <c r="A46" s="1340" t="s">
        <v>42</v>
      </c>
      <c r="B46" s="1281"/>
      <c r="C46" s="1323">
        <f>Q46/H46/12*1000</f>
        <v>27462</v>
      </c>
      <c r="D46" s="1324">
        <v>0</v>
      </c>
      <c r="E46" s="1325">
        <f>E42-E43</f>
        <v>28</v>
      </c>
      <c r="F46" s="1326">
        <f>F42-F43</f>
        <v>0</v>
      </c>
      <c r="G46" s="1327">
        <f>G42-G43</f>
        <v>54</v>
      </c>
      <c r="H46" s="1327">
        <f>E46+G46+F46</f>
        <v>82</v>
      </c>
      <c r="I46" s="1328">
        <f>I42-I43</f>
        <v>6643.04</v>
      </c>
      <c r="J46" s="1326">
        <f>J42-J43</f>
        <v>0</v>
      </c>
      <c r="K46" s="1328">
        <f>K42-K43</f>
        <v>2428.93</v>
      </c>
      <c r="L46" s="1328">
        <f>I46+K46+J46</f>
        <v>9071.97</v>
      </c>
      <c r="M46" s="1328">
        <f>M42-M43</f>
        <v>20379.5</v>
      </c>
      <c r="N46" s="1326">
        <f>N42-N43</f>
        <v>0</v>
      </c>
      <c r="O46" s="1328">
        <f>O42-O43</f>
        <v>13269.1</v>
      </c>
      <c r="P46" s="1328">
        <f>M46+O46+N46</f>
        <v>33648.6</v>
      </c>
      <c r="Q46" s="1328">
        <f>I46+M46</f>
        <v>27022.54</v>
      </c>
      <c r="R46" s="1328">
        <f>R42-R43</f>
        <v>0</v>
      </c>
      <c r="S46" s="1328">
        <f>K46+O46</f>
        <v>15698.03</v>
      </c>
      <c r="T46" s="1329">
        <f>Q46+S46+R46</f>
        <v>42720.57</v>
      </c>
    </row>
    <row r="47" spans="1:20" ht="22.5" customHeight="1">
      <c r="A47" s="1500"/>
      <c r="B47" s="1500"/>
      <c r="C47" s="1500"/>
      <c r="D47" s="1500"/>
      <c r="E47" s="1500"/>
      <c r="F47" s="1500"/>
      <c r="G47" s="1500"/>
      <c r="H47" s="1500"/>
      <c r="I47" s="1500"/>
      <c r="J47" s="1500"/>
      <c r="K47" s="1500"/>
      <c r="L47" s="1500"/>
      <c r="M47" s="1500"/>
      <c r="N47" s="1500"/>
      <c r="O47" s="1500"/>
      <c r="P47" s="1500"/>
      <c r="Q47" s="1500"/>
      <c r="R47" s="1500"/>
      <c r="S47" s="1500"/>
      <c r="T47" s="1500"/>
    </row>
    <row r="48" spans="1:165" s="1086" customFormat="1" ht="24" customHeight="1">
      <c r="A48" s="1081" t="s">
        <v>529</v>
      </c>
      <c r="B48" s="1081"/>
      <c r="C48" s="1081"/>
      <c r="D48" s="1081"/>
      <c r="G48" s="1491" t="s">
        <v>451</v>
      </c>
      <c r="H48" s="1491"/>
      <c r="I48" s="1491"/>
      <c r="J48" s="1491"/>
      <c r="K48" s="1491"/>
      <c r="L48" s="1491"/>
      <c r="M48" s="1491"/>
      <c r="N48" s="1491"/>
      <c r="P48" s="1087"/>
      <c r="Q48" s="1087"/>
      <c r="R48" s="1081" t="s">
        <v>530</v>
      </c>
      <c r="S48" s="1087"/>
      <c r="T48" s="1087"/>
      <c r="U48" s="1087"/>
      <c r="V48" s="1087"/>
      <c r="W48" s="1087"/>
      <c r="X48" s="1087"/>
      <c r="Y48" s="1087"/>
      <c r="Z48" s="1087"/>
      <c r="AA48" s="1087"/>
      <c r="AB48" s="1087"/>
      <c r="AC48" s="1087"/>
      <c r="AD48" s="1087"/>
      <c r="AE48" s="1087"/>
      <c r="AF48" s="1087"/>
      <c r="AG48" s="1087"/>
      <c r="AH48" s="1087"/>
      <c r="AI48" s="1087"/>
      <c r="AJ48" s="1087"/>
      <c r="AK48" s="1087"/>
      <c r="AL48" s="1087"/>
      <c r="AM48" s="1087"/>
      <c r="AN48" s="1087"/>
      <c r="AO48" s="1087"/>
      <c r="AP48" s="1087"/>
      <c r="AQ48" s="1087"/>
      <c r="AR48" s="1087"/>
      <c r="AS48" s="1087"/>
      <c r="AT48" s="1087"/>
      <c r="AU48" s="1087"/>
      <c r="AV48" s="1087"/>
      <c r="AW48" s="1087"/>
      <c r="AX48" s="1087"/>
      <c r="AY48" s="1087"/>
      <c r="AZ48" s="1087"/>
      <c r="BA48" s="1087"/>
      <c r="BB48" s="1087"/>
      <c r="BC48" s="1087"/>
      <c r="BD48" s="1087"/>
      <c r="BE48" s="1087"/>
      <c r="BF48" s="1087"/>
      <c r="BG48" s="1087"/>
      <c r="BH48" s="1087"/>
      <c r="BI48" s="1087"/>
      <c r="BJ48" s="1087"/>
      <c r="BK48" s="1087"/>
      <c r="BL48" s="1087"/>
      <c r="BM48" s="1087"/>
      <c r="BN48" s="1087"/>
      <c r="BO48" s="1087"/>
      <c r="BP48" s="1087"/>
      <c r="BQ48" s="1087"/>
      <c r="BR48" s="1087"/>
      <c r="BS48" s="1087"/>
      <c r="BT48" s="1087"/>
      <c r="BU48" s="1087"/>
      <c r="BV48" s="1087"/>
      <c r="BW48" s="1087"/>
      <c r="BX48" s="1087"/>
      <c r="BY48" s="1087"/>
      <c r="BZ48" s="1087"/>
      <c r="CA48" s="1087"/>
      <c r="CB48" s="1087"/>
      <c r="CC48" s="1087"/>
      <c r="CD48" s="1087"/>
      <c r="CE48" s="1087"/>
      <c r="CF48" s="1087"/>
      <c r="CG48" s="1087"/>
      <c r="CH48" s="1087"/>
      <c r="CI48" s="1087"/>
      <c r="CJ48" s="1087"/>
      <c r="CK48" s="1087"/>
      <c r="CL48" s="1087"/>
      <c r="CM48" s="1087"/>
      <c r="CN48" s="1087"/>
      <c r="CO48" s="1087"/>
      <c r="CP48" s="1087"/>
      <c r="CQ48" s="1087"/>
      <c r="CR48" s="1087"/>
      <c r="CS48" s="1087"/>
      <c r="CT48" s="1087"/>
      <c r="CU48" s="1087"/>
      <c r="CV48" s="1087"/>
      <c r="CW48" s="1087"/>
      <c r="CX48" s="1087"/>
      <c r="CY48" s="1087"/>
      <c r="CZ48" s="1087"/>
      <c r="DA48" s="1087"/>
      <c r="DB48" s="1087"/>
      <c r="DC48" s="1087"/>
      <c r="DD48" s="1087"/>
      <c r="DE48" s="1087"/>
      <c r="DF48" s="1087"/>
      <c r="DG48" s="1087"/>
      <c r="DH48" s="1087"/>
      <c r="DI48" s="1087"/>
      <c r="DJ48" s="1087"/>
      <c r="DK48" s="1087"/>
      <c r="DL48" s="1087"/>
      <c r="DM48" s="1087"/>
      <c r="DN48" s="1087"/>
      <c r="DO48" s="1087"/>
      <c r="DP48" s="1087"/>
      <c r="DQ48" s="1087"/>
      <c r="DR48" s="1087"/>
      <c r="DS48" s="1087"/>
      <c r="DT48" s="1087"/>
      <c r="DU48" s="1087"/>
      <c r="DV48" s="1087"/>
      <c r="DW48" s="1087"/>
      <c r="DX48" s="1087"/>
      <c r="DY48" s="1087"/>
      <c r="DZ48" s="1087"/>
      <c r="EA48" s="1087"/>
      <c r="EB48" s="1087"/>
      <c r="EC48" s="1087"/>
      <c r="ED48" s="1087"/>
      <c r="EE48" s="1087"/>
      <c r="EF48" s="1087"/>
      <c r="EG48" s="1087"/>
      <c r="EH48" s="1087"/>
      <c r="EI48" s="1087"/>
      <c r="EJ48" s="1087"/>
      <c r="EK48" s="1087"/>
      <c r="EL48" s="1087"/>
      <c r="EM48" s="1087"/>
      <c r="EN48" s="1087"/>
      <c r="EO48" s="1087"/>
      <c r="EP48" s="1087"/>
      <c r="EQ48" s="1087"/>
      <c r="ER48" s="1087"/>
      <c r="ES48" s="1087"/>
      <c r="ET48" s="1087"/>
      <c r="EU48" s="1087"/>
      <c r="EV48" s="1087"/>
      <c r="EW48" s="1087"/>
      <c r="EX48" s="1087"/>
      <c r="EY48" s="1087"/>
      <c r="EZ48" s="1087"/>
      <c r="FA48" s="1087"/>
      <c r="FB48" s="1087"/>
      <c r="FC48" s="1087"/>
      <c r="FD48" s="1087"/>
      <c r="FE48" s="1087"/>
      <c r="FF48" s="1087"/>
      <c r="FG48" s="1087"/>
      <c r="FH48" s="1087"/>
      <c r="FI48" s="1087"/>
    </row>
    <row r="49" ht="15">
      <c r="G49" s="1082"/>
    </row>
  </sheetData>
  <sheetProtection/>
  <mergeCells count="33">
    <mergeCell ref="E8:E10"/>
    <mergeCell ref="S8:S10"/>
    <mergeCell ref="L8:L10"/>
    <mergeCell ref="K8:K10"/>
    <mergeCell ref="Q8:Q10"/>
    <mergeCell ref="I5:T5"/>
    <mergeCell ref="Q6:T6"/>
    <mergeCell ref="Q7:T7"/>
    <mergeCell ref="O8:O10"/>
    <mergeCell ref="I7:L7"/>
    <mergeCell ref="J8:J10"/>
    <mergeCell ref="N8:N10"/>
    <mergeCell ref="R8:R10"/>
    <mergeCell ref="A5:A11"/>
    <mergeCell ref="M6:P6"/>
    <mergeCell ref="I8:I10"/>
    <mergeCell ref="P8:P10"/>
    <mergeCell ref="M8:M10"/>
    <mergeCell ref="I6:L6"/>
    <mergeCell ref="B5:B10"/>
    <mergeCell ref="C5:C10"/>
    <mergeCell ref="E5:H7"/>
    <mergeCell ref="G8:G10"/>
    <mergeCell ref="K48:N48"/>
    <mergeCell ref="S1:T1"/>
    <mergeCell ref="A3:T3"/>
    <mergeCell ref="G48:J48"/>
    <mergeCell ref="F8:F10"/>
    <mergeCell ref="D5:D10"/>
    <mergeCell ref="A47:T47"/>
    <mergeCell ref="H8:H10"/>
    <mergeCell ref="T8:T10"/>
    <mergeCell ref="M7:P7"/>
  </mergeCells>
  <printOptions horizontalCentered="1"/>
  <pageMargins left="0.3937007874015748" right="0.3937007874015748" top="0.8267716535433072" bottom="0.4330708661417323" header="0.7874015748031497" footer="0.1968503937007874"/>
  <pageSetup blackAndWhite="1" horizontalDpi="600" verticalDpi="600" orientation="landscape" paperSize="9" scale="35" r:id="rId1"/>
  <headerFooter alignWithMargins="0">
    <oddFooter>&amp;C&amp;18&amp;P+54&amp;16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R79"/>
  <sheetViews>
    <sheetView showGridLines="0" zoomScale="70" zoomScaleNormal="70" workbookViewId="0" topLeftCell="A58">
      <selection activeCell="B4" sqref="B4:H4"/>
    </sheetView>
  </sheetViews>
  <sheetFormatPr defaultColWidth="9.00390625" defaultRowHeight="12.75"/>
  <cols>
    <col min="1" max="1" width="2.125" style="40" customWidth="1"/>
    <col min="2" max="2" width="50.375" style="40" customWidth="1"/>
    <col min="3" max="5" width="20.75390625" style="40" customWidth="1"/>
    <col min="6" max="6" width="20.375" style="40" customWidth="1"/>
    <col min="7" max="7" width="29.75390625" style="40" customWidth="1"/>
    <col min="8" max="8" width="15.25390625" style="40" customWidth="1"/>
    <col min="9" max="9" width="1.875" style="40" customWidth="1"/>
    <col min="10" max="16384" width="9.125" style="40" customWidth="1"/>
  </cols>
  <sheetData>
    <row r="1" spans="2:9" ht="21" customHeight="1">
      <c r="B1" s="843" t="s">
        <v>845</v>
      </c>
      <c r="C1" s="626"/>
      <c r="D1" s="626"/>
      <c r="E1" s="626"/>
      <c r="G1" s="1570" t="s">
        <v>815</v>
      </c>
      <c r="H1" s="1570"/>
      <c r="I1" s="626"/>
    </row>
    <row r="2" spans="2:5" ht="14.25" customHeight="1">
      <c r="B2" s="627" t="s">
        <v>668</v>
      </c>
      <c r="C2" s="626"/>
      <c r="D2" s="626"/>
      <c r="E2" s="626"/>
    </row>
    <row r="3" spans="2:5" ht="22.5" customHeight="1" thickBot="1">
      <c r="B3" s="627"/>
      <c r="C3" s="626"/>
      <c r="D3" s="626"/>
      <c r="E3" s="626"/>
    </row>
    <row r="4" spans="2:9" ht="29.25" customHeight="1">
      <c r="B4" s="1545" t="s">
        <v>642</v>
      </c>
      <c r="C4" s="1556"/>
      <c r="D4" s="1556"/>
      <c r="E4" s="1556"/>
      <c r="F4" s="1556"/>
      <c r="G4" s="1556"/>
      <c r="H4" s="1557"/>
      <c r="I4" s="561"/>
    </row>
    <row r="5" spans="2:9" ht="12.75" customHeight="1" thickBot="1">
      <c r="B5" s="628"/>
      <c r="C5" s="629"/>
      <c r="D5" s="629"/>
      <c r="E5" s="629"/>
      <c r="F5" s="629"/>
      <c r="G5" s="629"/>
      <c r="H5" s="630" t="s">
        <v>582</v>
      </c>
      <c r="I5" s="631"/>
    </row>
    <row r="6" spans="2:9" ht="18" customHeight="1">
      <c r="B6" s="1558" t="s">
        <v>643</v>
      </c>
      <c r="C6" s="1548" t="s">
        <v>584</v>
      </c>
      <c r="D6" s="1483"/>
      <c r="E6" s="1553" t="s">
        <v>585</v>
      </c>
      <c r="F6" s="1555" t="s">
        <v>644</v>
      </c>
      <c r="G6" s="1561"/>
      <c r="H6" s="1562" t="s">
        <v>586</v>
      </c>
      <c r="I6" s="632"/>
    </row>
    <row r="7" spans="2:9" ht="69.75" customHeight="1" thickBot="1">
      <c r="B7" s="1559"/>
      <c r="C7" s="633" t="s">
        <v>843</v>
      </c>
      <c r="D7" s="634" t="s">
        <v>1</v>
      </c>
      <c r="E7" s="1560"/>
      <c r="F7" s="635" t="s">
        <v>645</v>
      </c>
      <c r="G7" s="636" t="s">
        <v>646</v>
      </c>
      <c r="H7" s="1563"/>
      <c r="I7" s="619"/>
    </row>
    <row r="8" spans="2:9" s="637" customFormat="1" ht="19.5" customHeight="1" thickBot="1">
      <c r="B8" s="1542" t="s">
        <v>593</v>
      </c>
      <c r="C8" s="1543"/>
      <c r="D8" s="1543"/>
      <c r="E8" s="1543"/>
      <c r="F8" s="1543"/>
      <c r="G8" s="1543"/>
      <c r="H8" s="1571"/>
      <c r="I8" s="561"/>
    </row>
    <row r="9" spans="2:9" ht="19.5" customHeight="1">
      <c r="B9" s="638"/>
      <c r="C9" s="639"/>
      <c r="D9" s="640"/>
      <c r="E9" s="641"/>
      <c r="F9" s="642"/>
      <c r="G9" s="643"/>
      <c r="H9" s="644"/>
      <c r="I9" s="556"/>
    </row>
    <row r="10" spans="2:9" ht="19.5" customHeight="1" thickBot="1">
      <c r="B10" s="647"/>
      <c r="C10" s="648"/>
      <c r="D10" s="649"/>
      <c r="E10" s="650"/>
      <c r="F10" s="651"/>
      <c r="G10" s="652"/>
      <c r="H10" s="653"/>
      <c r="I10" s="556"/>
    </row>
    <row r="11" spans="2:10" s="446" customFormat="1" ht="15.75" thickBot="1">
      <c r="B11" s="1542" t="s">
        <v>598</v>
      </c>
      <c r="C11" s="1543"/>
      <c r="D11" s="1543"/>
      <c r="E11" s="1543"/>
      <c r="F11" s="1543"/>
      <c r="G11" s="1543"/>
      <c r="H11" s="1544"/>
      <c r="I11" s="654"/>
      <c r="J11" s="637"/>
    </row>
    <row r="12" spans="2:9" s="627" customFormat="1" ht="19.5" customHeight="1">
      <c r="B12" s="787" t="s">
        <v>599</v>
      </c>
      <c r="C12" s="788">
        <v>157336</v>
      </c>
      <c r="D12" s="789">
        <v>157336</v>
      </c>
      <c r="E12" s="789">
        <v>319702.67</v>
      </c>
      <c r="F12" s="790"/>
      <c r="G12" s="791"/>
      <c r="H12" s="792">
        <f aca="true" t="shared" si="0" ref="H12:H19">E12/D12</f>
        <v>2.032</v>
      </c>
      <c r="I12" s="684"/>
    </row>
    <row r="13" spans="2:9" s="627" customFormat="1" ht="19.5" customHeight="1">
      <c r="B13" s="793" t="s">
        <v>562</v>
      </c>
      <c r="C13" s="794">
        <v>28052</v>
      </c>
      <c r="D13" s="795">
        <v>570013</v>
      </c>
      <c r="E13" s="795">
        <f>907944.31+1038.23</f>
        <v>908982.54</v>
      </c>
      <c r="F13" s="796"/>
      <c r="G13" s="797"/>
      <c r="H13" s="798">
        <f t="shared" si="0"/>
        <v>1.5947</v>
      </c>
      <c r="I13" s="684"/>
    </row>
    <row r="14" spans="2:9" s="627" customFormat="1" ht="19.5" customHeight="1">
      <c r="B14" s="793" t="s">
        <v>600</v>
      </c>
      <c r="C14" s="794">
        <v>1759</v>
      </c>
      <c r="D14" s="795">
        <v>2715</v>
      </c>
      <c r="E14" s="795">
        <v>0</v>
      </c>
      <c r="F14" s="796"/>
      <c r="G14" s="797"/>
      <c r="H14" s="798">
        <f t="shared" si="0"/>
        <v>0</v>
      </c>
      <c r="I14" s="684"/>
    </row>
    <row r="15" spans="2:9" s="627" customFormat="1" ht="19.5" customHeight="1">
      <c r="B15" s="793" t="s">
        <v>601</v>
      </c>
      <c r="C15" s="794">
        <v>9921</v>
      </c>
      <c r="D15" s="795">
        <v>10678</v>
      </c>
      <c r="E15" s="795">
        <v>16258.14</v>
      </c>
      <c r="F15" s="796"/>
      <c r="G15" s="797"/>
      <c r="H15" s="798">
        <f t="shared" si="0"/>
        <v>1.5226</v>
      </c>
      <c r="I15" s="684"/>
    </row>
    <row r="16" spans="2:9" s="627" customFormat="1" ht="19.5" customHeight="1">
      <c r="B16" s="793" t="s">
        <v>602</v>
      </c>
      <c r="C16" s="794">
        <v>41452</v>
      </c>
      <c r="D16" s="795">
        <v>33653</v>
      </c>
      <c r="E16" s="795">
        <v>8839.67</v>
      </c>
      <c r="F16" s="796"/>
      <c r="G16" s="797"/>
      <c r="H16" s="798">
        <f t="shared" si="0"/>
        <v>0.2627</v>
      </c>
      <c r="I16" s="684"/>
    </row>
    <row r="17" spans="2:9" s="627" customFormat="1" ht="19.5" customHeight="1">
      <c r="B17" s="793" t="s">
        <v>647</v>
      </c>
      <c r="C17" s="794">
        <v>78936</v>
      </c>
      <c r="D17" s="795">
        <v>75936</v>
      </c>
      <c r="E17" s="795">
        <v>78971.41</v>
      </c>
      <c r="F17" s="796">
        <v>30211.6</v>
      </c>
      <c r="G17" s="797"/>
      <c r="H17" s="798">
        <f t="shared" si="0"/>
        <v>1.04</v>
      </c>
      <c r="I17" s="684"/>
    </row>
    <row r="18" spans="2:9" s="627" customFormat="1" ht="19.5" customHeight="1">
      <c r="B18" s="793" t="s">
        <v>604</v>
      </c>
      <c r="C18" s="794">
        <v>7598</v>
      </c>
      <c r="D18" s="795">
        <v>7598</v>
      </c>
      <c r="E18" s="795">
        <v>3271.93</v>
      </c>
      <c r="F18" s="796">
        <v>258.71</v>
      </c>
      <c r="G18" s="797"/>
      <c r="H18" s="798">
        <f t="shared" si="0"/>
        <v>0.4306</v>
      </c>
      <c r="I18" s="684"/>
    </row>
    <row r="19" spans="2:9" s="627" customFormat="1" ht="19.5" customHeight="1">
      <c r="B19" s="793" t="s">
        <v>648</v>
      </c>
      <c r="C19" s="794">
        <v>1775</v>
      </c>
      <c r="D19" s="795">
        <v>1775</v>
      </c>
      <c r="E19" s="795">
        <v>1559.65</v>
      </c>
      <c r="F19" s="796"/>
      <c r="G19" s="797"/>
      <c r="H19" s="798">
        <f t="shared" si="0"/>
        <v>0.8787</v>
      </c>
      <c r="I19" s="684"/>
    </row>
    <row r="20" spans="2:9" s="627" customFormat="1" ht="19.5" customHeight="1">
      <c r="B20" s="799" t="s">
        <v>649</v>
      </c>
      <c r="C20" s="800">
        <v>0</v>
      </c>
      <c r="D20" s="801">
        <v>0</v>
      </c>
      <c r="E20" s="719">
        <v>7293.89</v>
      </c>
      <c r="F20" s="718"/>
      <c r="G20" s="802"/>
      <c r="H20" s="798"/>
      <c r="I20" s="684"/>
    </row>
    <row r="21" spans="2:9" s="627" customFormat="1" ht="19.5" customHeight="1" thickBot="1">
      <c r="B21" s="803"/>
      <c r="C21" s="804"/>
      <c r="D21" s="805"/>
      <c r="E21" s="805"/>
      <c r="F21" s="806"/>
      <c r="G21" s="807"/>
      <c r="H21" s="808"/>
      <c r="I21" s="684"/>
    </row>
    <row r="22" spans="2:9" s="637" customFormat="1" ht="19.5" customHeight="1" thickBot="1">
      <c r="B22" s="1572" t="s">
        <v>607</v>
      </c>
      <c r="C22" s="1573"/>
      <c r="D22" s="1573"/>
      <c r="E22" s="1573"/>
      <c r="F22" s="1573"/>
      <c r="G22" s="1573"/>
      <c r="H22" s="1574"/>
      <c r="I22" s="654"/>
    </row>
    <row r="23" spans="2:9" s="627" customFormat="1" ht="19.5" customHeight="1">
      <c r="B23" s="645"/>
      <c r="C23" s="639"/>
      <c r="D23" s="640"/>
      <c r="E23" s="641"/>
      <c r="F23" s="642"/>
      <c r="G23" s="655"/>
      <c r="H23" s="809"/>
      <c r="I23" s="684"/>
    </row>
    <row r="24" spans="2:9" s="627" customFormat="1" ht="19.5" customHeight="1" thickBot="1">
      <c r="B24" s="656"/>
      <c r="C24" s="657"/>
      <c r="D24" s="658"/>
      <c r="E24" s="650"/>
      <c r="F24" s="651"/>
      <c r="G24" s="659"/>
      <c r="H24" s="810"/>
      <c r="I24" s="684"/>
    </row>
    <row r="25" spans="2:9" s="627" customFormat="1" ht="3.75" customHeight="1" thickBot="1">
      <c r="B25" s="811"/>
      <c r="C25" s="812"/>
      <c r="D25" s="812"/>
      <c r="E25" s="812"/>
      <c r="F25" s="812"/>
      <c r="G25" s="812"/>
      <c r="H25" s="813"/>
      <c r="I25" s="684"/>
    </row>
    <row r="26" spans="2:9" s="389" customFormat="1" ht="19.5" customHeight="1">
      <c r="B26" s="660" t="s">
        <v>650</v>
      </c>
      <c r="C26" s="661">
        <f>SUM(C12:C21)</f>
        <v>326829</v>
      </c>
      <c r="D26" s="662">
        <f>SUM(D12:D21)</f>
        <v>859704</v>
      </c>
      <c r="E26" s="662">
        <f>SUM(E12:E21)</f>
        <v>1344879.9</v>
      </c>
      <c r="F26" s="662">
        <f>SUM(F12:F21)</f>
        <v>30470.31</v>
      </c>
      <c r="G26" s="662">
        <f>SUM(G12:G21)</f>
        <v>0</v>
      </c>
      <c r="H26" s="814">
        <f>E26/D26</f>
        <v>1.5644</v>
      </c>
      <c r="I26" s="388"/>
    </row>
    <row r="27" spans="2:9" s="627" customFormat="1" ht="17.25" customHeight="1" hidden="1">
      <c r="B27" s="1575"/>
      <c r="C27" s="1576"/>
      <c r="D27" s="1576"/>
      <c r="E27" s="1577"/>
      <c r="F27" s="816"/>
      <c r="G27" s="815"/>
      <c r="H27" s="817"/>
      <c r="I27" s="684"/>
    </row>
    <row r="28" spans="2:9" s="627" customFormat="1" ht="19.5" customHeight="1">
      <c r="B28" s="663" t="s">
        <v>556</v>
      </c>
      <c r="C28" s="664"/>
      <c r="D28" s="665"/>
      <c r="E28" s="666"/>
      <c r="F28" s="818"/>
      <c r="G28" s="819"/>
      <c r="H28" s="820"/>
      <c r="I28" s="684"/>
    </row>
    <row r="29" spans="2:9" s="627" customFormat="1" ht="19.5" customHeight="1">
      <c r="B29" s="646" t="s">
        <v>651</v>
      </c>
      <c r="C29" s="667"/>
      <c r="D29" s="668"/>
      <c r="E29" s="666"/>
      <c r="F29" s="818"/>
      <c r="G29" s="821"/>
      <c r="H29" s="822"/>
      <c r="I29" s="684"/>
    </row>
    <row r="30" spans="2:9" s="627" customFormat="1" ht="19.5" customHeight="1">
      <c r="B30" s="646" t="s">
        <v>652</v>
      </c>
      <c r="C30" s="669">
        <f>SUM(C12:C16)</f>
        <v>238520</v>
      </c>
      <c r="D30" s="670">
        <f>SUM(D12:D16)</f>
        <v>774395</v>
      </c>
      <c r="E30" s="670">
        <f>SUM(E12:E16)</f>
        <v>1253783.02</v>
      </c>
      <c r="F30" s="670">
        <f>SUM(F12:F16)</f>
        <v>0</v>
      </c>
      <c r="G30" s="670">
        <f>SUM(G12:G16)</f>
        <v>0</v>
      </c>
      <c r="H30" s="798">
        <f>E30/D30</f>
        <v>1.619</v>
      </c>
      <c r="I30" s="684"/>
    </row>
    <row r="31" spans="2:9" s="627" customFormat="1" ht="19.5" customHeight="1">
      <c r="B31" s="646" t="s">
        <v>653</v>
      </c>
      <c r="C31" s="671"/>
      <c r="D31" s="672"/>
      <c r="E31" s="666"/>
      <c r="F31" s="818"/>
      <c r="G31" s="818"/>
      <c r="H31" s="822"/>
      <c r="I31" s="684"/>
    </row>
    <row r="32" spans="2:9" s="627" customFormat="1" ht="19.5" customHeight="1">
      <c r="B32" s="646" t="s">
        <v>654</v>
      </c>
      <c r="C32" s="673"/>
      <c r="D32" s="674"/>
      <c r="E32" s="675"/>
      <c r="F32" s="818"/>
      <c r="G32" s="818"/>
      <c r="H32" s="822"/>
      <c r="I32" s="684"/>
    </row>
    <row r="33" spans="2:9" s="627" customFormat="1" ht="19.5" customHeight="1">
      <c r="B33" s="646" t="s">
        <v>605</v>
      </c>
      <c r="C33" s="676">
        <f>C17+C18</f>
        <v>86534</v>
      </c>
      <c r="D33" s="677">
        <f>D17+D18</f>
        <v>83534</v>
      </c>
      <c r="E33" s="677">
        <f>E17+E18</f>
        <v>82243.34</v>
      </c>
      <c r="F33" s="677">
        <f>F17+F18</f>
        <v>30470.31</v>
      </c>
      <c r="G33" s="677">
        <f>G17+G18</f>
        <v>0</v>
      </c>
      <c r="H33" s="798">
        <f>E33/D33</f>
        <v>0.9845</v>
      </c>
      <c r="I33" s="684"/>
    </row>
    <row r="34" spans="2:9" s="627" customFormat="1" ht="19.5" customHeight="1">
      <c r="B34" s="646"/>
      <c r="C34" s="678"/>
      <c r="D34" s="679"/>
      <c r="E34" s="680"/>
      <c r="F34" s="818"/>
      <c r="G34" s="818"/>
      <c r="H34" s="822"/>
      <c r="I34" s="684"/>
    </row>
    <row r="35" spans="2:9" s="627" customFormat="1" ht="19.5" customHeight="1" thickBot="1">
      <c r="B35" s="681" t="s">
        <v>655</v>
      </c>
      <c r="C35" s="682">
        <f>C19+C20</f>
        <v>1775</v>
      </c>
      <c r="D35" s="683">
        <f>D19+D20</f>
        <v>1775</v>
      </c>
      <c r="E35" s="683">
        <f>E19+E20</f>
        <v>8853.54</v>
      </c>
      <c r="F35" s="683">
        <f>F19+F20</f>
        <v>0</v>
      </c>
      <c r="G35" s="683">
        <f>G19+G20</f>
        <v>0</v>
      </c>
      <c r="H35" s="808">
        <f>E35/D35</f>
        <v>4.9879</v>
      </c>
      <c r="I35" s="684"/>
    </row>
    <row r="36" spans="2:7" s="627" customFormat="1" ht="15.75" thickBot="1">
      <c r="B36" s="684"/>
      <c r="C36" s="685"/>
      <c r="D36" s="685"/>
      <c r="E36" s="685"/>
      <c r="F36" s="684"/>
      <c r="G36" s="684"/>
    </row>
    <row r="37" spans="2:9" s="627" customFormat="1" ht="25.5" customHeight="1">
      <c r="B37" s="1545" t="s">
        <v>656</v>
      </c>
      <c r="C37" s="1546"/>
      <c r="D37" s="1546"/>
      <c r="E37" s="1546"/>
      <c r="F37" s="1546"/>
      <c r="G37" s="1546"/>
      <c r="H37" s="1547"/>
      <c r="I37" s="823"/>
    </row>
    <row r="38" spans="2:9" s="627" customFormat="1" ht="15.75" thickBot="1">
      <c r="B38" s="686"/>
      <c r="C38" s="824"/>
      <c r="D38" s="824"/>
      <c r="E38" s="824"/>
      <c r="F38" s="824"/>
      <c r="G38" s="824"/>
      <c r="H38" s="687" t="s">
        <v>582</v>
      </c>
      <c r="I38" s="688"/>
    </row>
    <row r="39" spans="2:18" s="627" customFormat="1" ht="19.5" customHeight="1">
      <c r="B39" s="1558" t="s">
        <v>657</v>
      </c>
      <c r="C39" s="1566" t="s">
        <v>584</v>
      </c>
      <c r="D39" s="1567"/>
      <c r="E39" s="1553" t="s">
        <v>585</v>
      </c>
      <c r="F39" s="1555" t="s">
        <v>644</v>
      </c>
      <c r="G39" s="1552"/>
      <c r="H39" s="1562" t="s">
        <v>586</v>
      </c>
      <c r="I39" s="632"/>
      <c r="J39" s="1564"/>
      <c r="K39" s="1564"/>
      <c r="L39" s="1564"/>
      <c r="M39" s="1564"/>
      <c r="N39" s="1564"/>
      <c r="O39" s="1564"/>
      <c r="P39" s="1564"/>
      <c r="Q39" s="1564"/>
      <c r="R39" s="1564"/>
    </row>
    <row r="40" spans="2:18" s="627" customFormat="1" ht="66.75" customHeight="1">
      <c r="B40" s="1559"/>
      <c r="C40" s="689" t="s">
        <v>843</v>
      </c>
      <c r="D40" s="690" t="s">
        <v>1</v>
      </c>
      <c r="E40" s="1568"/>
      <c r="F40" s="635" t="s">
        <v>645</v>
      </c>
      <c r="G40" s="636" t="s">
        <v>646</v>
      </c>
      <c r="H40" s="1565"/>
      <c r="I40" s="632"/>
      <c r="J40" s="1564"/>
      <c r="K40" s="1564"/>
      <c r="L40" s="1564"/>
      <c r="M40" s="1564"/>
      <c r="N40" s="1564"/>
      <c r="O40" s="1564"/>
      <c r="P40" s="1564"/>
      <c r="Q40" s="1564"/>
      <c r="R40" s="1564"/>
    </row>
    <row r="41" spans="2:18" s="627" customFormat="1" ht="14.25" customHeight="1" thickBot="1">
      <c r="B41" s="1550"/>
      <c r="C41" s="825">
        <v>1</v>
      </c>
      <c r="D41" s="826">
        <v>2</v>
      </c>
      <c r="E41" s="827">
        <v>3</v>
      </c>
      <c r="F41" s="827">
        <v>4</v>
      </c>
      <c r="G41" s="826">
        <v>5</v>
      </c>
      <c r="H41" s="828" t="s">
        <v>658</v>
      </c>
      <c r="I41" s="829"/>
      <c r="J41" s="691"/>
      <c r="K41" s="691"/>
      <c r="L41" s="691"/>
      <c r="M41" s="691"/>
      <c r="N41" s="691"/>
      <c r="O41" s="691"/>
      <c r="P41" s="691"/>
      <c r="Q41" s="691"/>
      <c r="R41" s="691"/>
    </row>
    <row r="42" spans="2:18" s="627" customFormat="1" ht="19.5" customHeight="1" thickBot="1">
      <c r="B42" s="1542" t="s">
        <v>593</v>
      </c>
      <c r="C42" s="1543"/>
      <c r="D42" s="1543"/>
      <c r="E42" s="1543"/>
      <c r="F42" s="1543"/>
      <c r="G42" s="1543"/>
      <c r="H42" s="1544"/>
      <c r="I42" s="654"/>
      <c r="J42" s="692"/>
      <c r="K42" s="692"/>
      <c r="L42" s="692"/>
      <c r="M42" s="692"/>
      <c r="N42" s="692"/>
      <c r="O42" s="692"/>
      <c r="P42" s="692"/>
      <c r="Q42" s="692"/>
      <c r="R42" s="692"/>
    </row>
    <row r="43" spans="2:18" s="627" customFormat="1" ht="19.5" customHeight="1">
      <c r="B43" s="693" t="s">
        <v>639</v>
      </c>
      <c r="C43" s="694"/>
      <c r="D43" s="642"/>
      <c r="E43" s="641"/>
      <c r="F43" s="642"/>
      <c r="G43" s="642"/>
      <c r="H43" s="695"/>
      <c r="I43" s="696"/>
      <c r="J43" s="696"/>
      <c r="K43" s="696"/>
      <c r="L43" s="696"/>
      <c r="M43" s="696"/>
      <c r="N43" s="696"/>
      <c r="O43" s="696"/>
      <c r="P43" s="697"/>
      <c r="Q43" s="697"/>
      <c r="R43" s="697"/>
    </row>
    <row r="44" spans="2:18" s="627" customFormat="1" ht="19.5" customHeight="1">
      <c r="B44" s="698" t="s">
        <v>659</v>
      </c>
      <c r="C44" s="699"/>
      <c r="D44" s="700"/>
      <c r="E44" s="701"/>
      <c r="F44" s="700"/>
      <c r="G44" s="700"/>
      <c r="H44" s="702"/>
      <c r="I44" s="696"/>
      <c r="J44" s="696"/>
      <c r="K44" s="696"/>
      <c r="L44" s="696"/>
      <c r="M44" s="696"/>
      <c r="N44" s="696"/>
      <c r="O44" s="696"/>
      <c r="P44" s="697"/>
      <c r="Q44" s="697"/>
      <c r="R44" s="697"/>
    </row>
    <row r="45" spans="2:18" s="627" customFormat="1" ht="19.5" customHeight="1" thickBot="1">
      <c r="B45" s="703" t="s">
        <v>660</v>
      </c>
      <c r="C45" s="704"/>
      <c r="D45" s="705"/>
      <c r="E45" s="706"/>
      <c r="F45" s="707"/>
      <c r="G45" s="705"/>
      <c r="H45" s="708"/>
      <c r="I45" s="709"/>
      <c r="J45" s="709"/>
      <c r="K45" s="709"/>
      <c r="L45" s="709"/>
      <c r="M45" s="709"/>
      <c r="N45" s="709"/>
      <c r="O45" s="709"/>
      <c r="P45" s="710"/>
      <c r="Q45" s="710"/>
      <c r="R45" s="710"/>
    </row>
    <row r="46" spans="1:18" s="627" customFormat="1" ht="19.5" customHeight="1" thickBot="1">
      <c r="A46" s="830"/>
      <c r="B46" s="1542" t="s">
        <v>598</v>
      </c>
      <c r="C46" s="1543"/>
      <c r="D46" s="1543"/>
      <c r="E46" s="1543"/>
      <c r="F46" s="1543"/>
      <c r="G46" s="1543"/>
      <c r="H46" s="1544"/>
      <c r="I46" s="654"/>
      <c r="J46" s="692"/>
      <c r="K46" s="692"/>
      <c r="L46" s="692"/>
      <c r="M46" s="692"/>
      <c r="N46" s="692"/>
      <c r="O46" s="692"/>
      <c r="P46" s="692"/>
      <c r="Q46" s="692"/>
      <c r="R46" s="692"/>
    </row>
    <row r="47" spans="2:18" s="627" customFormat="1" ht="19.5" customHeight="1">
      <c r="B47" s="711" t="s">
        <v>639</v>
      </c>
      <c r="C47" s="712"/>
      <c r="D47" s="713"/>
      <c r="E47" s="714"/>
      <c r="F47" s="713"/>
      <c r="G47" s="713"/>
      <c r="H47" s="715"/>
      <c r="I47" s="692"/>
      <c r="J47" s="692"/>
      <c r="K47" s="692"/>
      <c r="L47" s="692"/>
      <c r="M47" s="692"/>
      <c r="N47" s="692"/>
      <c r="O47" s="692"/>
      <c r="P47" s="692"/>
      <c r="Q47" s="692"/>
      <c r="R47" s="692"/>
    </row>
    <row r="48" spans="2:18" s="627" customFormat="1" ht="19.5" customHeight="1">
      <c r="B48" s="716" t="s">
        <v>640</v>
      </c>
      <c r="C48" s="717"/>
      <c r="D48" s="718"/>
      <c r="E48" s="719"/>
      <c r="F48" s="718"/>
      <c r="G48" s="718"/>
      <c r="H48" s="720"/>
      <c r="I48" s="692"/>
      <c r="J48" s="692"/>
      <c r="K48" s="692"/>
      <c r="L48" s="692"/>
      <c r="M48" s="692"/>
      <c r="N48" s="692"/>
      <c r="O48" s="692"/>
      <c r="P48" s="692"/>
      <c r="Q48" s="692"/>
      <c r="R48" s="692"/>
    </row>
    <row r="49" spans="2:18" s="627" customFormat="1" ht="19.5" customHeight="1">
      <c r="B49" s="716" t="s">
        <v>641</v>
      </c>
      <c r="C49" s="717"/>
      <c r="D49" s="718"/>
      <c r="E49" s="719"/>
      <c r="F49" s="718"/>
      <c r="G49" s="718"/>
      <c r="H49" s="720"/>
      <c r="I49" s="692"/>
      <c r="J49" s="692"/>
      <c r="K49" s="692"/>
      <c r="L49" s="692"/>
      <c r="M49" s="692"/>
      <c r="N49" s="692"/>
      <c r="O49" s="692"/>
      <c r="P49" s="692"/>
      <c r="Q49" s="692"/>
      <c r="R49" s="692"/>
    </row>
    <row r="50" spans="2:18" s="627" customFormat="1" ht="21.75" customHeight="1" thickBot="1">
      <c r="B50" s="681" t="s">
        <v>660</v>
      </c>
      <c r="C50" s="721"/>
      <c r="D50" s="722"/>
      <c r="E50" s="723"/>
      <c r="F50" s="722"/>
      <c r="G50" s="722"/>
      <c r="H50" s="724"/>
      <c r="I50" s="696"/>
      <c r="J50" s="696"/>
      <c r="K50" s="696"/>
      <c r="L50" s="696"/>
      <c r="M50" s="696"/>
      <c r="N50" s="696"/>
      <c r="O50" s="696"/>
      <c r="P50" s="697"/>
      <c r="Q50" s="697"/>
      <c r="R50" s="697"/>
    </row>
    <row r="51" spans="2:18" s="627" customFormat="1" ht="19.5" customHeight="1" thickBot="1">
      <c r="B51" s="1542" t="s">
        <v>607</v>
      </c>
      <c r="C51" s="1543"/>
      <c r="D51" s="1543"/>
      <c r="E51" s="1543"/>
      <c r="F51" s="1543"/>
      <c r="G51" s="1543"/>
      <c r="H51" s="1544"/>
      <c r="I51" s="654"/>
      <c r="J51" s="692"/>
      <c r="K51" s="692"/>
      <c r="L51" s="692"/>
      <c r="M51" s="692"/>
      <c r="N51" s="692"/>
      <c r="O51" s="692"/>
      <c r="P51" s="692"/>
      <c r="Q51" s="692"/>
      <c r="R51" s="692"/>
    </row>
    <row r="52" spans="2:18" s="627" customFormat="1" ht="19.5" customHeight="1">
      <c r="B52" s="693"/>
      <c r="C52" s="694"/>
      <c r="D52" s="642"/>
      <c r="E52" s="641"/>
      <c r="F52" s="642"/>
      <c r="G52" s="642"/>
      <c r="H52" s="695"/>
      <c r="I52" s="696"/>
      <c r="J52" s="696"/>
      <c r="K52" s="696"/>
      <c r="L52" s="696"/>
      <c r="M52" s="696"/>
      <c r="N52" s="696"/>
      <c r="O52" s="696"/>
      <c r="P52" s="697"/>
      <c r="Q52" s="697"/>
      <c r="R52" s="697"/>
    </row>
    <row r="53" spans="2:18" s="627" customFormat="1" ht="19.5" customHeight="1">
      <c r="B53" s="647"/>
      <c r="C53" s="648"/>
      <c r="D53" s="725"/>
      <c r="E53" s="649"/>
      <c r="F53" s="725"/>
      <c r="G53" s="725"/>
      <c r="H53" s="726"/>
      <c r="I53" s="696"/>
      <c r="J53" s="696"/>
      <c r="K53" s="696"/>
      <c r="L53" s="696"/>
      <c r="M53" s="696"/>
      <c r="N53" s="696"/>
      <c r="O53" s="696"/>
      <c r="P53" s="697"/>
      <c r="Q53" s="697"/>
      <c r="R53" s="697"/>
    </row>
    <row r="54" spans="2:18" s="627" customFormat="1" ht="19.5" customHeight="1" thickBot="1">
      <c r="B54" s="681" t="s">
        <v>660</v>
      </c>
      <c r="C54" s="721"/>
      <c r="D54" s="722"/>
      <c r="E54" s="723"/>
      <c r="F54" s="722"/>
      <c r="G54" s="722"/>
      <c r="H54" s="724"/>
      <c r="I54" s="696"/>
      <c r="J54" s="696"/>
      <c r="K54" s="696"/>
      <c r="L54" s="696"/>
      <c r="M54" s="696"/>
      <c r="N54" s="696"/>
      <c r="O54" s="696"/>
      <c r="P54" s="697"/>
      <c r="Q54" s="697"/>
      <c r="R54" s="697"/>
    </row>
    <row r="55" spans="2:18" s="627" customFormat="1" ht="3.75" customHeight="1" thickBot="1">
      <c r="B55" s="727"/>
      <c r="C55" s="728"/>
      <c r="D55" s="728"/>
      <c r="E55" s="728"/>
      <c r="F55" s="728"/>
      <c r="G55" s="728"/>
      <c r="H55" s="729"/>
      <c r="I55" s="730"/>
      <c r="J55" s="730"/>
      <c r="K55" s="730"/>
      <c r="L55" s="730"/>
      <c r="M55" s="730"/>
      <c r="N55" s="730"/>
      <c r="O55" s="730"/>
      <c r="P55" s="730"/>
      <c r="Q55" s="730"/>
      <c r="R55" s="730"/>
    </row>
    <row r="56" spans="2:18" s="627" customFormat="1" ht="19.5" customHeight="1" thickBot="1">
      <c r="B56" s="731" t="s">
        <v>661</v>
      </c>
      <c r="C56" s="732"/>
      <c r="D56" s="722"/>
      <c r="E56" s="723"/>
      <c r="F56" s="733"/>
      <c r="G56" s="722"/>
      <c r="H56" s="724"/>
      <c r="I56" s="696"/>
      <c r="J56" s="696"/>
      <c r="K56" s="696"/>
      <c r="L56" s="696"/>
      <c r="M56" s="696"/>
      <c r="N56" s="696"/>
      <c r="O56" s="696"/>
      <c r="P56" s="697"/>
      <c r="Q56" s="697"/>
      <c r="R56" s="697"/>
    </row>
    <row r="57" s="627" customFormat="1" ht="14.25" customHeight="1" thickBot="1"/>
    <row r="58" spans="2:9" s="627" customFormat="1" ht="31.5" customHeight="1">
      <c r="B58" s="1545" t="s">
        <v>662</v>
      </c>
      <c r="C58" s="1546"/>
      <c r="D58" s="1546"/>
      <c r="E58" s="1546"/>
      <c r="F58" s="1546"/>
      <c r="G58" s="1546"/>
      <c r="H58" s="1547"/>
      <c r="I58" s="823"/>
    </row>
    <row r="59" spans="2:9" s="627" customFormat="1" ht="15.75" thickBot="1">
      <c r="B59" s="686"/>
      <c r="C59" s="824"/>
      <c r="D59" s="824"/>
      <c r="E59" s="824"/>
      <c r="F59" s="824"/>
      <c r="G59" s="824"/>
      <c r="H59" s="687" t="s">
        <v>582</v>
      </c>
      <c r="I59" s="688"/>
    </row>
    <row r="60" spans="2:18" s="627" customFormat="1" ht="19.5" customHeight="1">
      <c r="B60" s="1548" t="s">
        <v>663</v>
      </c>
      <c r="C60" s="1551" t="s">
        <v>584</v>
      </c>
      <c r="D60" s="1552"/>
      <c r="E60" s="1553" t="s">
        <v>585</v>
      </c>
      <c r="F60" s="1555" t="s">
        <v>644</v>
      </c>
      <c r="G60" s="1552"/>
      <c r="H60" s="1562" t="s">
        <v>586</v>
      </c>
      <c r="I60" s="632"/>
      <c r="J60" s="1564"/>
      <c r="K60" s="1564"/>
      <c r="L60" s="1564"/>
      <c r="M60" s="1564"/>
      <c r="N60" s="1564"/>
      <c r="O60" s="1564"/>
      <c r="P60" s="1564"/>
      <c r="Q60" s="1564"/>
      <c r="R60" s="1564"/>
    </row>
    <row r="61" spans="2:18" s="627" customFormat="1" ht="64.5" customHeight="1">
      <c r="B61" s="1549"/>
      <c r="C61" s="734" t="s">
        <v>843</v>
      </c>
      <c r="D61" s="735" t="s">
        <v>1</v>
      </c>
      <c r="E61" s="1554"/>
      <c r="F61" s="635" t="s">
        <v>645</v>
      </c>
      <c r="G61" s="636" t="s">
        <v>646</v>
      </c>
      <c r="H61" s="1565"/>
      <c r="I61" s="632"/>
      <c r="J61" s="1564"/>
      <c r="K61" s="1564"/>
      <c r="L61" s="1564"/>
      <c r="M61" s="1564"/>
      <c r="N61" s="1564"/>
      <c r="O61" s="1564"/>
      <c r="P61" s="1564"/>
      <c r="Q61" s="1564"/>
      <c r="R61" s="1564"/>
    </row>
    <row r="62" spans="2:18" s="627" customFormat="1" ht="14.25" customHeight="1" thickBot="1">
      <c r="B62" s="1550"/>
      <c r="C62" s="831">
        <v>1</v>
      </c>
      <c r="D62" s="832">
        <v>2</v>
      </c>
      <c r="E62" s="827">
        <v>3</v>
      </c>
      <c r="F62" s="827">
        <v>4</v>
      </c>
      <c r="G62" s="826">
        <v>5</v>
      </c>
      <c r="H62" s="828" t="s">
        <v>658</v>
      </c>
      <c r="I62" s="829"/>
      <c r="J62" s="691"/>
      <c r="K62" s="691"/>
      <c r="L62" s="691"/>
      <c r="M62" s="691"/>
      <c r="N62" s="691"/>
      <c r="O62" s="691"/>
      <c r="P62" s="691"/>
      <c r="Q62" s="691"/>
      <c r="R62" s="691"/>
    </row>
    <row r="63" spans="2:18" s="627" customFormat="1" ht="19.5" customHeight="1" thickBot="1">
      <c r="B63" s="1542" t="s">
        <v>593</v>
      </c>
      <c r="C63" s="1543"/>
      <c r="D63" s="1543"/>
      <c r="E63" s="1543"/>
      <c r="F63" s="1543"/>
      <c r="G63" s="1543"/>
      <c r="H63" s="1544"/>
      <c r="I63" s="654"/>
      <c r="J63" s="692"/>
      <c r="K63" s="692"/>
      <c r="L63" s="692"/>
      <c r="M63" s="692"/>
      <c r="N63" s="692"/>
      <c r="O63" s="692"/>
      <c r="P63" s="692"/>
      <c r="Q63" s="692"/>
      <c r="R63" s="692"/>
    </row>
    <row r="64" spans="2:18" s="627" customFormat="1" ht="19.5" customHeight="1">
      <c r="B64" s="736"/>
      <c r="C64" s="833"/>
      <c r="D64" s="834"/>
      <c r="E64" s="834"/>
      <c r="F64" s="835"/>
      <c r="G64" s="834"/>
      <c r="H64" s="836"/>
      <c r="I64" s="654"/>
      <c r="J64" s="692"/>
      <c r="K64" s="692"/>
      <c r="L64" s="692"/>
      <c r="M64" s="692"/>
      <c r="N64" s="692"/>
      <c r="O64" s="692"/>
      <c r="P64" s="692"/>
      <c r="Q64" s="692"/>
      <c r="R64" s="692"/>
    </row>
    <row r="65" spans="2:18" s="627" customFormat="1" ht="19.5" customHeight="1">
      <c r="B65" s="737"/>
      <c r="C65" s="837"/>
      <c r="D65" s="838"/>
      <c r="E65" s="838"/>
      <c r="F65" s="839"/>
      <c r="G65" s="838"/>
      <c r="H65" s="840"/>
      <c r="I65" s="654"/>
      <c r="J65" s="692"/>
      <c r="K65" s="692"/>
      <c r="L65" s="692"/>
      <c r="M65" s="692"/>
      <c r="N65" s="692"/>
      <c r="O65" s="692"/>
      <c r="P65" s="692"/>
      <c r="Q65" s="692"/>
      <c r="R65" s="692"/>
    </row>
    <row r="66" spans="2:18" s="627" customFormat="1" ht="25.5" customHeight="1" thickBot="1">
      <c r="B66" s="681" t="s">
        <v>660</v>
      </c>
      <c r="C66" s="721"/>
      <c r="D66" s="722"/>
      <c r="E66" s="723"/>
      <c r="F66" s="722"/>
      <c r="G66" s="722"/>
      <c r="H66" s="724"/>
      <c r="I66" s="696"/>
      <c r="J66" s="696"/>
      <c r="K66" s="696"/>
      <c r="L66" s="696"/>
      <c r="M66" s="696"/>
      <c r="N66" s="696"/>
      <c r="O66" s="696"/>
      <c r="P66" s="697"/>
      <c r="Q66" s="697"/>
      <c r="R66" s="697"/>
    </row>
    <row r="67" spans="1:18" s="627" customFormat="1" ht="19.5" customHeight="1" thickBot="1">
      <c r="A67" s="830"/>
      <c r="B67" s="1542" t="s">
        <v>598</v>
      </c>
      <c r="C67" s="1543"/>
      <c r="D67" s="1543"/>
      <c r="E67" s="1543"/>
      <c r="F67" s="1543"/>
      <c r="G67" s="1543"/>
      <c r="H67" s="1544"/>
      <c r="I67" s="654"/>
      <c r="J67" s="692"/>
      <c r="K67" s="692"/>
      <c r="L67" s="692"/>
      <c r="M67" s="692"/>
      <c r="N67" s="692"/>
      <c r="O67" s="692"/>
      <c r="P67" s="692"/>
      <c r="Q67" s="692"/>
      <c r="R67" s="692"/>
    </row>
    <row r="68" spans="2:18" s="627" customFormat="1" ht="19.5" customHeight="1">
      <c r="B68" s="656" t="s">
        <v>638</v>
      </c>
      <c r="C68" s="657">
        <v>0</v>
      </c>
      <c r="D68" s="738">
        <v>0</v>
      </c>
      <c r="E68" s="739">
        <v>1353.67</v>
      </c>
      <c r="F68" s="738"/>
      <c r="G68" s="738"/>
      <c r="H68" s="798"/>
      <c r="I68" s="696"/>
      <c r="J68" s="696"/>
      <c r="K68" s="696"/>
      <c r="L68" s="696"/>
      <c r="M68" s="696"/>
      <c r="N68" s="696"/>
      <c r="O68" s="696"/>
      <c r="P68" s="697"/>
      <c r="Q68" s="697"/>
      <c r="R68" s="697"/>
    </row>
    <row r="69" spans="2:18" s="627" customFormat="1" ht="19.5" customHeight="1">
      <c r="B69" s="647" t="s">
        <v>568</v>
      </c>
      <c r="C69" s="648">
        <v>0</v>
      </c>
      <c r="D69" s="725">
        <v>0</v>
      </c>
      <c r="E69" s="740">
        <v>183.27</v>
      </c>
      <c r="F69" s="725"/>
      <c r="G69" s="725"/>
      <c r="H69" s="841"/>
      <c r="I69" s="696"/>
      <c r="J69" s="696"/>
      <c r="K69" s="696"/>
      <c r="L69" s="696"/>
      <c r="M69" s="696"/>
      <c r="N69" s="696"/>
      <c r="O69" s="696"/>
      <c r="P69" s="697"/>
      <c r="Q69" s="697"/>
      <c r="R69" s="697"/>
    </row>
    <row r="70" spans="2:18" s="627" customFormat="1" ht="21.75" customHeight="1" thickBot="1">
      <c r="B70" s="681" t="s">
        <v>660</v>
      </c>
      <c r="C70" s="741">
        <f>SUM(C68:C69)</f>
        <v>0</v>
      </c>
      <c r="D70" s="742">
        <f>SUM(D68:D69)</f>
        <v>0</v>
      </c>
      <c r="E70" s="742">
        <f>SUM(E68:E69)</f>
        <v>1536.94</v>
      </c>
      <c r="F70" s="742">
        <f>SUM(F68:F69)</f>
        <v>0</v>
      </c>
      <c r="G70" s="742">
        <f>SUM(G68:G69)</f>
        <v>0</v>
      </c>
      <c r="H70" s="842"/>
      <c r="I70" s="696"/>
      <c r="J70" s="696"/>
      <c r="K70" s="696"/>
      <c r="L70" s="696"/>
      <c r="M70" s="696"/>
      <c r="N70" s="696"/>
      <c r="O70" s="696"/>
      <c r="P70" s="697"/>
      <c r="Q70" s="697"/>
      <c r="R70" s="697"/>
    </row>
    <row r="71" spans="2:18" s="627" customFormat="1" ht="19.5" customHeight="1" thickBot="1">
      <c r="B71" s="1542" t="s">
        <v>607</v>
      </c>
      <c r="C71" s="1543"/>
      <c r="D71" s="1543"/>
      <c r="E71" s="1543"/>
      <c r="F71" s="1543"/>
      <c r="G71" s="1543"/>
      <c r="H71" s="1544"/>
      <c r="I71" s="654"/>
      <c r="J71" s="692"/>
      <c r="K71" s="692"/>
      <c r="L71" s="692"/>
      <c r="M71" s="692"/>
      <c r="N71" s="692"/>
      <c r="O71" s="692"/>
      <c r="P71" s="692"/>
      <c r="Q71" s="692"/>
      <c r="R71" s="692"/>
    </row>
    <row r="72" spans="2:18" s="627" customFormat="1" ht="19.5" customHeight="1">
      <c r="B72" s="656"/>
      <c r="C72" s="657"/>
      <c r="D72" s="738"/>
      <c r="E72" s="658"/>
      <c r="F72" s="738"/>
      <c r="G72" s="738"/>
      <c r="H72" s="743"/>
      <c r="I72" s="696"/>
      <c r="J72" s="696"/>
      <c r="K72" s="696"/>
      <c r="L72" s="696"/>
      <c r="M72" s="696"/>
      <c r="N72" s="696"/>
      <c r="O72" s="696"/>
      <c r="P72" s="697"/>
      <c r="Q72" s="697"/>
      <c r="R72" s="697"/>
    </row>
    <row r="73" spans="2:18" s="627" customFormat="1" ht="19.5" customHeight="1">
      <c r="B73" s="647"/>
      <c r="C73" s="648"/>
      <c r="D73" s="725"/>
      <c r="E73" s="649"/>
      <c r="F73" s="725"/>
      <c r="G73" s="725"/>
      <c r="H73" s="726"/>
      <c r="I73" s="696"/>
      <c r="J73" s="696"/>
      <c r="K73" s="696"/>
      <c r="L73" s="696"/>
      <c r="M73" s="696"/>
      <c r="N73" s="696"/>
      <c r="O73" s="696"/>
      <c r="P73" s="697"/>
      <c r="Q73" s="697"/>
      <c r="R73" s="697"/>
    </row>
    <row r="74" spans="2:18" s="627" customFormat="1" ht="20.25" customHeight="1" thickBot="1">
      <c r="B74" s="681" t="s">
        <v>660</v>
      </c>
      <c r="C74" s="721"/>
      <c r="D74" s="722"/>
      <c r="E74" s="723"/>
      <c r="F74" s="722"/>
      <c r="G74" s="722"/>
      <c r="H74" s="724"/>
      <c r="I74" s="696"/>
      <c r="J74" s="696"/>
      <c r="K74" s="696"/>
      <c r="L74" s="696"/>
      <c r="M74" s="696"/>
      <c r="N74" s="696"/>
      <c r="O74" s="696"/>
      <c r="P74" s="697"/>
      <c r="Q74" s="697"/>
      <c r="R74" s="697"/>
    </row>
    <row r="75" spans="2:18" s="627" customFormat="1" ht="4.5" customHeight="1" thickBot="1">
      <c r="B75" s="681"/>
      <c r="C75" s="721"/>
      <c r="D75" s="722"/>
      <c r="E75" s="723"/>
      <c r="F75" s="722"/>
      <c r="G75" s="722"/>
      <c r="H75" s="724"/>
      <c r="I75" s="696"/>
      <c r="J75" s="696"/>
      <c r="K75" s="696"/>
      <c r="L75" s="696"/>
      <c r="M75" s="696"/>
      <c r="N75" s="696"/>
      <c r="O75" s="696"/>
      <c r="P75" s="697"/>
      <c r="Q75" s="697"/>
      <c r="R75" s="697"/>
    </row>
    <row r="76" spans="2:18" s="627" customFormat="1" ht="25.5" customHeight="1" thickBot="1">
      <c r="B76" s="744" t="s">
        <v>664</v>
      </c>
      <c r="C76" s="721"/>
      <c r="D76" s="722"/>
      <c r="E76" s="723"/>
      <c r="F76" s="722"/>
      <c r="G76" s="722"/>
      <c r="H76" s="724"/>
      <c r="I76" s="696"/>
      <c r="J76" s="696"/>
      <c r="K76" s="696"/>
      <c r="L76" s="696"/>
      <c r="M76" s="696"/>
      <c r="N76" s="696"/>
      <c r="O76" s="696"/>
      <c r="P76" s="697"/>
      <c r="Q76" s="697"/>
      <c r="R76" s="697"/>
    </row>
    <row r="77" spans="2:18" ht="13.5" customHeight="1">
      <c r="B77" s="786"/>
      <c r="C77" s="696"/>
      <c r="D77" s="696"/>
      <c r="E77" s="696"/>
      <c r="F77" s="696"/>
      <c r="G77" s="696"/>
      <c r="H77" s="696"/>
      <c r="I77" s="696"/>
      <c r="J77" s="696"/>
      <c r="K77" s="696"/>
      <c r="L77" s="696"/>
      <c r="M77" s="696"/>
      <c r="N77" s="696"/>
      <c r="O77" s="696"/>
      <c r="P77" s="697"/>
      <c r="Q77" s="697"/>
      <c r="R77" s="697"/>
    </row>
    <row r="78" spans="2:8" s="784" customFormat="1" ht="21.75" customHeight="1">
      <c r="B78" s="784" t="s">
        <v>351</v>
      </c>
      <c r="D78" s="844" t="s">
        <v>352</v>
      </c>
      <c r="G78" s="1569" t="s">
        <v>530</v>
      </c>
      <c r="H78" s="1569"/>
    </row>
    <row r="79" ht="19.5" customHeight="1">
      <c r="F79" s="625"/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36">
    <mergeCell ref="G78:H78"/>
    <mergeCell ref="G1:H1"/>
    <mergeCell ref="J39:L40"/>
    <mergeCell ref="M39:O40"/>
    <mergeCell ref="B8:H8"/>
    <mergeCell ref="B11:H11"/>
    <mergeCell ref="B22:H22"/>
    <mergeCell ref="B27:E27"/>
    <mergeCell ref="B37:H37"/>
    <mergeCell ref="H60:H61"/>
    <mergeCell ref="P39:R40"/>
    <mergeCell ref="B42:H42"/>
    <mergeCell ref="J60:L61"/>
    <mergeCell ref="M60:O61"/>
    <mergeCell ref="P60:R61"/>
    <mergeCell ref="H39:H40"/>
    <mergeCell ref="B39:B41"/>
    <mergeCell ref="C39:D39"/>
    <mergeCell ref="E39:E40"/>
    <mergeCell ref="F39:G39"/>
    <mergeCell ref="B4:H4"/>
    <mergeCell ref="B6:B7"/>
    <mergeCell ref="C6:D6"/>
    <mergeCell ref="E6:E7"/>
    <mergeCell ref="F6:G6"/>
    <mergeCell ref="H6:H7"/>
    <mergeCell ref="B67:H67"/>
    <mergeCell ref="B63:H63"/>
    <mergeCell ref="B71:H71"/>
    <mergeCell ref="B46:H46"/>
    <mergeCell ref="B51:H51"/>
    <mergeCell ref="B58:H58"/>
    <mergeCell ref="B60:B62"/>
    <mergeCell ref="C60:D60"/>
    <mergeCell ref="E60:E61"/>
    <mergeCell ref="F60:G60"/>
  </mergeCells>
  <printOptions horizontalCentered="1"/>
  <pageMargins left="0.984251968503937" right="0.7874015748031497" top="0.7874015748031497" bottom="0.984251968503937" header="0.5118110236220472" footer="0.5118110236220472"/>
  <pageSetup horizontalDpi="600" verticalDpi="600" orientation="portrait" paperSize="9" scale="45" r:id="rId1"/>
  <headerFooter alignWithMargins="0">
    <oddFooter>&amp;C&amp;17&amp;P+55
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workbookViewId="0" topLeftCell="A28">
      <selection activeCell="A44" sqref="A44"/>
    </sheetView>
  </sheetViews>
  <sheetFormatPr defaultColWidth="9.00390625" defaultRowHeight="12.75"/>
  <cols>
    <col min="1" max="1" width="15.625" style="0" customWidth="1"/>
    <col min="2" max="2" width="88.125" style="0" customWidth="1"/>
    <col min="3" max="3" width="11.25390625" style="0" customWidth="1"/>
  </cols>
  <sheetData>
    <row r="1" ht="16.5" customHeight="1">
      <c r="B1" s="6" t="s">
        <v>805</v>
      </c>
    </row>
    <row r="2" ht="16.5" customHeight="1"/>
    <row r="3" ht="16.5" customHeight="1">
      <c r="A3" s="1" t="s">
        <v>820</v>
      </c>
    </row>
    <row r="4" spans="1:3" ht="16.5" customHeight="1" thickBot="1">
      <c r="A4" s="1"/>
      <c r="C4" s="5" t="s">
        <v>806</v>
      </c>
    </row>
    <row r="5" spans="1:3" ht="30" customHeight="1">
      <c r="A5" s="7" t="s">
        <v>821</v>
      </c>
      <c r="B5" s="15" t="s">
        <v>823</v>
      </c>
      <c r="C5" s="8">
        <v>1</v>
      </c>
    </row>
    <row r="6" spans="1:3" ht="30" customHeight="1" thickBot="1">
      <c r="A6" s="42" t="s">
        <v>822</v>
      </c>
      <c r="B6" s="33" t="s">
        <v>837</v>
      </c>
      <c r="C6" s="43">
        <v>3</v>
      </c>
    </row>
    <row r="7" ht="16.5" customHeight="1">
      <c r="C7" s="2"/>
    </row>
    <row r="8" spans="1:3" ht="16.5" customHeight="1">
      <c r="A8" s="1" t="s">
        <v>824</v>
      </c>
      <c r="C8" s="2"/>
    </row>
    <row r="9" spans="1:3" ht="16.5" customHeight="1" thickBot="1">
      <c r="A9" s="1"/>
      <c r="C9" s="2"/>
    </row>
    <row r="10" spans="1:3" ht="20.25" customHeight="1">
      <c r="A10" s="27" t="s">
        <v>807</v>
      </c>
      <c r="B10" s="20" t="s">
        <v>825</v>
      </c>
      <c r="C10" s="8">
        <v>36</v>
      </c>
    </row>
    <row r="11" spans="1:3" ht="20.25" customHeight="1">
      <c r="A11" s="28" t="s">
        <v>808</v>
      </c>
      <c r="B11" s="17" t="s">
        <v>826</v>
      </c>
      <c r="C11" s="12">
        <v>42</v>
      </c>
    </row>
    <row r="12" spans="1:3" ht="20.25" customHeight="1">
      <c r="A12" s="29" t="s">
        <v>809</v>
      </c>
      <c r="B12" s="21" t="s">
        <v>827</v>
      </c>
      <c r="C12" s="13">
        <v>43</v>
      </c>
    </row>
    <row r="13" spans="1:3" ht="20.25" customHeight="1">
      <c r="A13" s="30" t="s">
        <v>810</v>
      </c>
      <c r="B13" s="22" t="s">
        <v>838</v>
      </c>
      <c r="C13" s="23">
        <v>45</v>
      </c>
    </row>
    <row r="14" spans="1:3" ht="45" customHeight="1">
      <c r="A14" s="31" t="s">
        <v>811</v>
      </c>
      <c r="B14" s="16" t="s">
        <v>839</v>
      </c>
      <c r="C14" s="11">
        <v>48</v>
      </c>
    </row>
    <row r="15" spans="1:3" ht="30.75" customHeight="1">
      <c r="A15" s="28" t="s">
        <v>812</v>
      </c>
      <c r="B15" s="24" t="s">
        <v>840</v>
      </c>
      <c r="C15" s="11">
        <v>49</v>
      </c>
    </row>
    <row r="16" spans="1:3" ht="20.25" customHeight="1">
      <c r="A16" s="9" t="s">
        <v>813</v>
      </c>
      <c r="B16" s="25" t="s">
        <v>673</v>
      </c>
      <c r="C16" s="12">
        <v>50</v>
      </c>
    </row>
    <row r="17" spans="1:3" ht="30.75" customHeight="1">
      <c r="A17" s="9" t="s">
        <v>814</v>
      </c>
      <c r="B17" s="25" t="s">
        <v>841</v>
      </c>
      <c r="C17" s="11">
        <v>53</v>
      </c>
    </row>
    <row r="18" spans="1:3" ht="34.5" customHeight="1">
      <c r="A18" s="9" t="s">
        <v>842</v>
      </c>
      <c r="B18" s="25" t="s">
        <v>266</v>
      </c>
      <c r="C18" s="11">
        <v>55</v>
      </c>
    </row>
    <row r="19" spans="1:3" ht="34.5" customHeight="1">
      <c r="A19" s="31" t="s">
        <v>815</v>
      </c>
      <c r="B19" s="16" t="s">
        <v>267</v>
      </c>
      <c r="C19" s="11">
        <v>56</v>
      </c>
    </row>
    <row r="23" ht="12.75">
      <c r="B23" s="32"/>
    </row>
    <row r="26" ht="15.75">
      <c r="A26" s="1" t="s">
        <v>828</v>
      </c>
    </row>
    <row r="27" spans="1:3" ht="16.5" thickBot="1">
      <c r="A27" s="1"/>
      <c r="C27" s="14"/>
    </row>
    <row r="28" spans="1:3" ht="20.25" customHeight="1">
      <c r="A28" s="27" t="s">
        <v>831</v>
      </c>
      <c r="B28" s="20" t="s">
        <v>791</v>
      </c>
      <c r="C28" s="131">
        <v>57</v>
      </c>
    </row>
    <row r="29" spans="1:3" ht="20.25" customHeight="1">
      <c r="A29" s="31" t="s">
        <v>816</v>
      </c>
      <c r="B29" s="16" t="s">
        <v>792</v>
      </c>
      <c r="C29" s="10">
        <v>58</v>
      </c>
    </row>
    <row r="30" spans="1:3" ht="20.25" customHeight="1">
      <c r="A30" s="29" t="s">
        <v>817</v>
      </c>
      <c r="B30" s="16" t="s">
        <v>793</v>
      </c>
      <c r="C30" s="10">
        <v>59</v>
      </c>
    </row>
    <row r="31" spans="1:3" ht="20.25" customHeight="1">
      <c r="A31" s="31" t="s">
        <v>778</v>
      </c>
      <c r="B31" s="16" t="s">
        <v>794</v>
      </c>
      <c r="C31" s="132">
        <v>60</v>
      </c>
    </row>
    <row r="32" spans="1:3" ht="20.25" customHeight="1">
      <c r="A32" s="31" t="s">
        <v>779</v>
      </c>
      <c r="B32" s="16" t="s">
        <v>835</v>
      </c>
      <c r="C32" s="10">
        <v>130</v>
      </c>
    </row>
    <row r="33" spans="1:3" ht="20.25" customHeight="1">
      <c r="A33" s="31" t="s">
        <v>780</v>
      </c>
      <c r="B33" s="16" t="s">
        <v>836</v>
      </c>
      <c r="C33" s="10">
        <v>134</v>
      </c>
    </row>
    <row r="34" spans="1:3" ht="20.25" customHeight="1">
      <c r="A34" s="31" t="s">
        <v>818</v>
      </c>
      <c r="B34" s="16" t="s">
        <v>795</v>
      </c>
      <c r="C34" s="10">
        <v>138</v>
      </c>
    </row>
    <row r="35" spans="1:3" ht="20.25" customHeight="1">
      <c r="A35" s="31" t="s">
        <v>829</v>
      </c>
      <c r="B35" s="16" t="s">
        <v>796</v>
      </c>
      <c r="C35" s="10">
        <v>139</v>
      </c>
    </row>
    <row r="36" spans="1:3" ht="20.25" customHeight="1">
      <c r="A36" s="31" t="s">
        <v>834</v>
      </c>
      <c r="B36" s="16" t="s">
        <v>797</v>
      </c>
      <c r="C36" s="10">
        <v>140</v>
      </c>
    </row>
    <row r="37" spans="1:3" ht="20.25" customHeight="1">
      <c r="A37" s="31" t="s">
        <v>830</v>
      </c>
      <c r="B37" s="26" t="s">
        <v>798</v>
      </c>
      <c r="C37" s="10">
        <v>141</v>
      </c>
    </row>
    <row r="38" spans="1:3" ht="20.25" customHeight="1">
      <c r="A38" s="31" t="s">
        <v>832</v>
      </c>
      <c r="B38" s="16" t="s">
        <v>799</v>
      </c>
      <c r="C38" s="10">
        <v>142</v>
      </c>
    </row>
    <row r="39" spans="1:3" ht="30.75" customHeight="1">
      <c r="A39" s="31" t="s">
        <v>833</v>
      </c>
      <c r="B39" s="16" t="s">
        <v>339</v>
      </c>
      <c r="C39" s="10">
        <v>143</v>
      </c>
    </row>
    <row r="40" spans="1:3" ht="20.25" customHeight="1" thickBot="1">
      <c r="A40" s="41" t="s">
        <v>819</v>
      </c>
      <c r="B40" s="18" t="s">
        <v>800</v>
      </c>
      <c r="C40" s="19">
        <v>144</v>
      </c>
    </row>
    <row r="41" ht="12.75">
      <c r="A41" s="32"/>
    </row>
    <row r="42" ht="12.75">
      <c r="A42" s="32"/>
    </row>
    <row r="43" ht="12.75">
      <c r="A43" s="32"/>
    </row>
  </sheetData>
  <printOptions horizontalCentered="1"/>
  <pageMargins left="1.1811023622047245" right="0.7874015748031497" top="0.984251968503937" bottom="0.984251968503937" header="0.5118110236220472" footer="0.5118110236220472"/>
  <pageSetup fitToHeight="2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8"/>
  <sheetViews>
    <sheetView showGridLines="0" workbookViewId="0" topLeftCell="E1">
      <selection activeCell="F16" sqref="F16"/>
    </sheetView>
  </sheetViews>
  <sheetFormatPr defaultColWidth="9.00390625" defaultRowHeight="12.75"/>
  <cols>
    <col min="1" max="1" width="4.375" style="134" hidden="1" customWidth="1"/>
    <col min="2" max="2" width="6.125" style="134" hidden="1" customWidth="1"/>
    <col min="3" max="3" width="8.00390625" style="134" hidden="1" customWidth="1"/>
    <col min="4" max="4" width="8.25390625" style="134" hidden="1" customWidth="1"/>
    <col min="5" max="5" width="40.375" style="142" customWidth="1"/>
    <col min="6" max="6" width="16.625" style="142" bestFit="1" customWidth="1"/>
    <col min="7" max="9" width="15.75390625" style="142" customWidth="1"/>
    <col min="10" max="10" width="10.75390625" style="142" customWidth="1"/>
    <col min="11" max="11" width="15.375" style="142" customWidth="1"/>
    <col min="12" max="14" width="15.75390625" style="38" customWidth="1"/>
    <col min="15" max="15" width="10.75390625" style="38" hidden="1" customWidth="1"/>
    <col min="16" max="16" width="12.125" style="38" hidden="1" customWidth="1"/>
    <col min="17" max="17" width="18.625" style="141" customWidth="1"/>
    <col min="18" max="18" width="16.125" style="141" customWidth="1"/>
    <col min="19" max="19" width="14.375" style="141" bestFit="1" customWidth="1"/>
    <col min="20" max="20" width="13.375" style="141" bestFit="1" customWidth="1"/>
    <col min="21" max="28" width="9.125" style="141" customWidth="1"/>
    <col min="29" max="16384" width="9.125" style="142" customWidth="1"/>
  </cols>
  <sheetData>
    <row r="1" spans="1:18" s="136" customFormat="1" ht="13.5" customHeight="1">
      <c r="A1" s="133"/>
      <c r="B1" s="133"/>
      <c r="C1" s="134"/>
      <c r="D1" s="134"/>
      <c r="E1" s="135"/>
      <c r="J1" s="1373"/>
      <c r="K1" s="1374"/>
      <c r="L1" s="137"/>
      <c r="M1" s="137"/>
      <c r="N1" s="137"/>
      <c r="O1" s="137"/>
      <c r="P1" s="137"/>
      <c r="Q1" s="137"/>
      <c r="R1" s="137"/>
    </row>
    <row r="2" spans="1:28" ht="44.25" customHeight="1">
      <c r="A2" s="133"/>
      <c r="B2" s="138"/>
      <c r="E2" s="139" t="s">
        <v>313</v>
      </c>
      <c r="F2" s="140"/>
      <c r="G2" s="140"/>
      <c r="H2" s="140"/>
      <c r="I2" s="140"/>
      <c r="J2" s="140"/>
      <c r="K2" s="140"/>
      <c r="L2" s="141"/>
      <c r="M2" s="141"/>
      <c r="N2" s="141"/>
      <c r="O2" s="141"/>
      <c r="P2" s="141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ht="12.75" customHeight="1">
      <c r="A3" s="133"/>
      <c r="B3" s="138"/>
      <c r="E3" s="143" t="str">
        <f>"Období: "&amp;'[2]Druhova'!B1</f>
        <v>Období: 012.2012</v>
      </c>
      <c r="F3" s="140"/>
      <c r="G3" s="140"/>
      <c r="H3" s="140"/>
      <c r="I3" s="140"/>
      <c r="J3" s="140"/>
      <c r="K3" s="140"/>
      <c r="L3" s="141"/>
      <c r="M3" s="141"/>
      <c r="N3" s="141"/>
      <c r="O3" s="141"/>
      <c r="P3" s="141"/>
      <c r="S3" s="142"/>
      <c r="T3" s="142"/>
      <c r="U3" s="142"/>
      <c r="V3" s="142"/>
      <c r="W3" s="142"/>
      <c r="X3" s="142"/>
      <c r="Y3" s="142"/>
      <c r="Z3" s="142"/>
      <c r="AA3" s="142"/>
      <c r="AB3" s="142"/>
    </row>
    <row r="4" spans="1:28" ht="16.5" customHeight="1" thickBot="1">
      <c r="A4" s="144"/>
      <c r="B4" s="144"/>
      <c r="E4" s="143" t="str">
        <f>CONCATENATE("KAPITOLA:",'[2]Hlavicka'!I3)</f>
        <v>KAPITOLA:314 Ministerstvo vnitra</v>
      </c>
      <c r="F4" s="145"/>
      <c r="G4" s="145"/>
      <c r="H4" s="145"/>
      <c r="I4" s="145"/>
      <c r="J4" s="145"/>
      <c r="K4" s="146" t="str">
        <f>'[2]Druhova'!B2</f>
        <v>v tis.Kč</v>
      </c>
      <c r="L4" s="141"/>
      <c r="M4" s="141"/>
      <c r="N4" s="141"/>
      <c r="O4" s="141"/>
      <c r="P4" s="141"/>
      <c r="S4" s="142"/>
      <c r="T4" s="142"/>
      <c r="U4" s="142"/>
      <c r="V4" s="142"/>
      <c r="W4" s="142"/>
      <c r="X4" s="142"/>
      <c r="Y4" s="142"/>
      <c r="Z4" s="142"/>
      <c r="AA4" s="142"/>
      <c r="AB4" s="142"/>
    </row>
    <row r="5" spans="1:28" ht="15" customHeight="1">
      <c r="A5" s="147"/>
      <c r="B5" s="148"/>
      <c r="C5" s="148"/>
      <c r="D5" s="148"/>
      <c r="E5" s="149"/>
      <c r="F5" s="150"/>
      <c r="G5" s="151" t="str">
        <f>CONCATENATE("R O Z P O Č E T   ",'[2]Druhova'!B1)</f>
        <v>R O Z P O Č E T   012.2012</v>
      </c>
      <c r="H5" s="152"/>
      <c r="I5" s="150"/>
      <c r="J5" s="153" t="s">
        <v>46</v>
      </c>
      <c r="K5" s="154" t="s">
        <v>47</v>
      </c>
      <c r="L5" s="141"/>
      <c r="M5" s="141"/>
      <c r="N5" s="141"/>
      <c r="O5" s="141"/>
      <c r="P5" s="141"/>
      <c r="S5" s="142"/>
      <c r="T5" s="142"/>
      <c r="U5" s="142"/>
      <c r="V5" s="142"/>
      <c r="W5" s="142"/>
      <c r="X5" s="142"/>
      <c r="Y5" s="142"/>
      <c r="Z5" s="142"/>
      <c r="AA5" s="142"/>
      <c r="AB5" s="142"/>
    </row>
    <row r="6" spans="1:28" ht="22.5">
      <c r="A6" s="155" t="s">
        <v>48</v>
      </c>
      <c r="B6" s="156" t="s">
        <v>49</v>
      </c>
      <c r="C6" s="157" t="s">
        <v>50</v>
      </c>
      <c r="D6" s="157" t="s">
        <v>51</v>
      </c>
      <c r="E6" s="158" t="s">
        <v>52</v>
      </c>
      <c r="F6" s="159" t="str">
        <f>CONCATENATE("Skutečnost ",'[2]Druhova'!C1)</f>
        <v>Skutečnost 012.2011</v>
      </c>
      <c r="G6" s="160" t="s">
        <v>53</v>
      </c>
      <c r="H6" s="161" t="s">
        <v>54</v>
      </c>
      <c r="I6" s="159" t="str">
        <f>CONCATENATE("Skutečnost ",'[2]Druhova'!B1)</f>
        <v>Skutečnost 012.2012</v>
      </c>
      <c r="J6" s="162" t="s">
        <v>55</v>
      </c>
      <c r="K6" s="163" t="str">
        <f>'[2]Druhova'!B3</f>
        <v>Sk012.2012/Sk012.2011</v>
      </c>
      <c r="L6" s="141"/>
      <c r="M6" s="141"/>
      <c r="N6" s="141"/>
      <c r="O6" s="141"/>
      <c r="P6" s="141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28" ht="12.75" customHeight="1">
      <c r="A7" s="164"/>
      <c r="B7" s="157" t="s">
        <v>56</v>
      </c>
      <c r="C7" s="157" t="s">
        <v>56</v>
      </c>
      <c r="D7" s="157"/>
      <c r="E7" s="165"/>
      <c r="F7" s="166"/>
      <c r="G7" s="167" t="s">
        <v>57</v>
      </c>
      <c r="H7" s="168" t="s">
        <v>1</v>
      </c>
      <c r="I7" s="166"/>
      <c r="J7" s="169" t="s">
        <v>58</v>
      </c>
      <c r="K7" s="170" t="s">
        <v>59</v>
      </c>
      <c r="L7" s="141"/>
      <c r="M7" s="141"/>
      <c r="N7" s="141"/>
      <c r="O7" s="141"/>
      <c r="P7" s="141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1:28" ht="12.75" customHeight="1" thickBot="1">
      <c r="A8" s="171"/>
      <c r="B8" s="172"/>
      <c r="C8" s="172"/>
      <c r="D8" s="172"/>
      <c r="E8" s="173"/>
      <c r="F8" s="174">
        <v>0</v>
      </c>
      <c r="G8" s="174">
        <v>1</v>
      </c>
      <c r="H8" s="175">
        <v>2</v>
      </c>
      <c r="I8" s="174">
        <v>3</v>
      </c>
      <c r="J8" s="176">
        <v>4</v>
      </c>
      <c r="K8" s="177">
        <v>5</v>
      </c>
      <c r="L8" s="141"/>
      <c r="M8" s="141"/>
      <c r="N8" s="141"/>
      <c r="O8" s="141"/>
      <c r="P8" s="141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1:18" s="187" customFormat="1" ht="16.5" customHeight="1">
      <c r="A9" s="178"/>
      <c r="B9" s="179"/>
      <c r="C9" s="180"/>
      <c r="D9" s="181"/>
      <c r="E9" s="182" t="s">
        <v>60</v>
      </c>
      <c r="F9" s="183"/>
      <c r="G9" s="184"/>
      <c r="H9" s="184"/>
      <c r="I9" s="184"/>
      <c r="J9" s="183"/>
      <c r="K9" s="185" t="str">
        <f>IF(F9&gt;0,I9/F9*100," ")</f>
        <v> </v>
      </c>
      <c r="L9" s="186"/>
      <c r="M9" s="186"/>
      <c r="N9" s="186"/>
      <c r="O9" s="186"/>
      <c r="P9" s="186"/>
      <c r="Q9" s="186"/>
      <c r="R9" s="186"/>
    </row>
    <row r="10" spans="1:28" ht="22.5">
      <c r="A10" s="188"/>
      <c r="B10" s="189"/>
      <c r="C10" s="190" t="s">
        <v>61</v>
      </c>
      <c r="D10" s="191" t="s">
        <v>62</v>
      </c>
      <c r="E10" s="192" t="s">
        <v>63</v>
      </c>
      <c r="F10" s="193">
        <f>'[2]Druhova'!G6</f>
        <v>0</v>
      </c>
      <c r="G10" s="193">
        <f>'[2]Druhova'!B6</f>
        <v>0</v>
      </c>
      <c r="H10" s="193">
        <f>'[2]Druhova'!C6</f>
        <v>0</v>
      </c>
      <c r="I10" s="193">
        <f>'[2]Druhova'!D6</f>
        <v>0</v>
      </c>
      <c r="J10" s="193">
        <f aca="true" t="shared" si="0" ref="J10:J73">IF(H10=0,"",I10/H10*100)</f>
      </c>
      <c r="K10" s="194">
        <f aca="true" t="shared" si="1" ref="K10:K73">IF(F10=0,"",I10/F10*100)</f>
      </c>
      <c r="L10" s="141"/>
      <c r="M10" s="141"/>
      <c r="N10" s="141"/>
      <c r="O10" s="141"/>
      <c r="P10" s="141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</row>
    <row r="11" spans="1:28" ht="22.5" customHeight="1">
      <c r="A11" s="188"/>
      <c r="B11" s="189"/>
      <c r="C11" s="190"/>
      <c r="D11" s="195">
        <v>1111</v>
      </c>
      <c r="E11" s="192" t="s">
        <v>64</v>
      </c>
      <c r="F11" s="193">
        <f>'[2]Druhova'!G7</f>
        <v>0</v>
      </c>
      <c r="G11" s="193">
        <f>'[2]Druhova'!B7</f>
        <v>0</v>
      </c>
      <c r="H11" s="193">
        <f>'[2]Druhova'!C7</f>
        <v>0</v>
      </c>
      <c r="I11" s="193">
        <f>'[2]Druhova'!D7</f>
        <v>0</v>
      </c>
      <c r="J11" s="193">
        <f t="shared" si="0"/>
      </c>
      <c r="K11" s="194">
        <f t="shared" si="1"/>
      </c>
      <c r="L11" s="141"/>
      <c r="M11" s="141"/>
      <c r="N11" s="141"/>
      <c r="O11" s="141"/>
      <c r="P11" s="141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</row>
    <row r="12" spans="1:28" ht="22.5" customHeight="1">
      <c r="A12" s="188"/>
      <c r="B12" s="189"/>
      <c r="C12" s="190"/>
      <c r="D12" s="195">
        <v>1112</v>
      </c>
      <c r="E12" s="192" t="s">
        <v>65</v>
      </c>
      <c r="F12" s="193">
        <f>'[2]Druhova'!G8</f>
        <v>0</v>
      </c>
      <c r="G12" s="193">
        <f>'[2]Druhova'!B8</f>
        <v>0</v>
      </c>
      <c r="H12" s="193">
        <f>'[2]Druhova'!C8</f>
        <v>0</v>
      </c>
      <c r="I12" s="193">
        <f>'[2]Druhova'!D8</f>
        <v>0</v>
      </c>
      <c r="J12" s="193">
        <f t="shared" si="0"/>
      </c>
      <c r="K12" s="194">
        <f t="shared" si="1"/>
      </c>
      <c r="L12" s="141"/>
      <c r="M12" s="141"/>
      <c r="N12" s="141"/>
      <c r="O12" s="141"/>
      <c r="P12" s="141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</row>
    <row r="13" spans="1:28" ht="22.5" customHeight="1">
      <c r="A13" s="188"/>
      <c r="B13" s="189"/>
      <c r="C13" s="190"/>
      <c r="D13" s="195">
        <v>1113</v>
      </c>
      <c r="E13" s="192" t="s">
        <v>66</v>
      </c>
      <c r="F13" s="193">
        <f>'[2]Druhova'!G9</f>
        <v>0</v>
      </c>
      <c r="G13" s="193">
        <f>'[2]Druhova'!B9</f>
        <v>0</v>
      </c>
      <c r="H13" s="193">
        <f>'[2]Druhova'!C9</f>
        <v>0</v>
      </c>
      <c r="I13" s="193">
        <f>'[2]Druhova'!D9</f>
        <v>0</v>
      </c>
      <c r="J13" s="193">
        <f t="shared" si="0"/>
      </c>
      <c r="K13" s="194">
        <f t="shared" si="1"/>
      </c>
      <c r="L13" s="141"/>
      <c r="M13" s="141"/>
      <c r="N13" s="141"/>
      <c r="O13" s="141"/>
      <c r="P13" s="141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</row>
    <row r="14" spans="1:28" ht="22.5">
      <c r="A14" s="188"/>
      <c r="B14" s="190"/>
      <c r="C14" s="190" t="s">
        <v>67</v>
      </c>
      <c r="D14" s="191" t="s">
        <v>62</v>
      </c>
      <c r="E14" s="192" t="s">
        <v>68</v>
      </c>
      <c r="F14" s="193">
        <f>'[2]Druhova'!G10</f>
        <v>0</v>
      </c>
      <c r="G14" s="193">
        <f>'[2]Druhova'!B10</f>
        <v>0</v>
      </c>
      <c r="H14" s="193">
        <f>'[2]Druhova'!C10</f>
        <v>0</v>
      </c>
      <c r="I14" s="193">
        <f>'[2]Druhova'!D10</f>
        <v>0</v>
      </c>
      <c r="J14" s="193">
        <f t="shared" si="0"/>
      </c>
      <c r="K14" s="194">
        <f t="shared" si="1"/>
      </c>
      <c r="L14" s="141"/>
      <c r="M14" s="141"/>
      <c r="N14" s="141"/>
      <c r="O14" s="141"/>
      <c r="P14" s="141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</row>
    <row r="15" spans="1:18" s="187" customFormat="1" ht="33.75">
      <c r="A15" s="196"/>
      <c r="B15" s="197" t="s">
        <v>69</v>
      </c>
      <c r="C15" s="198"/>
      <c r="D15" s="199"/>
      <c r="E15" s="200" t="s">
        <v>70</v>
      </c>
      <c r="F15" s="201">
        <f>'[2]Druhova'!G11</f>
        <v>0</v>
      </c>
      <c r="G15" s="201">
        <f>'[2]Druhova'!B11</f>
        <v>0</v>
      </c>
      <c r="H15" s="201">
        <f>'[2]Druhova'!C11</f>
        <v>0</v>
      </c>
      <c r="I15" s="201">
        <f>'[2]Druhova'!D11</f>
        <v>0</v>
      </c>
      <c r="J15" s="201">
        <f t="shared" si="0"/>
      </c>
      <c r="K15" s="202">
        <f t="shared" si="1"/>
      </c>
      <c r="L15" s="186"/>
      <c r="M15" s="186"/>
      <c r="N15" s="186"/>
      <c r="O15" s="186"/>
      <c r="P15" s="186"/>
      <c r="Q15" s="186"/>
      <c r="R15" s="186"/>
    </row>
    <row r="16" spans="1:28" ht="22.5">
      <c r="A16" s="188"/>
      <c r="B16" s="190"/>
      <c r="C16" s="190" t="s">
        <v>71</v>
      </c>
      <c r="D16" s="191" t="s">
        <v>62</v>
      </c>
      <c r="E16" s="192" t="s">
        <v>72</v>
      </c>
      <c r="F16" s="193">
        <f>'[2]Druhova'!G12</f>
        <v>0</v>
      </c>
      <c r="G16" s="193">
        <f>'[2]Druhova'!B12</f>
        <v>0</v>
      </c>
      <c r="H16" s="193">
        <f>'[2]Druhova'!C12</f>
        <v>0</v>
      </c>
      <c r="I16" s="193">
        <f>'[2]Druhova'!D12</f>
        <v>0</v>
      </c>
      <c r="J16" s="193">
        <f t="shared" si="0"/>
      </c>
      <c r="K16" s="194">
        <f t="shared" si="1"/>
      </c>
      <c r="L16" s="141"/>
      <c r="M16" s="141"/>
      <c r="N16" s="141"/>
      <c r="O16" s="141"/>
      <c r="P16" s="141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</row>
    <row r="17" spans="1:28" ht="16.5" customHeight="1">
      <c r="A17" s="188"/>
      <c r="B17" s="189"/>
      <c r="C17" s="190"/>
      <c r="D17" s="195">
        <v>1211</v>
      </c>
      <c r="E17" s="192" t="s">
        <v>73</v>
      </c>
      <c r="F17" s="193">
        <f>'[2]Druhova'!G13</f>
        <v>0</v>
      </c>
      <c r="G17" s="193">
        <f>'[2]Druhova'!B13</f>
        <v>0</v>
      </c>
      <c r="H17" s="193">
        <f>'[2]Druhova'!C13</f>
        <v>0</v>
      </c>
      <c r="I17" s="193">
        <f>'[2]Druhova'!D13</f>
        <v>0</v>
      </c>
      <c r="J17" s="193">
        <f t="shared" si="0"/>
      </c>
      <c r="K17" s="194">
        <f t="shared" si="1"/>
      </c>
      <c r="L17" s="141"/>
      <c r="M17" s="141"/>
      <c r="N17" s="141"/>
      <c r="O17" s="141"/>
      <c r="P17" s="141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</row>
    <row r="18" spans="1:28" ht="16.5" customHeight="1">
      <c r="A18" s="188"/>
      <c r="B18" s="189"/>
      <c r="C18" s="203" t="s">
        <v>74</v>
      </c>
      <c r="D18" s="195"/>
      <c r="E18" s="192" t="s">
        <v>75</v>
      </c>
      <c r="F18" s="193">
        <f>'[2]Druhova'!G14</f>
        <v>0</v>
      </c>
      <c r="G18" s="193">
        <f>'[2]Druhova'!B14</f>
        <v>0</v>
      </c>
      <c r="H18" s="193">
        <f>'[2]Druhova'!C14</f>
        <v>0</v>
      </c>
      <c r="I18" s="193">
        <f>'[2]Druhova'!D14</f>
        <v>0</v>
      </c>
      <c r="J18" s="193">
        <f t="shared" si="0"/>
      </c>
      <c r="K18" s="194">
        <f t="shared" si="1"/>
      </c>
      <c r="L18" s="141"/>
      <c r="M18" s="141"/>
      <c r="N18" s="141"/>
      <c r="O18" s="141"/>
      <c r="P18" s="141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</row>
    <row r="19" spans="1:28" ht="16.5" customHeight="1">
      <c r="A19" s="196"/>
      <c r="B19" s="204" t="s">
        <v>76</v>
      </c>
      <c r="C19" s="198"/>
      <c r="D19" s="199"/>
      <c r="E19" s="205" t="s">
        <v>77</v>
      </c>
      <c r="F19" s="201">
        <f>'[2]Druhova'!G15</f>
        <v>0</v>
      </c>
      <c r="G19" s="201">
        <f>'[2]Druhova'!B15</f>
        <v>0</v>
      </c>
      <c r="H19" s="201">
        <f>'[2]Druhova'!C15</f>
        <v>0</v>
      </c>
      <c r="I19" s="201">
        <f>'[2]Druhova'!D15</f>
        <v>0</v>
      </c>
      <c r="J19" s="201">
        <f t="shared" si="0"/>
      </c>
      <c r="K19" s="202">
        <f t="shared" si="1"/>
      </c>
      <c r="L19" s="141"/>
      <c r="M19" s="141"/>
      <c r="N19" s="141"/>
      <c r="O19" s="141"/>
      <c r="P19" s="141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</row>
    <row r="20" spans="1:28" ht="12.75">
      <c r="A20" s="188"/>
      <c r="B20" s="189"/>
      <c r="C20" s="190">
        <v>132</v>
      </c>
      <c r="D20" s="195"/>
      <c r="E20" s="192" t="s">
        <v>78</v>
      </c>
      <c r="F20" s="193">
        <f>'[2]Druhova'!G16</f>
        <v>0</v>
      </c>
      <c r="G20" s="193">
        <f>'[2]Druhova'!B16</f>
        <v>0</v>
      </c>
      <c r="H20" s="193">
        <f>'[2]Druhova'!C16</f>
        <v>0</v>
      </c>
      <c r="I20" s="193">
        <f>'[2]Druhova'!D16</f>
        <v>0</v>
      </c>
      <c r="J20" s="193">
        <f t="shared" si="0"/>
      </c>
      <c r="K20" s="194">
        <f t="shared" si="1"/>
      </c>
      <c r="L20" s="141"/>
      <c r="M20" s="141"/>
      <c r="N20" s="141"/>
      <c r="O20" s="141"/>
      <c r="P20" s="141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</row>
    <row r="21" spans="1:28" ht="12.75">
      <c r="A21" s="188"/>
      <c r="B21" s="189"/>
      <c r="C21" s="190">
        <v>133</v>
      </c>
      <c r="D21" s="195"/>
      <c r="E21" s="192" t="s">
        <v>79</v>
      </c>
      <c r="F21" s="193">
        <f>'[2]Druhova'!G17</f>
        <v>0</v>
      </c>
      <c r="G21" s="193">
        <f>'[2]Druhova'!B17</f>
        <v>0</v>
      </c>
      <c r="H21" s="193">
        <f>'[2]Druhova'!C17</f>
        <v>0</v>
      </c>
      <c r="I21" s="193">
        <f>'[2]Druhova'!D17</f>
        <v>0</v>
      </c>
      <c r="J21" s="193">
        <f t="shared" si="0"/>
      </c>
      <c r="K21" s="194">
        <f t="shared" si="1"/>
      </c>
      <c r="L21" s="141"/>
      <c r="M21" s="141"/>
      <c r="N21" s="141"/>
      <c r="O21" s="141"/>
      <c r="P21" s="141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</row>
    <row r="22" spans="1:28" ht="12.75">
      <c r="A22" s="188"/>
      <c r="B22" s="189"/>
      <c r="C22" s="190">
        <v>134</v>
      </c>
      <c r="D22" s="195"/>
      <c r="E22" s="192" t="s">
        <v>80</v>
      </c>
      <c r="F22" s="193">
        <f>'[2]Druhova'!G18</f>
        <v>0</v>
      </c>
      <c r="G22" s="193">
        <f>'[2]Druhova'!B18</f>
        <v>0</v>
      </c>
      <c r="H22" s="193">
        <f>'[2]Druhova'!C18</f>
        <v>0</v>
      </c>
      <c r="I22" s="193">
        <f>'[2]Druhova'!D18</f>
        <v>0</v>
      </c>
      <c r="J22" s="193">
        <f t="shared" si="0"/>
      </c>
      <c r="K22" s="194">
        <f t="shared" si="1"/>
      </c>
      <c r="L22" s="141"/>
      <c r="M22" s="141"/>
      <c r="N22" s="141"/>
      <c r="O22" s="141"/>
      <c r="P22" s="141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</row>
    <row r="23" spans="1:28" ht="12.75">
      <c r="A23" s="188"/>
      <c r="B23" s="189"/>
      <c r="C23" s="190">
        <v>135</v>
      </c>
      <c r="D23" s="195"/>
      <c r="E23" s="192" t="s">
        <v>81</v>
      </c>
      <c r="F23" s="193">
        <f>'[2]Druhova'!G19</f>
        <v>0</v>
      </c>
      <c r="G23" s="193">
        <f>'[2]Druhova'!B19</f>
        <v>0</v>
      </c>
      <c r="H23" s="193">
        <f>'[2]Druhova'!C19</f>
        <v>0</v>
      </c>
      <c r="I23" s="193">
        <f>'[2]Druhova'!D19</f>
        <v>0</v>
      </c>
      <c r="J23" s="193">
        <f t="shared" si="0"/>
      </c>
      <c r="K23" s="194">
        <f t="shared" si="1"/>
      </c>
      <c r="L23" s="141"/>
      <c r="M23" s="141"/>
      <c r="N23" s="141"/>
      <c r="O23" s="141"/>
      <c r="P23" s="141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</row>
    <row r="24" spans="1:28" ht="12.75">
      <c r="A24" s="188"/>
      <c r="B24" s="189"/>
      <c r="C24" s="190">
        <v>136</v>
      </c>
      <c r="D24" s="195"/>
      <c r="E24" s="192" t="s">
        <v>82</v>
      </c>
      <c r="F24" s="193">
        <f>'[2]Druhova'!G20</f>
        <v>14599</v>
      </c>
      <c r="G24" s="193">
        <f>'[2]Druhova'!B20</f>
        <v>193000</v>
      </c>
      <c r="H24" s="193">
        <f>'[2]Druhova'!C20</f>
        <v>193000</v>
      </c>
      <c r="I24" s="193">
        <f>'[2]Druhova'!D20</f>
        <v>14341.92</v>
      </c>
      <c r="J24" s="193">
        <f t="shared" si="0"/>
        <v>7.43</v>
      </c>
      <c r="K24" s="194">
        <f t="shared" si="1"/>
        <v>98.24</v>
      </c>
      <c r="L24" s="141"/>
      <c r="M24" s="141"/>
      <c r="N24" s="141"/>
      <c r="O24" s="141"/>
      <c r="P24" s="141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</row>
    <row r="25" spans="1:28" ht="12.75">
      <c r="A25" s="188"/>
      <c r="B25" s="189"/>
      <c r="C25" s="190">
        <v>137</v>
      </c>
      <c r="D25" s="195"/>
      <c r="E25" s="192" t="s">
        <v>83</v>
      </c>
      <c r="F25" s="193">
        <f>'[2]Druhova'!G21</f>
        <v>0</v>
      </c>
      <c r="G25" s="193">
        <f>'[2]Druhova'!B21</f>
        <v>0</v>
      </c>
      <c r="H25" s="193">
        <f>'[2]Druhova'!C21</f>
        <v>0</v>
      </c>
      <c r="I25" s="193">
        <f>'[2]Druhova'!D21</f>
        <v>0</v>
      </c>
      <c r="J25" s="193">
        <f t="shared" si="0"/>
      </c>
      <c r="K25" s="194">
        <f t="shared" si="1"/>
      </c>
      <c r="L25" s="141"/>
      <c r="M25" s="141"/>
      <c r="N25" s="141"/>
      <c r="O25" s="141"/>
      <c r="P25" s="141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</row>
    <row r="26" spans="1:18" s="187" customFormat="1" ht="17.25" customHeight="1">
      <c r="A26" s="196"/>
      <c r="B26" s="204">
        <v>13</v>
      </c>
      <c r="C26" s="198"/>
      <c r="D26" s="199"/>
      <c r="E26" s="200" t="s">
        <v>84</v>
      </c>
      <c r="F26" s="201">
        <f>'[2]Druhova'!G22</f>
        <v>14599</v>
      </c>
      <c r="G26" s="201">
        <f>'[2]Druhova'!B22</f>
        <v>193000</v>
      </c>
      <c r="H26" s="201">
        <f>'[2]Druhova'!C22</f>
        <v>193000</v>
      </c>
      <c r="I26" s="201">
        <f>'[2]Druhova'!D22</f>
        <v>14341.92</v>
      </c>
      <c r="J26" s="201">
        <f t="shared" si="0"/>
        <v>7.43</v>
      </c>
      <c r="K26" s="202">
        <f t="shared" si="1"/>
        <v>98.24</v>
      </c>
      <c r="L26" s="186"/>
      <c r="M26" s="186"/>
      <c r="N26" s="186"/>
      <c r="O26" s="186"/>
      <c r="P26" s="186"/>
      <c r="Q26" s="186"/>
      <c r="R26" s="186"/>
    </row>
    <row r="27" spans="1:28" ht="22.5">
      <c r="A27" s="188"/>
      <c r="B27" s="189"/>
      <c r="C27" s="190" t="s">
        <v>85</v>
      </c>
      <c r="D27" s="195" t="s">
        <v>62</v>
      </c>
      <c r="E27" s="192" t="s">
        <v>86</v>
      </c>
      <c r="F27" s="193">
        <f>'[2]Druhova'!G23</f>
        <v>0</v>
      </c>
      <c r="G27" s="193">
        <f>'[2]Druhova'!B23</f>
        <v>0</v>
      </c>
      <c r="H27" s="193">
        <f>'[2]Druhova'!C23</f>
        <v>0</v>
      </c>
      <c r="I27" s="193">
        <f>'[2]Druhova'!D23</f>
        <v>0</v>
      </c>
      <c r="J27" s="193">
        <f t="shared" si="0"/>
      </c>
      <c r="K27" s="194">
        <f t="shared" si="1"/>
      </c>
      <c r="L27" s="141"/>
      <c r="M27" s="141"/>
      <c r="N27" s="141"/>
      <c r="O27" s="141"/>
      <c r="P27" s="141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</row>
    <row r="28" spans="1:28" ht="12.75">
      <c r="A28" s="188"/>
      <c r="B28" s="189"/>
      <c r="C28" s="190"/>
      <c r="D28" s="195">
        <v>1401</v>
      </c>
      <c r="E28" s="192" t="s">
        <v>87</v>
      </c>
      <c r="F28" s="193">
        <f>'[2]Druhova'!G24</f>
        <v>0</v>
      </c>
      <c r="G28" s="193">
        <f>'[2]Druhova'!B24</f>
        <v>0</v>
      </c>
      <c r="H28" s="193">
        <f>'[2]Druhova'!C24</f>
        <v>0</v>
      </c>
      <c r="I28" s="193">
        <f>'[2]Druhova'!D24</f>
        <v>0</v>
      </c>
      <c r="J28" s="193">
        <f t="shared" si="0"/>
      </c>
      <c r="K28" s="194">
        <f t="shared" si="1"/>
      </c>
      <c r="L28" s="141"/>
      <c r="M28" s="141"/>
      <c r="N28" s="141"/>
      <c r="O28" s="141"/>
      <c r="P28" s="141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</row>
    <row r="29" spans="1:18" s="187" customFormat="1" ht="12.75">
      <c r="A29" s="188"/>
      <c r="B29" s="189"/>
      <c r="C29" s="190"/>
      <c r="D29" s="195">
        <v>1402</v>
      </c>
      <c r="E29" s="192" t="s">
        <v>88</v>
      </c>
      <c r="F29" s="193">
        <f>'[2]Druhova'!G25</f>
        <v>0</v>
      </c>
      <c r="G29" s="193">
        <f>'[2]Druhova'!B25</f>
        <v>0</v>
      </c>
      <c r="H29" s="193">
        <f>'[2]Druhova'!C25</f>
        <v>0</v>
      </c>
      <c r="I29" s="193">
        <f>'[2]Druhova'!D25</f>
        <v>0</v>
      </c>
      <c r="J29" s="193">
        <f t="shared" si="0"/>
      </c>
      <c r="K29" s="194">
        <f t="shared" si="1"/>
      </c>
      <c r="L29" s="186"/>
      <c r="M29" s="186"/>
      <c r="N29" s="186"/>
      <c r="O29" s="186"/>
      <c r="P29" s="186"/>
      <c r="Q29" s="186"/>
      <c r="R29" s="186"/>
    </row>
    <row r="30" spans="1:28" ht="17.25" customHeight="1">
      <c r="A30" s="196"/>
      <c r="B30" s="204" t="s">
        <v>89</v>
      </c>
      <c r="C30" s="198"/>
      <c r="D30" s="199"/>
      <c r="E30" s="200" t="s">
        <v>86</v>
      </c>
      <c r="F30" s="201">
        <f>'[2]Druhova'!G26</f>
        <v>0</v>
      </c>
      <c r="G30" s="201">
        <f>'[2]Druhova'!B26</f>
        <v>0</v>
      </c>
      <c r="H30" s="201">
        <f>'[2]Druhova'!C26</f>
        <v>0</v>
      </c>
      <c r="I30" s="201">
        <f>'[2]Druhova'!D26</f>
        <v>0</v>
      </c>
      <c r="J30" s="201">
        <f t="shared" si="0"/>
      </c>
      <c r="K30" s="202">
        <f t="shared" si="1"/>
      </c>
      <c r="L30" s="141"/>
      <c r="M30" s="141"/>
      <c r="N30" s="141"/>
      <c r="O30" s="141"/>
      <c r="P30" s="141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</row>
    <row r="31" spans="1:28" ht="12.75">
      <c r="A31" s="188"/>
      <c r="B31" s="189"/>
      <c r="C31" s="190">
        <v>151</v>
      </c>
      <c r="D31" s="195"/>
      <c r="E31" s="192" t="s">
        <v>90</v>
      </c>
      <c r="F31" s="193">
        <f>'[2]Druhova'!G27</f>
        <v>0</v>
      </c>
      <c r="G31" s="193">
        <f>'[2]Druhova'!B27</f>
        <v>0</v>
      </c>
      <c r="H31" s="193">
        <f>'[2]Druhova'!C27</f>
        <v>0</v>
      </c>
      <c r="I31" s="193">
        <f>'[2]Druhova'!D27</f>
        <v>0</v>
      </c>
      <c r="J31" s="193">
        <f t="shared" si="0"/>
      </c>
      <c r="K31" s="194">
        <f t="shared" si="1"/>
      </c>
      <c r="L31" s="141"/>
      <c r="M31" s="141"/>
      <c r="N31" s="141"/>
      <c r="O31" s="141"/>
      <c r="P31" s="141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</row>
    <row r="32" spans="1:28" ht="12.75">
      <c r="A32" s="188"/>
      <c r="B32" s="189"/>
      <c r="C32" s="190" t="s">
        <v>91</v>
      </c>
      <c r="D32" s="195" t="s">
        <v>62</v>
      </c>
      <c r="E32" s="192" t="s">
        <v>92</v>
      </c>
      <c r="F32" s="193">
        <f>'[2]Druhova'!G28</f>
        <v>0</v>
      </c>
      <c r="G32" s="193">
        <f>'[2]Druhova'!B28</f>
        <v>0</v>
      </c>
      <c r="H32" s="193">
        <f>'[2]Druhova'!C28</f>
        <v>0</v>
      </c>
      <c r="I32" s="193">
        <f>'[2]Druhova'!D28</f>
        <v>0</v>
      </c>
      <c r="J32" s="193">
        <f t="shared" si="0"/>
      </c>
      <c r="K32" s="194">
        <f t="shared" si="1"/>
      </c>
      <c r="L32" s="141"/>
      <c r="M32" s="141"/>
      <c r="N32" s="141"/>
      <c r="O32" s="141"/>
      <c r="P32" s="141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</row>
    <row r="33" spans="1:18" s="187" customFormat="1" ht="33.75">
      <c r="A33" s="188"/>
      <c r="B33" s="189"/>
      <c r="C33" s="190"/>
      <c r="D33" s="206" t="s">
        <v>93</v>
      </c>
      <c r="E33" s="192" t="s">
        <v>94</v>
      </c>
      <c r="F33" s="193">
        <f>'[2]Druhova'!G29</f>
        <v>0</v>
      </c>
      <c r="G33" s="193">
        <f>'[2]Druhova'!B29</f>
        <v>0</v>
      </c>
      <c r="H33" s="193">
        <f>'[2]Druhova'!C29</f>
        <v>0</v>
      </c>
      <c r="I33" s="193">
        <f>'[2]Druhova'!D29</f>
        <v>0</v>
      </c>
      <c r="J33" s="193">
        <f t="shared" si="0"/>
      </c>
      <c r="K33" s="194">
        <f t="shared" si="1"/>
      </c>
      <c r="L33" s="186"/>
      <c r="M33" s="186"/>
      <c r="N33" s="186"/>
      <c r="O33" s="186"/>
      <c r="P33" s="186"/>
      <c r="Q33" s="186"/>
      <c r="R33" s="186"/>
    </row>
    <row r="34" spans="1:28" ht="17.25" customHeight="1">
      <c r="A34" s="196"/>
      <c r="B34" s="204" t="s">
        <v>95</v>
      </c>
      <c r="C34" s="198"/>
      <c r="D34" s="199"/>
      <c r="E34" s="200" t="s">
        <v>96</v>
      </c>
      <c r="F34" s="201">
        <f>'[2]Druhova'!G30</f>
        <v>0</v>
      </c>
      <c r="G34" s="201">
        <f>'[2]Druhova'!B30</f>
        <v>0</v>
      </c>
      <c r="H34" s="201">
        <f>'[2]Druhova'!C30</f>
        <v>0</v>
      </c>
      <c r="I34" s="201">
        <f>'[2]Druhova'!D30</f>
        <v>0</v>
      </c>
      <c r="J34" s="201">
        <f t="shared" si="0"/>
      </c>
      <c r="K34" s="202">
        <f t="shared" si="1"/>
      </c>
      <c r="L34" s="141"/>
      <c r="M34" s="141"/>
      <c r="N34" s="141"/>
      <c r="O34" s="141"/>
      <c r="P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</row>
    <row r="35" spans="1:28" ht="22.5">
      <c r="A35" s="188"/>
      <c r="B35" s="189"/>
      <c r="C35" s="190" t="s">
        <v>97</v>
      </c>
      <c r="D35" s="195"/>
      <c r="E35" s="192" t="s">
        <v>98</v>
      </c>
      <c r="F35" s="193">
        <f>'[2]Druhova'!G31</f>
        <v>5886541.85</v>
      </c>
      <c r="G35" s="193">
        <f>'[2]Druhova'!B31</f>
        <v>5698067</v>
      </c>
      <c r="H35" s="193">
        <f>'[2]Druhova'!C31</f>
        <v>5665734</v>
      </c>
      <c r="I35" s="193">
        <f>'[2]Druhova'!D31</f>
        <v>5591896.84</v>
      </c>
      <c r="J35" s="193">
        <f t="shared" si="0"/>
        <v>98.7</v>
      </c>
      <c r="K35" s="194">
        <f t="shared" si="1"/>
        <v>94.99</v>
      </c>
      <c r="L35" s="141"/>
      <c r="M35" s="141"/>
      <c r="N35" s="141"/>
      <c r="O35" s="141"/>
      <c r="P35" s="141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</row>
    <row r="36" spans="1:28" ht="33.75">
      <c r="A36" s="188" t="s">
        <v>99</v>
      </c>
      <c r="B36" s="189" t="s">
        <v>100</v>
      </c>
      <c r="C36" s="207" t="s">
        <v>101</v>
      </c>
      <c r="D36" s="208" t="s">
        <v>100</v>
      </c>
      <c r="E36" s="192" t="s">
        <v>102</v>
      </c>
      <c r="F36" s="193">
        <f>'[2]Druhova_CAST7'!M8</f>
        <v>5361665.8</v>
      </c>
      <c r="G36" s="193">
        <f>'[2]Druhova_CAST7'!D8</f>
        <v>5064969</v>
      </c>
      <c r="H36" s="193">
        <f>'[2]Druhova_CAST7'!E8</f>
        <v>5036229</v>
      </c>
      <c r="I36" s="193">
        <f>'[2]Druhova_CAST7'!F8</f>
        <v>5095865.72</v>
      </c>
      <c r="J36" s="193">
        <f t="shared" si="0"/>
        <v>101.18</v>
      </c>
      <c r="K36" s="194">
        <f t="shared" si="1"/>
        <v>95.04</v>
      </c>
      <c r="L36" s="141"/>
      <c r="M36" s="141"/>
      <c r="N36" s="141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</row>
    <row r="37" spans="1:28" ht="12.75">
      <c r="A37" s="188"/>
      <c r="B37" s="189"/>
      <c r="C37" s="190">
        <v>163</v>
      </c>
      <c r="D37" s="195"/>
      <c r="E37" s="192" t="s">
        <v>103</v>
      </c>
      <c r="F37" s="193">
        <f>'[2]Druhova'!G33</f>
        <v>0</v>
      </c>
      <c r="G37" s="193">
        <f>'[2]Druhova'!B33</f>
        <v>0</v>
      </c>
      <c r="H37" s="193">
        <f>'[2]Druhova'!C33</f>
        <v>0</v>
      </c>
      <c r="I37" s="193">
        <f>'[2]Druhova'!D33</f>
        <v>0</v>
      </c>
      <c r="J37" s="193">
        <f t="shared" si="0"/>
      </c>
      <c r="K37" s="194">
        <f t="shared" si="1"/>
      </c>
      <c r="L37" s="141"/>
      <c r="M37" s="141"/>
      <c r="N37" s="141"/>
      <c r="O37" s="141"/>
      <c r="P37" s="141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</row>
    <row r="38" spans="1:28" ht="12.75">
      <c r="A38" s="188"/>
      <c r="B38" s="189"/>
      <c r="C38" s="190">
        <v>164</v>
      </c>
      <c r="D38" s="195"/>
      <c r="E38" s="192" t="s">
        <v>104</v>
      </c>
      <c r="F38" s="193">
        <f>'[2]Druhova'!G34</f>
        <v>0</v>
      </c>
      <c r="G38" s="193">
        <f>'[2]Druhova'!B34</f>
        <v>0</v>
      </c>
      <c r="H38" s="193">
        <f>'[2]Druhova'!C34</f>
        <v>0</v>
      </c>
      <c r="I38" s="193">
        <f>'[2]Druhova'!D34</f>
        <v>0</v>
      </c>
      <c r="J38" s="193">
        <f t="shared" si="0"/>
      </c>
      <c r="K38" s="194">
        <f t="shared" si="1"/>
      </c>
      <c r="L38" s="141"/>
      <c r="M38" s="141"/>
      <c r="N38" s="141"/>
      <c r="O38" s="141"/>
      <c r="P38" s="141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</row>
    <row r="39" spans="1:18" s="187" customFormat="1" ht="12.75">
      <c r="A39" s="188"/>
      <c r="B39" s="189"/>
      <c r="C39" s="190">
        <v>169</v>
      </c>
      <c r="D39" s="195"/>
      <c r="E39" s="192" t="s">
        <v>105</v>
      </c>
      <c r="F39" s="193">
        <f>'[2]Druhova'!G35</f>
        <v>0</v>
      </c>
      <c r="G39" s="193">
        <f>'[2]Druhova'!B35</f>
        <v>0</v>
      </c>
      <c r="H39" s="193">
        <f>'[2]Druhova'!C35</f>
        <v>0</v>
      </c>
      <c r="I39" s="193">
        <f>'[2]Druhova'!D35</f>
        <v>0</v>
      </c>
      <c r="J39" s="193">
        <f t="shared" si="0"/>
      </c>
      <c r="K39" s="194">
        <f t="shared" si="1"/>
      </c>
      <c r="L39" s="186"/>
      <c r="M39" s="186"/>
      <c r="N39" s="186"/>
      <c r="O39" s="186"/>
      <c r="P39" s="186"/>
      <c r="Q39" s="186"/>
      <c r="R39" s="186"/>
    </row>
    <row r="40" spans="1:28" ht="12.75">
      <c r="A40" s="196"/>
      <c r="B40" s="204">
        <v>16</v>
      </c>
      <c r="C40" s="198"/>
      <c r="D40" s="199"/>
      <c r="E40" s="200" t="s">
        <v>106</v>
      </c>
      <c r="F40" s="201">
        <f>'[2]Druhova'!G36</f>
        <v>5886541.85</v>
      </c>
      <c r="G40" s="201">
        <f>'[2]Druhova'!B36</f>
        <v>5698067</v>
      </c>
      <c r="H40" s="201">
        <f>'[2]Druhova'!C36</f>
        <v>5665734</v>
      </c>
      <c r="I40" s="201">
        <f>'[2]Druhova'!D36</f>
        <v>5591896.84</v>
      </c>
      <c r="J40" s="201">
        <f t="shared" si="0"/>
        <v>98.7</v>
      </c>
      <c r="K40" s="202">
        <f t="shared" si="1"/>
        <v>94.99</v>
      </c>
      <c r="L40" s="141"/>
      <c r="M40" s="141"/>
      <c r="N40" s="141"/>
      <c r="O40" s="141"/>
      <c r="P40" s="141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</row>
    <row r="41" spans="1:18" s="187" customFormat="1" ht="33.75">
      <c r="A41" s="188"/>
      <c r="B41" s="189"/>
      <c r="C41" s="190" t="s">
        <v>107</v>
      </c>
      <c r="D41" s="206" t="s">
        <v>109</v>
      </c>
      <c r="E41" s="192" t="s">
        <v>110</v>
      </c>
      <c r="F41" s="193">
        <f>'[2]Druhova'!G37</f>
        <v>0</v>
      </c>
      <c r="G41" s="193">
        <f>'[2]Druhova'!B37</f>
        <v>0</v>
      </c>
      <c r="H41" s="193">
        <f>'[2]Druhova'!C37</f>
        <v>0</v>
      </c>
      <c r="I41" s="193">
        <f>'[2]Druhova'!D37</f>
        <v>0</v>
      </c>
      <c r="J41" s="193">
        <f t="shared" si="0"/>
      </c>
      <c r="K41" s="194">
        <f t="shared" si="1"/>
      </c>
      <c r="L41" s="186"/>
      <c r="M41" s="186"/>
      <c r="N41" s="186"/>
      <c r="O41" s="186"/>
      <c r="P41" s="186"/>
      <c r="Q41" s="186"/>
      <c r="R41" s="186"/>
    </row>
    <row r="42" spans="1:18" s="187" customFormat="1" ht="34.5" thickBot="1">
      <c r="A42" s="196"/>
      <c r="B42" s="204">
        <v>17</v>
      </c>
      <c r="C42" s="198"/>
      <c r="D42" s="209" t="s">
        <v>109</v>
      </c>
      <c r="E42" s="200" t="s">
        <v>110</v>
      </c>
      <c r="F42" s="210">
        <f>'[2]Druhova'!G38</f>
        <v>0</v>
      </c>
      <c r="G42" s="211">
        <f>'[2]Druhova'!B38</f>
        <v>0</v>
      </c>
      <c r="H42" s="211">
        <f>'[2]Druhova'!C38</f>
        <v>0</v>
      </c>
      <c r="I42" s="211">
        <f>'[2]Druhova'!D38</f>
        <v>0</v>
      </c>
      <c r="J42" s="211">
        <f t="shared" si="0"/>
      </c>
      <c r="K42" s="212">
        <f t="shared" si="1"/>
      </c>
      <c r="L42" s="186"/>
      <c r="M42" s="186"/>
      <c r="N42" s="186"/>
      <c r="O42" s="186"/>
      <c r="P42" s="186"/>
      <c r="Q42" s="186"/>
      <c r="R42" s="186"/>
    </row>
    <row r="43" spans="1:18" s="187" customFormat="1" ht="34.5" customHeight="1" thickBot="1">
      <c r="A43" s="213">
        <v>1</v>
      </c>
      <c r="B43" s="214"/>
      <c r="C43" s="215"/>
      <c r="D43" s="216"/>
      <c r="E43" s="217" t="s">
        <v>314</v>
      </c>
      <c r="F43" s="218">
        <f>'[2]Druhova'!G39</f>
        <v>5901140.85</v>
      </c>
      <c r="G43" s="219">
        <f>'[2]Druhova'!B39</f>
        <v>5891067</v>
      </c>
      <c r="H43" s="219">
        <f>'[2]Druhova'!C39</f>
        <v>5858734</v>
      </c>
      <c r="I43" s="219">
        <f>'[2]Druhova'!D39</f>
        <v>5606238.76</v>
      </c>
      <c r="J43" s="219">
        <f t="shared" si="0"/>
        <v>95.69</v>
      </c>
      <c r="K43" s="220">
        <f t="shared" si="1"/>
        <v>95</v>
      </c>
      <c r="L43" s="186"/>
      <c r="M43" s="186"/>
      <c r="N43" s="186"/>
      <c r="O43" s="186"/>
      <c r="P43" s="186"/>
      <c r="Q43" s="186"/>
      <c r="R43" s="186"/>
    </row>
    <row r="44" spans="1:28" ht="30" customHeight="1" thickBot="1">
      <c r="A44" s="213"/>
      <c r="B44" s="221" t="s">
        <v>111</v>
      </c>
      <c r="C44" s="215"/>
      <c r="D44" s="222"/>
      <c r="E44" s="223" t="s">
        <v>315</v>
      </c>
      <c r="F44" s="224">
        <f>'[2]Druhova'!G40</f>
        <v>14599</v>
      </c>
      <c r="G44" s="225">
        <f>'[2]Druhova'!B40</f>
        <v>193000</v>
      </c>
      <c r="H44" s="225">
        <f>'[2]Druhova'!C40</f>
        <v>193000</v>
      </c>
      <c r="I44" s="225">
        <f>'[2]Druhova'!D40</f>
        <v>14341.92</v>
      </c>
      <c r="J44" s="225">
        <f t="shared" si="0"/>
        <v>7.43</v>
      </c>
      <c r="K44" s="226">
        <f t="shared" si="1"/>
        <v>98.24</v>
      </c>
      <c r="L44" s="141"/>
      <c r="M44" s="141"/>
      <c r="N44" s="141"/>
      <c r="O44" s="141"/>
      <c r="P44" s="141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</row>
    <row r="45" spans="1:28" ht="18" customHeight="1">
      <c r="A45" s="188"/>
      <c r="B45" s="189"/>
      <c r="C45" s="227">
        <v>211</v>
      </c>
      <c r="D45" s="189"/>
      <c r="E45" s="228" t="s">
        <v>112</v>
      </c>
      <c r="F45" s="193">
        <f>'[2]Druhova'!G41</f>
        <v>90152.95</v>
      </c>
      <c r="G45" s="193">
        <f>'[2]Druhova'!B41</f>
        <v>52188</v>
      </c>
      <c r="H45" s="193">
        <f>'[2]Druhova'!C41</f>
        <v>77018.6</v>
      </c>
      <c r="I45" s="193">
        <f>'[2]Druhova'!D41</f>
        <v>88482.01</v>
      </c>
      <c r="J45" s="193">
        <f t="shared" si="0"/>
        <v>114.88</v>
      </c>
      <c r="K45" s="194">
        <f t="shared" si="1"/>
        <v>98.15</v>
      </c>
      <c r="L45" s="141"/>
      <c r="M45" s="141"/>
      <c r="N45" s="141"/>
      <c r="O45" s="141"/>
      <c r="P45" s="141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</row>
    <row r="46" spans="1:28" ht="16.5" customHeight="1">
      <c r="A46" s="188"/>
      <c r="B46" s="189"/>
      <c r="C46" s="227">
        <v>212</v>
      </c>
      <c r="D46" s="189"/>
      <c r="E46" s="228" t="s">
        <v>113</v>
      </c>
      <c r="F46" s="193">
        <f>'[2]Druhova'!G42</f>
        <v>192533.13</v>
      </c>
      <c r="G46" s="193">
        <f>'[2]Druhova'!B42</f>
        <v>39500</v>
      </c>
      <c r="H46" s="193">
        <f>'[2]Druhova'!C42</f>
        <v>79160.11</v>
      </c>
      <c r="I46" s="193">
        <f>'[2]Druhova'!D42</f>
        <v>79088.56</v>
      </c>
      <c r="J46" s="193">
        <f t="shared" si="0"/>
        <v>99.91</v>
      </c>
      <c r="K46" s="194">
        <f t="shared" si="1"/>
        <v>41.08</v>
      </c>
      <c r="L46" s="141"/>
      <c r="M46" s="141"/>
      <c r="N46" s="141"/>
      <c r="O46" s="141"/>
      <c r="P46" s="141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</row>
    <row r="47" spans="1:28" ht="16.5" customHeight="1">
      <c r="A47" s="188"/>
      <c r="B47" s="189"/>
      <c r="C47" s="227"/>
      <c r="D47" s="189">
        <v>2122</v>
      </c>
      <c r="E47" s="228" t="s">
        <v>114</v>
      </c>
      <c r="F47" s="193">
        <f>'[2]Druhova'!G43</f>
        <v>0</v>
      </c>
      <c r="G47" s="193">
        <f>'[2]Druhova'!B43</f>
        <v>0</v>
      </c>
      <c r="H47" s="193">
        <f>'[2]Druhova'!C43</f>
        <v>0</v>
      </c>
      <c r="I47" s="193">
        <f>'[2]Druhova'!D43</f>
        <v>0</v>
      </c>
      <c r="J47" s="193">
        <f t="shared" si="0"/>
      </c>
      <c r="K47" s="194">
        <f t="shared" si="1"/>
      </c>
      <c r="L47" s="141"/>
      <c r="M47" s="141"/>
      <c r="N47" s="141"/>
      <c r="O47" s="141"/>
      <c r="P47" s="141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</row>
    <row r="48" spans="1:28" ht="16.5" customHeight="1">
      <c r="A48" s="188"/>
      <c r="B48" s="189"/>
      <c r="C48" s="227"/>
      <c r="D48" s="189">
        <v>2123</v>
      </c>
      <c r="E48" s="228" t="s">
        <v>115</v>
      </c>
      <c r="F48" s="193">
        <f>'[2]Druhova'!G44</f>
        <v>192533.13</v>
      </c>
      <c r="G48" s="193">
        <f>'[2]Druhova'!B44</f>
        <v>39500</v>
      </c>
      <c r="H48" s="193">
        <f>'[2]Druhova'!C44</f>
        <v>79160.11</v>
      </c>
      <c r="I48" s="193">
        <f>'[2]Druhova'!D44</f>
        <v>79088.56</v>
      </c>
      <c r="J48" s="193">
        <f t="shared" si="0"/>
        <v>99.91</v>
      </c>
      <c r="K48" s="194">
        <f t="shared" si="1"/>
        <v>41.08</v>
      </c>
      <c r="L48" s="141"/>
      <c r="M48" s="141"/>
      <c r="N48" s="141"/>
      <c r="O48" s="141"/>
      <c r="P48" s="141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</row>
    <row r="49" spans="1:28" ht="16.5" customHeight="1">
      <c r="A49" s="188"/>
      <c r="B49" s="189"/>
      <c r="C49" s="227">
        <v>213</v>
      </c>
      <c r="D49" s="189"/>
      <c r="E49" s="228" t="s">
        <v>116</v>
      </c>
      <c r="F49" s="193">
        <f>'[2]Druhova'!G45</f>
        <v>39122.88</v>
      </c>
      <c r="G49" s="193">
        <f>'[2]Druhova'!B45</f>
        <v>17699</v>
      </c>
      <c r="H49" s="193">
        <f>'[2]Druhova'!C45</f>
        <v>22233.21</v>
      </c>
      <c r="I49" s="193">
        <f>'[2]Druhova'!D45</f>
        <v>35037.97</v>
      </c>
      <c r="J49" s="193">
        <f t="shared" si="0"/>
        <v>157.59</v>
      </c>
      <c r="K49" s="194">
        <f t="shared" si="1"/>
        <v>89.56</v>
      </c>
      <c r="L49" s="141"/>
      <c r="M49" s="141"/>
      <c r="N49" s="141"/>
      <c r="O49" s="141"/>
      <c r="P49" s="141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</row>
    <row r="50" spans="1:28" ht="16.5" customHeight="1">
      <c r="A50" s="188"/>
      <c r="B50" s="189"/>
      <c r="C50" s="227">
        <v>214</v>
      </c>
      <c r="D50" s="189"/>
      <c r="E50" s="228" t="s">
        <v>117</v>
      </c>
      <c r="F50" s="193">
        <f>'[2]Druhova'!G46</f>
        <v>687.03</v>
      </c>
      <c r="G50" s="193">
        <f>'[2]Druhova'!B46</f>
        <v>343</v>
      </c>
      <c r="H50" s="193">
        <f>'[2]Druhova'!C46</f>
        <v>393.96</v>
      </c>
      <c r="I50" s="193">
        <f>'[2]Druhova'!D46</f>
        <v>620.29</v>
      </c>
      <c r="J50" s="193">
        <f t="shared" si="0"/>
        <v>157.45</v>
      </c>
      <c r="K50" s="194">
        <f t="shared" si="1"/>
        <v>90.29</v>
      </c>
      <c r="L50" s="141"/>
      <c r="M50" s="141"/>
      <c r="N50" s="141"/>
      <c r="O50" s="141"/>
      <c r="P50" s="141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</row>
    <row r="51" spans="1:18" s="187" customFormat="1" ht="16.5" customHeight="1">
      <c r="A51" s="188"/>
      <c r="B51" s="189"/>
      <c r="C51" s="227">
        <v>215</v>
      </c>
      <c r="D51" s="189"/>
      <c r="E51" s="228" t="s">
        <v>118</v>
      </c>
      <c r="F51" s="193">
        <f>'[2]Druhova'!G47</f>
        <v>0</v>
      </c>
      <c r="G51" s="193">
        <f>'[2]Druhova'!B47</f>
        <v>0</v>
      </c>
      <c r="H51" s="193">
        <f>'[2]Druhova'!C47</f>
        <v>0</v>
      </c>
      <c r="I51" s="193">
        <f>'[2]Druhova'!D47</f>
        <v>0</v>
      </c>
      <c r="J51" s="193">
        <f t="shared" si="0"/>
      </c>
      <c r="K51" s="194">
        <f t="shared" si="1"/>
      </c>
      <c r="L51" s="186"/>
      <c r="M51" s="186"/>
      <c r="N51" s="186"/>
      <c r="O51" s="186"/>
      <c r="P51" s="186"/>
      <c r="Q51" s="186"/>
      <c r="R51" s="186"/>
    </row>
    <row r="52" spans="1:28" ht="23.25" customHeight="1">
      <c r="A52" s="196"/>
      <c r="B52" s="204">
        <v>21</v>
      </c>
      <c r="C52" s="229"/>
      <c r="D52" s="204"/>
      <c r="E52" s="230" t="s">
        <v>119</v>
      </c>
      <c r="F52" s="201">
        <f>'[2]Druhova'!G48</f>
        <v>322495.99</v>
      </c>
      <c r="G52" s="201">
        <f>'[2]Druhova'!B48</f>
        <v>109730</v>
      </c>
      <c r="H52" s="201">
        <f>'[2]Druhova'!C48</f>
        <v>178805.88</v>
      </c>
      <c r="I52" s="201">
        <f>'[2]Druhova'!D48</f>
        <v>203228.82</v>
      </c>
      <c r="J52" s="201">
        <f t="shared" si="0"/>
        <v>113.66</v>
      </c>
      <c r="K52" s="202">
        <f t="shared" si="1"/>
        <v>63.02</v>
      </c>
      <c r="L52" s="141"/>
      <c r="M52" s="141"/>
      <c r="N52" s="141"/>
      <c r="O52" s="141"/>
      <c r="P52" s="141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</row>
    <row r="53" spans="1:28" ht="12.75">
      <c r="A53" s="188"/>
      <c r="B53" s="189"/>
      <c r="C53" s="227">
        <v>221</v>
      </c>
      <c r="D53" s="189"/>
      <c r="E53" s="228" t="s">
        <v>120</v>
      </c>
      <c r="F53" s="193">
        <f>'[2]Druhova'!G49</f>
        <v>59786.27</v>
      </c>
      <c r="G53" s="193">
        <f>'[2]Druhova'!B49</f>
        <v>381</v>
      </c>
      <c r="H53" s="193">
        <f>'[2]Druhova'!C49</f>
        <v>551.5</v>
      </c>
      <c r="I53" s="193">
        <f>'[2]Druhova'!D49</f>
        <v>34683.73</v>
      </c>
      <c r="J53" s="193">
        <f t="shared" si="0"/>
        <v>6288.98</v>
      </c>
      <c r="K53" s="194">
        <f t="shared" si="1"/>
        <v>58.01</v>
      </c>
      <c r="L53" s="141"/>
      <c r="M53" s="141"/>
      <c r="N53" s="141"/>
      <c r="O53" s="141"/>
      <c r="P53" s="141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</row>
    <row r="54" spans="1:18" s="187" customFormat="1" ht="22.5" customHeight="1">
      <c r="A54" s="188"/>
      <c r="B54" s="189"/>
      <c r="C54" s="227">
        <v>222</v>
      </c>
      <c r="D54" s="189"/>
      <c r="E54" s="228" t="s">
        <v>121</v>
      </c>
      <c r="F54" s="193">
        <f>'[2]Druhova'!G50</f>
        <v>17815.69</v>
      </c>
      <c r="G54" s="193">
        <f>'[2]Druhova'!B50</f>
        <v>9300</v>
      </c>
      <c r="H54" s="193">
        <f>'[2]Druhova'!C50</f>
        <v>24519.1</v>
      </c>
      <c r="I54" s="193">
        <f>'[2]Druhova'!D50</f>
        <v>21782.72</v>
      </c>
      <c r="J54" s="193">
        <f t="shared" si="0"/>
        <v>88.84</v>
      </c>
      <c r="K54" s="194">
        <f t="shared" si="1"/>
        <v>122.27</v>
      </c>
      <c r="L54" s="186"/>
      <c r="M54" s="186"/>
      <c r="N54" s="186"/>
      <c r="O54" s="186"/>
      <c r="P54" s="186"/>
      <c r="Q54" s="186"/>
      <c r="R54" s="186"/>
    </row>
    <row r="55" spans="1:28" ht="17.25" customHeight="1">
      <c r="A55" s="196">
        <v>5</v>
      </c>
      <c r="B55" s="204">
        <v>22</v>
      </c>
      <c r="C55" s="229"/>
      <c r="D55" s="204"/>
      <c r="E55" s="230" t="s">
        <v>122</v>
      </c>
      <c r="F55" s="201">
        <f>'[2]Druhova'!G51</f>
        <v>77601.96</v>
      </c>
      <c r="G55" s="201">
        <f>'[2]Druhova'!B51</f>
        <v>9681</v>
      </c>
      <c r="H55" s="201">
        <f>'[2]Druhova'!C51</f>
        <v>25070.6</v>
      </c>
      <c r="I55" s="201">
        <f>'[2]Druhova'!D51</f>
        <v>56466.45</v>
      </c>
      <c r="J55" s="201">
        <f t="shared" si="0"/>
        <v>225.23</v>
      </c>
      <c r="K55" s="202">
        <f t="shared" si="1"/>
        <v>72.76</v>
      </c>
      <c r="L55" s="141"/>
      <c r="M55" s="141"/>
      <c r="N55" s="141"/>
      <c r="O55" s="141"/>
      <c r="P55" s="141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</row>
    <row r="56" spans="1:28" ht="24" customHeight="1">
      <c r="A56" s="188"/>
      <c r="B56" s="189"/>
      <c r="C56" s="227">
        <v>231</v>
      </c>
      <c r="D56" s="189"/>
      <c r="E56" s="228" t="s">
        <v>123</v>
      </c>
      <c r="F56" s="193">
        <f>'[2]Druhova'!G52</f>
        <v>2733.95</v>
      </c>
      <c r="G56" s="193">
        <f>'[2]Druhova'!B52</f>
        <v>1587</v>
      </c>
      <c r="H56" s="193">
        <f>'[2]Druhova'!C52</f>
        <v>1909.41</v>
      </c>
      <c r="I56" s="193">
        <f>'[2]Druhova'!D52</f>
        <v>2042.55</v>
      </c>
      <c r="J56" s="193">
        <f t="shared" si="0"/>
        <v>106.97</v>
      </c>
      <c r="K56" s="194">
        <f t="shared" si="1"/>
        <v>74.71</v>
      </c>
      <c r="L56" s="141"/>
      <c r="M56" s="141"/>
      <c r="N56" s="141"/>
      <c r="O56" s="141"/>
      <c r="P56" s="141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</row>
    <row r="57" spans="1:28" ht="15.75" customHeight="1">
      <c r="A57" s="188"/>
      <c r="B57" s="189"/>
      <c r="C57" s="227">
        <v>232</v>
      </c>
      <c r="D57" s="189"/>
      <c r="E57" s="228" t="s">
        <v>124</v>
      </c>
      <c r="F57" s="193">
        <f>'[2]Druhova'!G53</f>
        <v>340788.84</v>
      </c>
      <c r="G57" s="193">
        <f>'[2]Druhova'!B53</f>
        <v>152099</v>
      </c>
      <c r="H57" s="193">
        <f>'[2]Druhova'!C53</f>
        <v>195369.52</v>
      </c>
      <c r="I57" s="193">
        <f>'[2]Druhova'!D53</f>
        <v>332608.76</v>
      </c>
      <c r="J57" s="193">
        <f t="shared" si="0"/>
        <v>170.25</v>
      </c>
      <c r="K57" s="194">
        <f t="shared" si="1"/>
        <v>97.6</v>
      </c>
      <c r="L57" s="141"/>
      <c r="M57" s="141"/>
      <c r="N57" s="141"/>
      <c r="O57" s="141"/>
      <c r="P57" s="141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</row>
    <row r="58" spans="1:28" ht="15.75" customHeight="1">
      <c r="A58" s="188"/>
      <c r="B58" s="189"/>
      <c r="C58" s="227">
        <v>234</v>
      </c>
      <c r="D58" s="189"/>
      <c r="E58" s="228" t="s">
        <v>125</v>
      </c>
      <c r="F58" s="193">
        <f>'[2]Druhova'!G54</f>
        <v>0</v>
      </c>
      <c r="G58" s="193">
        <f>'[2]Druhova'!B54</f>
        <v>0</v>
      </c>
      <c r="H58" s="193">
        <f>'[2]Druhova'!C54</f>
        <v>0</v>
      </c>
      <c r="I58" s="193">
        <f>'[2]Druhova'!D54</f>
        <v>0</v>
      </c>
      <c r="J58" s="193">
        <f t="shared" si="0"/>
      </c>
      <c r="K58" s="194">
        <f t="shared" si="1"/>
      </c>
      <c r="L58" s="141"/>
      <c r="M58" s="141"/>
      <c r="N58" s="141"/>
      <c r="O58" s="141"/>
      <c r="P58" s="141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</row>
    <row r="59" spans="1:28" ht="15.75" customHeight="1">
      <c r="A59" s="188"/>
      <c r="B59" s="189"/>
      <c r="C59" s="227">
        <v>235</v>
      </c>
      <c r="D59" s="189"/>
      <c r="E59" s="228" t="s">
        <v>126</v>
      </c>
      <c r="F59" s="193">
        <f>'[2]Druhova'!G55</f>
        <v>0</v>
      </c>
      <c r="G59" s="193">
        <f>'[2]Druhova'!B55</f>
        <v>0</v>
      </c>
      <c r="H59" s="193">
        <f>'[2]Druhova'!C55</f>
        <v>0</v>
      </c>
      <c r="I59" s="193">
        <f>'[2]Druhova'!D55</f>
        <v>0</v>
      </c>
      <c r="J59" s="193">
        <f t="shared" si="0"/>
      </c>
      <c r="K59" s="194">
        <f t="shared" si="1"/>
      </c>
      <c r="L59" s="141"/>
      <c r="M59" s="141"/>
      <c r="N59" s="141"/>
      <c r="O59" s="141"/>
      <c r="P59" s="141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</row>
    <row r="60" spans="1:18" s="187" customFormat="1" ht="15.75" customHeight="1">
      <c r="A60" s="188"/>
      <c r="B60" s="189"/>
      <c r="C60" s="227">
        <v>236</v>
      </c>
      <c r="D60" s="189"/>
      <c r="E60" s="228" t="s">
        <v>127</v>
      </c>
      <c r="F60" s="193">
        <f>'[2]Druhova'!G56</f>
        <v>0</v>
      </c>
      <c r="G60" s="193">
        <f>'[2]Druhova'!B56</f>
        <v>0</v>
      </c>
      <c r="H60" s="193">
        <f>'[2]Druhova'!C56</f>
        <v>0</v>
      </c>
      <c r="I60" s="193">
        <f>'[2]Druhova'!D56</f>
        <v>0</v>
      </c>
      <c r="J60" s="193">
        <f t="shared" si="0"/>
      </c>
      <c r="K60" s="194">
        <f t="shared" si="1"/>
      </c>
      <c r="L60" s="186"/>
      <c r="M60" s="186"/>
      <c r="N60" s="186"/>
      <c r="O60" s="186"/>
      <c r="P60" s="186"/>
      <c r="Q60" s="186"/>
      <c r="R60" s="186"/>
    </row>
    <row r="61" spans="1:28" ht="23.25" customHeight="1">
      <c r="A61" s="196"/>
      <c r="B61" s="204">
        <v>23</v>
      </c>
      <c r="C61" s="229"/>
      <c r="D61" s="204"/>
      <c r="E61" s="230" t="s">
        <v>128</v>
      </c>
      <c r="F61" s="201">
        <f>'[2]Druhova'!G57</f>
        <v>343522.79</v>
      </c>
      <c r="G61" s="201">
        <f>'[2]Druhova'!B57</f>
        <v>153686</v>
      </c>
      <c r="H61" s="201">
        <f>'[2]Druhova'!C57</f>
        <v>197278.93</v>
      </c>
      <c r="I61" s="201">
        <f>'[2]Druhova'!D57</f>
        <v>334651.31</v>
      </c>
      <c r="J61" s="201">
        <f t="shared" si="0"/>
        <v>169.63</v>
      </c>
      <c r="K61" s="202">
        <f t="shared" si="1"/>
        <v>97.42</v>
      </c>
      <c r="L61" s="141"/>
      <c r="M61" s="141"/>
      <c r="N61" s="141"/>
      <c r="O61" s="141"/>
      <c r="P61" s="141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</row>
    <row r="62" spans="1:28" ht="22.5">
      <c r="A62" s="188"/>
      <c r="B62" s="189"/>
      <c r="C62" s="227">
        <v>241</v>
      </c>
      <c r="D62" s="189"/>
      <c r="E62" s="228" t="s">
        <v>129</v>
      </c>
      <c r="F62" s="193">
        <f>'[2]Druhova'!G58</f>
        <v>0</v>
      </c>
      <c r="G62" s="193">
        <f>'[2]Druhova'!B58</f>
        <v>0</v>
      </c>
      <c r="H62" s="193">
        <f>'[2]Druhova'!C58</f>
        <v>0</v>
      </c>
      <c r="I62" s="193">
        <f>'[2]Druhova'!D58</f>
        <v>0</v>
      </c>
      <c r="J62" s="193">
        <f t="shared" si="0"/>
      </c>
      <c r="K62" s="194">
        <f t="shared" si="1"/>
      </c>
      <c r="L62" s="141"/>
      <c r="M62" s="141"/>
      <c r="N62" s="141"/>
      <c r="O62" s="141"/>
      <c r="P62" s="141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</row>
    <row r="63" spans="1:28" ht="22.5" customHeight="1">
      <c r="A63" s="188"/>
      <c r="B63" s="189"/>
      <c r="C63" s="227">
        <v>242</v>
      </c>
      <c r="D63" s="189"/>
      <c r="E63" s="228" t="s">
        <v>130</v>
      </c>
      <c r="F63" s="193">
        <f>'[2]Druhova'!G59</f>
        <v>0</v>
      </c>
      <c r="G63" s="193">
        <f>'[2]Druhova'!B59</f>
        <v>0</v>
      </c>
      <c r="H63" s="193">
        <f>'[2]Druhova'!C59</f>
        <v>0</v>
      </c>
      <c r="I63" s="193">
        <f>'[2]Druhova'!D59</f>
        <v>0</v>
      </c>
      <c r="J63" s="193">
        <f t="shared" si="0"/>
      </c>
      <c r="K63" s="194">
        <f t="shared" si="1"/>
      </c>
      <c r="L63" s="141"/>
      <c r="M63" s="141"/>
      <c r="N63" s="141"/>
      <c r="O63" s="141"/>
      <c r="P63" s="141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</row>
    <row r="64" spans="1:28" ht="22.5" customHeight="1">
      <c r="A64" s="188"/>
      <c r="B64" s="189"/>
      <c r="C64" s="227">
        <v>243</v>
      </c>
      <c r="D64" s="189"/>
      <c r="E64" s="228" t="s">
        <v>316</v>
      </c>
      <c r="F64" s="193">
        <f>'[2]Druhova'!G60</f>
        <v>0</v>
      </c>
      <c r="G64" s="193">
        <f>'[2]Druhova'!B60</f>
        <v>0</v>
      </c>
      <c r="H64" s="193">
        <f>'[2]Druhova'!C60</f>
        <v>0</v>
      </c>
      <c r="I64" s="193">
        <f>'[2]Druhova'!D60</f>
        <v>0</v>
      </c>
      <c r="J64" s="193">
        <f t="shared" si="0"/>
      </c>
      <c r="K64" s="194">
        <f t="shared" si="1"/>
      </c>
      <c r="L64" s="141"/>
      <c r="M64" s="141"/>
      <c r="N64" s="141"/>
      <c r="O64" s="141"/>
      <c r="P64" s="141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</row>
    <row r="65" spans="1:28" ht="22.5" customHeight="1">
      <c r="A65" s="188"/>
      <c r="B65" s="189"/>
      <c r="C65" s="227">
        <v>244</v>
      </c>
      <c r="D65" s="189"/>
      <c r="E65" s="228" t="s">
        <v>317</v>
      </c>
      <c r="F65" s="193">
        <f>'[2]Druhova'!G61</f>
        <v>0</v>
      </c>
      <c r="G65" s="193">
        <f>'[2]Druhova'!B61</f>
        <v>0</v>
      </c>
      <c r="H65" s="193">
        <f>'[2]Druhova'!C61</f>
        <v>0</v>
      </c>
      <c r="I65" s="193">
        <f>'[2]Druhova'!D61</f>
        <v>0</v>
      </c>
      <c r="J65" s="193">
        <f t="shared" si="0"/>
      </c>
      <c r="K65" s="194">
        <f t="shared" si="1"/>
      </c>
      <c r="L65" s="141"/>
      <c r="M65" s="141"/>
      <c r="N65" s="141"/>
      <c r="O65" s="141"/>
      <c r="P65" s="141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</row>
    <row r="66" spans="1:28" ht="22.5" customHeight="1">
      <c r="A66" s="188"/>
      <c r="B66" s="189"/>
      <c r="C66" s="227">
        <v>245</v>
      </c>
      <c r="D66" s="189"/>
      <c r="E66" s="228" t="s">
        <v>131</v>
      </c>
      <c r="F66" s="193">
        <f>'[2]Druhova'!G62</f>
        <v>0</v>
      </c>
      <c r="G66" s="193">
        <f>'[2]Druhova'!B62</f>
        <v>0</v>
      </c>
      <c r="H66" s="193">
        <f>'[2]Druhova'!C62</f>
        <v>0</v>
      </c>
      <c r="I66" s="193">
        <f>'[2]Druhova'!D62</f>
        <v>0</v>
      </c>
      <c r="J66" s="193">
        <f t="shared" si="0"/>
      </c>
      <c r="K66" s="194">
        <f t="shared" si="1"/>
      </c>
      <c r="L66" s="141"/>
      <c r="M66" s="141"/>
      <c r="N66" s="141"/>
      <c r="O66" s="141"/>
      <c r="P66" s="141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</row>
    <row r="67" spans="1:28" ht="12.75">
      <c r="A67" s="188"/>
      <c r="B67" s="189"/>
      <c r="C67" s="227">
        <v>246</v>
      </c>
      <c r="D67" s="189"/>
      <c r="E67" s="228" t="s">
        <v>132</v>
      </c>
      <c r="F67" s="193">
        <f>'[2]Druhova'!G63</f>
        <v>0</v>
      </c>
      <c r="G67" s="193">
        <f>'[2]Druhova'!B63</f>
        <v>0</v>
      </c>
      <c r="H67" s="193">
        <f>'[2]Druhova'!C63</f>
        <v>0</v>
      </c>
      <c r="I67" s="193">
        <f>'[2]Druhova'!D63</f>
        <v>0</v>
      </c>
      <c r="J67" s="193">
        <f t="shared" si="0"/>
      </c>
      <c r="K67" s="194">
        <f t="shared" si="1"/>
      </c>
      <c r="L67" s="141"/>
      <c r="M67" s="141"/>
      <c r="N67" s="141"/>
      <c r="O67" s="141"/>
      <c r="P67" s="141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</row>
    <row r="68" spans="1:28" ht="12.75">
      <c r="A68" s="188"/>
      <c r="B68" s="189"/>
      <c r="C68" s="227">
        <v>247</v>
      </c>
      <c r="D68" s="189"/>
      <c r="E68" s="228" t="s">
        <v>133</v>
      </c>
      <c r="F68" s="193">
        <f>'[2]Druhova'!G64</f>
        <v>0</v>
      </c>
      <c r="G68" s="193">
        <f>'[2]Druhova'!B64</f>
        <v>0</v>
      </c>
      <c r="H68" s="193">
        <f>'[2]Druhova'!C64</f>
        <v>0</v>
      </c>
      <c r="I68" s="193">
        <f>'[2]Druhova'!D64</f>
        <v>0</v>
      </c>
      <c r="J68" s="193">
        <f t="shared" si="0"/>
      </c>
      <c r="K68" s="194">
        <f t="shared" si="1"/>
      </c>
      <c r="L68" s="141"/>
      <c r="M68" s="141"/>
      <c r="N68" s="141"/>
      <c r="O68" s="141"/>
      <c r="P68" s="141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</row>
    <row r="69" spans="1:18" s="187" customFormat="1" ht="12.75">
      <c r="A69" s="188"/>
      <c r="B69" s="189"/>
      <c r="C69" s="227">
        <v>248</v>
      </c>
      <c r="D69" s="189"/>
      <c r="E69" s="228" t="s">
        <v>134</v>
      </c>
      <c r="F69" s="193">
        <f>'[2]Druhova'!G65</f>
        <v>0</v>
      </c>
      <c r="G69" s="193">
        <f>'[2]Druhova'!B65</f>
        <v>0</v>
      </c>
      <c r="H69" s="193">
        <f>'[2]Druhova'!C65</f>
        <v>0</v>
      </c>
      <c r="I69" s="193">
        <f>'[2]Druhova'!D65</f>
        <v>0</v>
      </c>
      <c r="J69" s="193">
        <f t="shared" si="0"/>
      </c>
      <c r="K69" s="194">
        <f t="shared" si="1"/>
      </c>
      <c r="L69" s="186"/>
      <c r="M69" s="186"/>
      <c r="N69" s="186"/>
      <c r="O69" s="186"/>
      <c r="P69" s="186"/>
      <c r="Q69" s="186"/>
      <c r="R69" s="186"/>
    </row>
    <row r="70" spans="1:18" s="187" customFormat="1" ht="17.25" customHeight="1">
      <c r="A70" s="196"/>
      <c r="B70" s="231">
        <v>24</v>
      </c>
      <c r="C70" s="232"/>
      <c r="D70" s="231"/>
      <c r="E70" s="233" t="s">
        <v>135</v>
      </c>
      <c r="F70" s="234">
        <f>'[2]Druhova'!G66</f>
        <v>0</v>
      </c>
      <c r="G70" s="235">
        <f>'[2]Druhova'!B66</f>
        <v>0</v>
      </c>
      <c r="H70" s="235">
        <f>'[2]Druhova'!C66</f>
        <v>0</v>
      </c>
      <c r="I70" s="235">
        <f>'[2]Druhova'!D66</f>
        <v>0</v>
      </c>
      <c r="J70" s="235">
        <f t="shared" si="0"/>
      </c>
      <c r="K70" s="236">
        <f t="shared" si="1"/>
      </c>
      <c r="L70" s="186"/>
      <c r="M70" s="186"/>
      <c r="N70" s="186"/>
      <c r="O70" s="186"/>
      <c r="P70" s="186"/>
      <c r="Q70" s="186"/>
      <c r="R70" s="186"/>
    </row>
    <row r="71" spans="1:18" s="187" customFormat="1" ht="17.25" customHeight="1">
      <c r="A71" s="237"/>
      <c r="B71" s="238"/>
      <c r="C71" s="239">
        <v>251</v>
      </c>
      <c r="D71" s="240"/>
      <c r="E71" s="241" t="s">
        <v>136</v>
      </c>
      <c r="F71" s="242">
        <f>'[2]Druhova'!G67</f>
        <v>0</v>
      </c>
      <c r="G71" s="243">
        <f>'[2]Druhova'!B67</f>
        <v>0</v>
      </c>
      <c r="H71" s="243">
        <f>'[2]Druhova'!C67</f>
        <v>0</v>
      </c>
      <c r="I71" s="243">
        <f>'[2]Druhova'!D67</f>
        <v>0</v>
      </c>
      <c r="J71" s="243">
        <f t="shared" si="0"/>
      </c>
      <c r="K71" s="244">
        <f t="shared" si="1"/>
      </c>
      <c r="L71" s="186"/>
      <c r="M71" s="186"/>
      <c r="N71" s="186"/>
      <c r="O71" s="186"/>
      <c r="P71" s="186"/>
      <c r="Q71" s="186"/>
      <c r="R71" s="186"/>
    </row>
    <row r="72" spans="1:18" s="187" customFormat="1" ht="17.25" customHeight="1" thickBot="1">
      <c r="A72" s="245"/>
      <c r="B72" s="246">
        <v>25</v>
      </c>
      <c r="C72" s="246"/>
      <c r="D72" s="247"/>
      <c r="E72" s="248" t="s">
        <v>137</v>
      </c>
      <c r="F72" s="234">
        <f>'[2]Druhova'!G68</f>
        <v>0</v>
      </c>
      <c r="G72" s="235">
        <f>'[2]Druhova'!B68</f>
        <v>0</v>
      </c>
      <c r="H72" s="235">
        <f>'[2]Druhova'!C68</f>
        <v>0</v>
      </c>
      <c r="I72" s="235">
        <f>'[2]Druhova'!D68</f>
        <v>0</v>
      </c>
      <c r="J72" s="235">
        <f t="shared" si="0"/>
      </c>
      <c r="K72" s="236">
        <f t="shared" si="1"/>
      </c>
      <c r="L72" s="186"/>
      <c r="M72" s="186"/>
      <c r="N72" s="186"/>
      <c r="O72" s="186"/>
      <c r="P72" s="186"/>
      <c r="Q72" s="186"/>
      <c r="R72" s="186"/>
    </row>
    <row r="73" spans="1:18" s="187" customFormat="1" ht="24.75" customHeight="1" thickBot="1">
      <c r="A73" s="213">
        <v>2</v>
      </c>
      <c r="B73" s="214"/>
      <c r="C73" s="215"/>
      <c r="D73" s="249"/>
      <c r="E73" s="217" t="s">
        <v>138</v>
      </c>
      <c r="F73" s="218">
        <f>'[2]Druhova'!G69</f>
        <v>743620.74</v>
      </c>
      <c r="G73" s="219">
        <f>'[2]Druhova'!B69</f>
        <v>273097</v>
      </c>
      <c r="H73" s="219">
        <f>'[2]Druhova'!C69</f>
        <v>401155.41</v>
      </c>
      <c r="I73" s="219">
        <f>'[2]Druhova'!D69</f>
        <v>594346.58</v>
      </c>
      <c r="J73" s="219">
        <f t="shared" si="0"/>
        <v>148.16</v>
      </c>
      <c r="K73" s="220">
        <f t="shared" si="1"/>
        <v>79.93</v>
      </c>
      <c r="L73" s="186"/>
      <c r="M73" s="186"/>
      <c r="N73" s="186"/>
      <c r="O73" s="186"/>
      <c r="P73" s="186"/>
      <c r="Q73" s="186"/>
      <c r="R73" s="186"/>
    </row>
    <row r="74" spans="1:28" ht="18" customHeight="1">
      <c r="A74" s="188"/>
      <c r="B74" s="189"/>
      <c r="C74" s="227">
        <v>311</v>
      </c>
      <c r="D74" s="189"/>
      <c r="E74" s="228" t="s">
        <v>318</v>
      </c>
      <c r="F74" s="193">
        <f>'[2]Druhova'!G70</f>
        <v>127908.39</v>
      </c>
      <c r="G74" s="193">
        <f>'[2]Druhova'!B70</f>
        <v>424903</v>
      </c>
      <c r="H74" s="193">
        <f>'[2]Druhova'!C70</f>
        <v>296844.59</v>
      </c>
      <c r="I74" s="193">
        <f>'[2]Druhova'!D70</f>
        <v>257847.16</v>
      </c>
      <c r="J74" s="193">
        <f aca="true" t="shared" si="2" ref="J74:J137">IF(H74=0,"",I74/H74*100)</f>
        <v>86.86</v>
      </c>
      <c r="K74" s="194">
        <f aca="true" t="shared" si="3" ref="K74:K137">IF(F74=0,"",I74/F74*100)</f>
        <v>201.59</v>
      </c>
      <c r="L74" s="141"/>
      <c r="M74" s="141"/>
      <c r="N74" s="141"/>
      <c r="O74" s="141"/>
      <c r="P74" s="141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</row>
    <row r="75" spans="1:18" s="187" customFormat="1" ht="16.5" customHeight="1">
      <c r="A75" s="188"/>
      <c r="B75" s="189"/>
      <c r="C75" s="227">
        <v>312</v>
      </c>
      <c r="D75" s="189"/>
      <c r="E75" s="228" t="s">
        <v>319</v>
      </c>
      <c r="F75" s="193">
        <f>'[2]Druhova'!G71</f>
        <v>93625.14</v>
      </c>
      <c r="G75" s="193">
        <f>'[2]Druhova'!B71</f>
        <v>0</v>
      </c>
      <c r="H75" s="193">
        <f>'[2]Druhova'!C71</f>
        <v>0</v>
      </c>
      <c r="I75" s="193">
        <f>'[2]Druhova'!D71</f>
        <v>94930.37</v>
      </c>
      <c r="J75" s="193">
        <f t="shared" si="2"/>
      </c>
      <c r="K75" s="194">
        <f t="shared" si="3"/>
        <v>101.39</v>
      </c>
      <c r="L75" s="186"/>
      <c r="M75" s="186"/>
      <c r="N75" s="186"/>
      <c r="O75" s="186"/>
      <c r="P75" s="186"/>
      <c r="Q75" s="186"/>
      <c r="R75" s="186"/>
    </row>
    <row r="76" spans="1:28" ht="25.5" customHeight="1">
      <c r="A76" s="196"/>
      <c r="B76" s="204">
        <v>31</v>
      </c>
      <c r="C76" s="229"/>
      <c r="D76" s="204"/>
      <c r="E76" s="230" t="s">
        <v>139</v>
      </c>
      <c r="F76" s="201">
        <f>'[2]Druhova'!G72</f>
        <v>221533.53</v>
      </c>
      <c r="G76" s="201">
        <f>'[2]Druhova'!B72</f>
        <v>424903</v>
      </c>
      <c r="H76" s="201">
        <f>'[2]Druhova'!C72</f>
        <v>296844.59</v>
      </c>
      <c r="I76" s="201">
        <f>'[2]Druhova'!D72</f>
        <v>352777.53</v>
      </c>
      <c r="J76" s="201">
        <f t="shared" si="2"/>
        <v>118.84</v>
      </c>
      <c r="K76" s="202">
        <f t="shared" si="3"/>
        <v>159.24</v>
      </c>
      <c r="L76" s="141"/>
      <c r="M76" s="141"/>
      <c r="N76" s="141"/>
      <c r="O76" s="141"/>
      <c r="P76" s="141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</row>
    <row r="77" spans="1:18" s="187" customFormat="1" ht="18" customHeight="1">
      <c r="A77" s="188"/>
      <c r="B77" s="189"/>
      <c r="C77" s="227">
        <v>320</v>
      </c>
      <c r="D77" s="189"/>
      <c r="E77" s="228" t="s">
        <v>140</v>
      </c>
      <c r="F77" s="193">
        <f>'[2]Druhova'!G73</f>
        <v>0</v>
      </c>
      <c r="G77" s="193">
        <f>'[2]Druhova'!B73</f>
        <v>0</v>
      </c>
      <c r="H77" s="193">
        <f>'[2]Druhova'!C73</f>
        <v>0</v>
      </c>
      <c r="I77" s="193">
        <f>'[2]Druhova'!D73</f>
        <v>0</v>
      </c>
      <c r="J77" s="193">
        <f t="shared" si="2"/>
      </c>
      <c r="K77" s="194">
        <f t="shared" si="3"/>
      </c>
      <c r="L77" s="186"/>
      <c r="M77" s="186"/>
      <c r="N77" s="186"/>
      <c r="O77" s="186"/>
      <c r="P77" s="186"/>
      <c r="Q77" s="186"/>
      <c r="R77" s="186"/>
    </row>
    <row r="78" spans="1:18" s="187" customFormat="1" ht="24.75" thickBot="1">
      <c r="A78" s="196"/>
      <c r="B78" s="204">
        <v>32</v>
      </c>
      <c r="C78" s="229"/>
      <c r="D78" s="204"/>
      <c r="E78" s="230" t="s">
        <v>140</v>
      </c>
      <c r="F78" s="210">
        <f>'[2]Druhova'!G74</f>
        <v>0</v>
      </c>
      <c r="G78" s="211">
        <f>'[2]Druhova'!B74</f>
        <v>0</v>
      </c>
      <c r="H78" s="211">
        <f>'[2]Druhova'!C74</f>
        <v>0</v>
      </c>
      <c r="I78" s="211">
        <f>'[2]Druhova'!D74</f>
        <v>0</v>
      </c>
      <c r="J78" s="211">
        <f t="shared" si="2"/>
      </c>
      <c r="K78" s="212">
        <f t="shared" si="3"/>
      </c>
      <c r="L78" s="186"/>
      <c r="M78" s="186"/>
      <c r="N78" s="186"/>
      <c r="O78" s="186"/>
      <c r="P78" s="186"/>
      <c r="Q78" s="186"/>
      <c r="R78" s="186"/>
    </row>
    <row r="79" spans="1:18" s="187" customFormat="1" ht="24.75" customHeight="1" thickBot="1">
      <c r="A79" s="213">
        <v>3</v>
      </c>
      <c r="B79" s="214"/>
      <c r="C79" s="250"/>
      <c r="D79" s="214"/>
      <c r="E79" s="251" t="s">
        <v>141</v>
      </c>
      <c r="F79" s="224">
        <f>'[2]Druhova'!G75</f>
        <v>221533.53</v>
      </c>
      <c r="G79" s="225">
        <f>'[2]Druhova'!B75</f>
        <v>424903</v>
      </c>
      <c r="H79" s="225">
        <f>'[2]Druhova'!C75</f>
        <v>296844.59</v>
      </c>
      <c r="I79" s="225">
        <f>'[2]Druhova'!D75</f>
        <v>352777.53</v>
      </c>
      <c r="J79" s="225">
        <f t="shared" si="2"/>
        <v>118.84</v>
      </c>
      <c r="K79" s="226">
        <f t="shared" si="3"/>
        <v>159.24</v>
      </c>
      <c r="L79" s="186"/>
      <c r="M79" s="186"/>
      <c r="N79" s="186"/>
      <c r="O79" s="186"/>
      <c r="P79" s="186"/>
      <c r="Q79" s="186"/>
      <c r="R79" s="186"/>
    </row>
    <row r="80" spans="1:28" ht="22.5">
      <c r="A80" s="188"/>
      <c r="B80" s="189"/>
      <c r="C80" s="227">
        <v>411</v>
      </c>
      <c r="D80" s="189"/>
      <c r="E80" s="228" t="s">
        <v>142</v>
      </c>
      <c r="F80" s="193">
        <f>'[2]Druhova'!G76</f>
        <v>377970.05</v>
      </c>
      <c r="G80" s="193">
        <f>'[2]Druhova'!B76</f>
        <v>188094</v>
      </c>
      <c r="H80" s="193">
        <f>'[2]Druhova'!C76</f>
        <v>204276</v>
      </c>
      <c r="I80" s="193">
        <f>'[2]Druhova'!D76</f>
        <v>398028.17</v>
      </c>
      <c r="J80" s="193">
        <f t="shared" si="2"/>
        <v>194.85</v>
      </c>
      <c r="K80" s="194">
        <f t="shared" si="3"/>
        <v>105.31</v>
      </c>
      <c r="L80" s="141"/>
      <c r="M80" s="141"/>
      <c r="N80" s="141"/>
      <c r="O80" s="141"/>
      <c r="P80" s="141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</row>
    <row r="81" spans="1:28" ht="16.5" customHeight="1">
      <c r="A81" s="188"/>
      <c r="B81" s="189"/>
      <c r="C81" s="227"/>
      <c r="D81" s="189">
        <v>4118</v>
      </c>
      <c r="E81" s="228" t="s">
        <v>143</v>
      </c>
      <c r="F81" s="193">
        <f>'[2]Druhova'!G77</f>
        <v>377970.05</v>
      </c>
      <c r="G81" s="193">
        <f>'[2]Druhova'!B77</f>
        <v>188094</v>
      </c>
      <c r="H81" s="193">
        <f>'[2]Druhova'!C77</f>
        <v>204276</v>
      </c>
      <c r="I81" s="193">
        <f>'[2]Druhova'!D77</f>
        <v>398028.17</v>
      </c>
      <c r="J81" s="193">
        <f t="shared" si="2"/>
        <v>194.85</v>
      </c>
      <c r="K81" s="194">
        <f t="shared" si="3"/>
        <v>105.31</v>
      </c>
      <c r="L81" s="141"/>
      <c r="M81" s="141"/>
      <c r="N81" s="141"/>
      <c r="O81" s="141"/>
      <c r="P81" s="141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</row>
    <row r="82" spans="1:28" ht="22.5" customHeight="1">
      <c r="A82" s="188"/>
      <c r="B82" s="189"/>
      <c r="C82" s="227">
        <v>412</v>
      </c>
      <c r="D82" s="189"/>
      <c r="E82" s="228" t="s">
        <v>144</v>
      </c>
      <c r="F82" s="193">
        <f>'[2]Druhova'!G78</f>
        <v>0</v>
      </c>
      <c r="G82" s="193">
        <f>'[2]Druhova'!B78</f>
        <v>0</v>
      </c>
      <c r="H82" s="193">
        <f>'[2]Druhova'!C78</f>
        <v>0</v>
      </c>
      <c r="I82" s="193">
        <f>'[2]Druhova'!D78</f>
        <v>0</v>
      </c>
      <c r="J82" s="193">
        <f t="shared" si="2"/>
      </c>
      <c r="K82" s="194">
        <f t="shared" si="3"/>
      </c>
      <c r="L82" s="141"/>
      <c r="M82" s="141"/>
      <c r="N82" s="141"/>
      <c r="O82" s="141"/>
      <c r="P82" s="141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</row>
    <row r="83" spans="1:28" ht="15.75" customHeight="1">
      <c r="A83" s="188"/>
      <c r="B83" s="189"/>
      <c r="C83" s="227">
        <v>413</v>
      </c>
      <c r="D83" s="189"/>
      <c r="E83" s="228" t="s">
        <v>145</v>
      </c>
      <c r="F83" s="193">
        <f>'[2]Druhova'!G79</f>
        <v>57727.81</v>
      </c>
      <c r="G83" s="193">
        <f>'[2]Druhova'!B79</f>
        <v>0</v>
      </c>
      <c r="H83" s="193">
        <f>'[2]Druhova'!C79</f>
        <v>0</v>
      </c>
      <c r="I83" s="193">
        <f>'[2]Druhova'!D79</f>
        <v>82327.25</v>
      </c>
      <c r="J83" s="193">
        <f t="shared" si="2"/>
      </c>
      <c r="K83" s="194">
        <f t="shared" si="3"/>
        <v>142.61</v>
      </c>
      <c r="L83" s="141"/>
      <c r="M83" s="141"/>
      <c r="N83" s="141"/>
      <c r="O83" s="141"/>
      <c r="P83" s="141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</row>
    <row r="84" spans="1:28" ht="15.75" customHeight="1">
      <c r="A84" s="188"/>
      <c r="B84" s="189"/>
      <c r="C84" s="227">
        <v>415</v>
      </c>
      <c r="D84" s="189"/>
      <c r="E84" s="228" t="s">
        <v>146</v>
      </c>
      <c r="F84" s="193">
        <f>'[2]Druhova'!G80</f>
        <v>8339.3</v>
      </c>
      <c r="G84" s="193">
        <f>'[2]Druhova'!B80</f>
        <v>92899</v>
      </c>
      <c r="H84" s="193">
        <f>'[2]Druhova'!C80</f>
        <v>90656</v>
      </c>
      <c r="I84" s="193">
        <f>'[2]Druhova'!D80</f>
        <v>59003.32</v>
      </c>
      <c r="J84" s="193">
        <f t="shared" si="2"/>
        <v>65.08</v>
      </c>
      <c r="K84" s="194">
        <f t="shared" si="3"/>
        <v>707.53</v>
      </c>
      <c r="L84" s="141"/>
      <c r="M84" s="141"/>
      <c r="N84" s="141"/>
      <c r="O84" s="141"/>
      <c r="P84" s="141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</row>
    <row r="85" spans="1:28" ht="12.75">
      <c r="A85" s="188"/>
      <c r="B85" s="189"/>
      <c r="C85" s="227"/>
      <c r="D85" s="189">
        <v>4153</v>
      </c>
      <c r="E85" s="228" t="s">
        <v>147</v>
      </c>
      <c r="F85" s="193">
        <f>'[2]Druhova'!G81</f>
        <v>7390.3</v>
      </c>
      <c r="G85" s="193">
        <f>'[2]Druhova'!B81</f>
        <v>92899</v>
      </c>
      <c r="H85" s="193">
        <f>'[2]Druhova'!C81</f>
        <v>90656</v>
      </c>
      <c r="I85" s="193">
        <f>'[2]Druhova'!D81</f>
        <v>57870.19</v>
      </c>
      <c r="J85" s="193">
        <f t="shared" si="2"/>
        <v>63.83</v>
      </c>
      <c r="K85" s="194">
        <f t="shared" si="3"/>
        <v>783.06</v>
      </c>
      <c r="L85" s="141"/>
      <c r="M85" s="141"/>
      <c r="N85" s="141"/>
      <c r="O85" s="141"/>
      <c r="P85" s="141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</row>
    <row r="86" spans="1:18" s="187" customFormat="1" ht="15.75" customHeight="1">
      <c r="A86" s="188"/>
      <c r="B86" s="189"/>
      <c r="C86" s="227">
        <v>416</v>
      </c>
      <c r="D86" s="189"/>
      <c r="E86" s="228" t="s">
        <v>148</v>
      </c>
      <c r="F86" s="193">
        <f>'[2]Druhova'!G82</f>
        <v>0</v>
      </c>
      <c r="G86" s="193">
        <f>'[2]Druhova'!B82</f>
        <v>0</v>
      </c>
      <c r="H86" s="193">
        <f>'[2]Druhova'!C82</f>
        <v>0</v>
      </c>
      <c r="I86" s="193">
        <f>'[2]Druhova'!D82</f>
        <v>0</v>
      </c>
      <c r="J86" s="193">
        <f t="shared" si="2"/>
      </c>
      <c r="K86" s="194">
        <f t="shared" si="3"/>
      </c>
      <c r="L86" s="186"/>
      <c r="M86" s="186"/>
      <c r="N86" s="186"/>
      <c r="O86" s="186"/>
      <c r="P86" s="186"/>
      <c r="Q86" s="186"/>
      <c r="R86" s="186"/>
    </row>
    <row r="87" spans="1:28" ht="17.25" customHeight="1">
      <c r="A87" s="196"/>
      <c r="B87" s="204">
        <v>41</v>
      </c>
      <c r="C87" s="229"/>
      <c r="D87" s="204"/>
      <c r="E87" s="230" t="s">
        <v>149</v>
      </c>
      <c r="F87" s="201">
        <f>'[2]Druhova'!G83</f>
        <v>444037.16</v>
      </c>
      <c r="G87" s="201">
        <f>'[2]Druhova'!B83</f>
        <v>280993</v>
      </c>
      <c r="H87" s="201">
        <f>'[2]Druhova'!C83</f>
        <v>294932</v>
      </c>
      <c r="I87" s="201">
        <f>'[2]Druhova'!D83</f>
        <v>539358.73</v>
      </c>
      <c r="J87" s="201">
        <f t="shared" si="2"/>
        <v>182.88</v>
      </c>
      <c r="K87" s="202">
        <f t="shared" si="3"/>
        <v>121.47</v>
      </c>
      <c r="L87" s="141"/>
      <c r="M87" s="141"/>
      <c r="N87" s="141"/>
      <c r="O87" s="141"/>
      <c r="P87" s="141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</row>
    <row r="88" spans="1:28" ht="22.5">
      <c r="A88" s="188"/>
      <c r="B88" s="189"/>
      <c r="C88" s="227">
        <v>421</v>
      </c>
      <c r="D88" s="189"/>
      <c r="E88" s="228" t="s">
        <v>150</v>
      </c>
      <c r="F88" s="193">
        <f>'[2]Druhova'!G84</f>
        <v>457659.24</v>
      </c>
      <c r="G88" s="193">
        <f>'[2]Druhova'!B84</f>
        <v>41155</v>
      </c>
      <c r="H88" s="193">
        <f>'[2]Druhova'!C84</f>
        <v>560091</v>
      </c>
      <c r="I88" s="193">
        <f>'[2]Druhova'!D84</f>
        <v>846462.28</v>
      </c>
      <c r="J88" s="193">
        <f t="shared" si="2"/>
        <v>151.13</v>
      </c>
      <c r="K88" s="194">
        <f t="shared" si="3"/>
        <v>184.95</v>
      </c>
      <c r="L88" s="141"/>
      <c r="M88" s="141"/>
      <c r="N88" s="141"/>
      <c r="O88" s="141"/>
      <c r="P88" s="141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</row>
    <row r="89" spans="1:28" ht="12.75">
      <c r="A89" s="188"/>
      <c r="B89" s="189"/>
      <c r="C89" s="227"/>
      <c r="D89" s="189">
        <v>4218</v>
      </c>
      <c r="E89" s="228" t="s">
        <v>151</v>
      </c>
      <c r="F89" s="193">
        <f>'[2]Druhova'!G85</f>
        <v>457659.24</v>
      </c>
      <c r="G89" s="193">
        <f>'[2]Druhova'!B85</f>
        <v>41155</v>
      </c>
      <c r="H89" s="193">
        <f>'[2]Druhova'!C85</f>
        <v>560091</v>
      </c>
      <c r="I89" s="193">
        <f>'[2]Druhova'!D85</f>
        <v>846462.28</v>
      </c>
      <c r="J89" s="193">
        <f t="shared" si="2"/>
        <v>151.13</v>
      </c>
      <c r="K89" s="194">
        <f t="shared" si="3"/>
        <v>184.95</v>
      </c>
      <c r="L89" s="141"/>
      <c r="M89" s="141"/>
      <c r="N89" s="141"/>
      <c r="O89" s="141"/>
      <c r="P89" s="141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</row>
    <row r="90" spans="1:28" ht="22.5">
      <c r="A90" s="188"/>
      <c r="B90" s="189"/>
      <c r="C90" s="227">
        <v>422</v>
      </c>
      <c r="D90" s="189"/>
      <c r="E90" s="228" t="s">
        <v>152</v>
      </c>
      <c r="F90" s="193">
        <f>'[2]Druhova'!G86</f>
        <v>0</v>
      </c>
      <c r="G90" s="193">
        <f>'[2]Druhova'!B86</f>
        <v>0</v>
      </c>
      <c r="H90" s="193">
        <f>'[2]Druhova'!C86</f>
        <v>0</v>
      </c>
      <c r="I90" s="193">
        <f>'[2]Druhova'!D86</f>
        <v>0</v>
      </c>
      <c r="J90" s="193">
        <f t="shared" si="2"/>
      </c>
      <c r="K90" s="194">
        <f t="shared" si="3"/>
      </c>
      <c r="L90" s="141"/>
      <c r="M90" s="141"/>
      <c r="N90" s="141"/>
      <c r="O90" s="141"/>
      <c r="P90" s="141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</row>
    <row r="91" spans="1:28" ht="15.75" customHeight="1">
      <c r="A91" s="188"/>
      <c r="B91" s="189"/>
      <c r="C91" s="227">
        <v>423</v>
      </c>
      <c r="D91" s="189"/>
      <c r="E91" s="228" t="s">
        <v>153</v>
      </c>
      <c r="F91" s="193">
        <f>'[2]Druhova'!G87</f>
        <v>32523.13</v>
      </c>
      <c r="G91" s="193">
        <f>'[2]Druhova'!B87</f>
        <v>4681</v>
      </c>
      <c r="H91" s="193">
        <f>'[2]Druhova'!C87</f>
        <v>4681</v>
      </c>
      <c r="I91" s="193">
        <f>'[2]Druhova'!D87</f>
        <v>11414.53</v>
      </c>
      <c r="J91" s="193">
        <f t="shared" si="2"/>
        <v>243.85</v>
      </c>
      <c r="K91" s="194">
        <f t="shared" si="3"/>
        <v>35.1</v>
      </c>
      <c r="L91" s="141"/>
      <c r="M91" s="141"/>
      <c r="N91" s="141"/>
      <c r="O91" s="141"/>
      <c r="P91" s="141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</row>
    <row r="92" spans="1:28" ht="15.75" customHeight="1">
      <c r="A92" s="188"/>
      <c r="B92" s="189"/>
      <c r="C92" s="227"/>
      <c r="D92" s="189">
        <v>4233</v>
      </c>
      <c r="E92" s="228" t="s">
        <v>154</v>
      </c>
      <c r="F92" s="193">
        <f>'[2]Druhova'!G88</f>
        <v>31795.32</v>
      </c>
      <c r="G92" s="193">
        <f>'[2]Druhova'!B88</f>
        <v>4681</v>
      </c>
      <c r="H92" s="193">
        <f>'[2]Druhova'!C88</f>
        <v>4681</v>
      </c>
      <c r="I92" s="193">
        <f>'[2]Druhova'!D88</f>
        <v>11010.71</v>
      </c>
      <c r="J92" s="193">
        <f t="shared" si="2"/>
        <v>235.22</v>
      </c>
      <c r="K92" s="194">
        <f t="shared" si="3"/>
        <v>34.63</v>
      </c>
      <c r="L92" s="141"/>
      <c r="M92" s="141"/>
      <c r="N92" s="141"/>
      <c r="O92" s="141"/>
      <c r="P92" s="141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</row>
    <row r="93" spans="1:18" s="187" customFormat="1" ht="15.75" customHeight="1">
      <c r="A93" s="188"/>
      <c r="B93" s="189"/>
      <c r="C93" s="227">
        <v>424</v>
      </c>
      <c r="D93" s="189"/>
      <c r="E93" s="228" t="s">
        <v>155</v>
      </c>
      <c r="F93" s="193">
        <f>'[2]Druhova'!G89</f>
        <v>0</v>
      </c>
      <c r="G93" s="193">
        <f>'[2]Druhova'!B89</f>
        <v>0</v>
      </c>
      <c r="H93" s="193">
        <f>'[2]Druhova'!C89</f>
        <v>0</v>
      </c>
      <c r="I93" s="193">
        <f>'[2]Druhova'!D89</f>
        <v>0</v>
      </c>
      <c r="J93" s="193">
        <f t="shared" si="2"/>
      </c>
      <c r="K93" s="194">
        <f t="shared" si="3"/>
      </c>
      <c r="L93" s="186"/>
      <c r="M93" s="186"/>
      <c r="N93" s="186"/>
      <c r="O93" s="186"/>
      <c r="P93" s="186"/>
      <c r="Q93" s="186"/>
      <c r="R93" s="186"/>
    </row>
    <row r="94" spans="1:18" s="187" customFormat="1" ht="17.25" customHeight="1" thickBot="1">
      <c r="A94" s="196"/>
      <c r="B94" s="204">
        <v>42</v>
      </c>
      <c r="C94" s="229"/>
      <c r="D94" s="204"/>
      <c r="E94" s="230" t="s">
        <v>156</v>
      </c>
      <c r="F94" s="210">
        <f>'[2]Druhova'!G90</f>
        <v>490182.37</v>
      </c>
      <c r="G94" s="211">
        <f>'[2]Druhova'!B90</f>
        <v>45836</v>
      </c>
      <c r="H94" s="211">
        <f>'[2]Druhova'!C90</f>
        <v>564772</v>
      </c>
      <c r="I94" s="211">
        <f>'[2]Druhova'!D90</f>
        <v>857876.81</v>
      </c>
      <c r="J94" s="211">
        <f t="shared" si="2"/>
        <v>151.9</v>
      </c>
      <c r="K94" s="212">
        <f t="shared" si="3"/>
        <v>175.01</v>
      </c>
      <c r="L94" s="186"/>
      <c r="M94" s="186"/>
      <c r="N94" s="186"/>
      <c r="O94" s="186"/>
      <c r="P94" s="186"/>
      <c r="Q94" s="186"/>
      <c r="R94" s="186"/>
    </row>
    <row r="95" spans="1:18" s="187" customFormat="1" ht="24.75" customHeight="1" thickBot="1">
      <c r="A95" s="213">
        <v>4</v>
      </c>
      <c r="B95" s="214"/>
      <c r="C95" s="250"/>
      <c r="D95" s="214"/>
      <c r="E95" s="251" t="s">
        <v>157</v>
      </c>
      <c r="F95" s="218">
        <f>'[2]Druhova'!G91</f>
        <v>934219.53</v>
      </c>
      <c r="G95" s="219">
        <f>'[2]Druhova'!B91</f>
        <v>326829</v>
      </c>
      <c r="H95" s="219">
        <f>'[2]Druhova'!C91</f>
        <v>859704</v>
      </c>
      <c r="I95" s="219">
        <f>'[2]Druhova'!D91</f>
        <v>1397235.54</v>
      </c>
      <c r="J95" s="219">
        <f t="shared" si="2"/>
        <v>162.53</v>
      </c>
      <c r="K95" s="220">
        <f t="shared" si="3"/>
        <v>149.56</v>
      </c>
      <c r="L95" s="186"/>
      <c r="M95" s="186"/>
      <c r="N95" s="186"/>
      <c r="O95" s="186"/>
      <c r="P95" s="186"/>
      <c r="Q95" s="186"/>
      <c r="R95" s="186"/>
    </row>
    <row r="96" spans="1:18" s="187" customFormat="1" ht="30" customHeight="1" thickBot="1">
      <c r="A96" s="252" t="s">
        <v>158</v>
      </c>
      <c r="B96" s="214"/>
      <c r="C96" s="250"/>
      <c r="D96" s="214"/>
      <c r="E96" s="251" t="s">
        <v>159</v>
      </c>
      <c r="F96" s="218">
        <f>'[2]Druhova'!G92</f>
        <v>7800514.65</v>
      </c>
      <c r="G96" s="219">
        <f>'[2]Druhova'!B92</f>
        <v>6915896</v>
      </c>
      <c r="H96" s="219">
        <f>'[2]Druhova'!C92</f>
        <v>7416438</v>
      </c>
      <c r="I96" s="219">
        <f>'[2]Druhova'!D92</f>
        <v>7950598.42</v>
      </c>
      <c r="J96" s="219">
        <f t="shared" si="2"/>
        <v>107.2</v>
      </c>
      <c r="K96" s="220">
        <f t="shared" si="3"/>
        <v>101.92</v>
      </c>
      <c r="L96" s="186"/>
      <c r="M96" s="186"/>
      <c r="N96" s="186"/>
      <c r="O96" s="186"/>
      <c r="P96" s="186"/>
      <c r="Q96" s="186"/>
      <c r="R96" s="186"/>
    </row>
    <row r="97" spans="1:18" s="187" customFormat="1" ht="2.25" customHeight="1" thickBot="1">
      <c r="A97" s="253"/>
      <c r="B97" s="254"/>
      <c r="C97" s="254"/>
      <c r="D97" s="255"/>
      <c r="E97" s="256"/>
      <c r="F97" s="257">
        <f>'[2]Druhova'!G93</f>
        <v>0</v>
      </c>
      <c r="G97" s="257">
        <f>'[2]Druhova'!B93</f>
        <v>0</v>
      </c>
      <c r="H97" s="257">
        <f>'[2]Druhova'!C93</f>
        <v>0</v>
      </c>
      <c r="I97" s="257">
        <f>'[2]Druhova'!D93</f>
        <v>0</v>
      </c>
      <c r="J97" s="257">
        <f t="shared" si="2"/>
      </c>
      <c r="K97" s="258">
        <f t="shared" si="3"/>
      </c>
      <c r="L97" s="186"/>
      <c r="M97" s="186"/>
      <c r="N97" s="186"/>
      <c r="O97" s="186"/>
      <c r="P97" s="186"/>
      <c r="Q97" s="186"/>
      <c r="R97" s="186"/>
    </row>
    <row r="98" spans="1:18" s="187" customFormat="1" ht="19.5" customHeight="1" thickBot="1">
      <c r="A98" s="213" t="s">
        <v>160</v>
      </c>
      <c r="B98" s="214"/>
      <c r="C98" s="250"/>
      <c r="D98" s="214"/>
      <c r="E98" s="259" t="s">
        <v>161</v>
      </c>
      <c r="F98" s="260">
        <f>'[2]Druhova'!G94</f>
        <v>7800514.65</v>
      </c>
      <c r="G98" s="257">
        <f>'[2]Druhova'!B94</f>
        <v>6915896</v>
      </c>
      <c r="H98" s="257">
        <f>'[2]Druhova'!C94</f>
        <v>7416438</v>
      </c>
      <c r="I98" s="257">
        <f>'[2]Druhova'!D94</f>
        <v>7950598.42</v>
      </c>
      <c r="J98" s="257">
        <f t="shared" si="2"/>
        <v>107.2</v>
      </c>
      <c r="K98" s="258">
        <f t="shared" si="3"/>
        <v>101.92</v>
      </c>
      <c r="L98" s="186"/>
      <c r="M98" s="186"/>
      <c r="N98" s="186"/>
      <c r="O98" s="186"/>
      <c r="P98" s="186"/>
      <c r="Q98" s="186"/>
      <c r="R98" s="186"/>
    </row>
    <row r="99" spans="1:18" s="187" customFormat="1" ht="16.5" customHeight="1">
      <c r="A99" s="261"/>
      <c r="B99" s="231"/>
      <c r="C99" s="232"/>
      <c r="D99" s="231"/>
      <c r="E99" s="262" t="s">
        <v>162</v>
      </c>
      <c r="F99" s="193">
        <f>'[2]Druhova'!G95</f>
        <v>0</v>
      </c>
      <c r="G99" s="193">
        <f>'[2]Druhova'!B95</f>
        <v>0</v>
      </c>
      <c r="H99" s="193">
        <f>'[2]Druhova'!C95</f>
        <v>0</v>
      </c>
      <c r="I99" s="193">
        <f>'[2]Druhova'!D95</f>
        <v>0</v>
      </c>
      <c r="J99" s="193">
        <f t="shared" si="2"/>
      </c>
      <c r="K99" s="194">
        <f t="shared" si="3"/>
      </c>
      <c r="L99" s="186"/>
      <c r="M99" s="186"/>
      <c r="N99" s="186"/>
      <c r="O99" s="186"/>
      <c r="P99" s="186"/>
      <c r="Q99" s="186"/>
      <c r="R99" s="186"/>
    </row>
    <row r="100" spans="1:18" s="187" customFormat="1" ht="16.5" customHeight="1">
      <c r="A100" s="196"/>
      <c r="B100" s="204"/>
      <c r="C100" s="227">
        <v>501</v>
      </c>
      <c r="D100" s="189"/>
      <c r="E100" s="228" t="s">
        <v>163</v>
      </c>
      <c r="F100" s="193">
        <f>'[2]Druhova'!G96</f>
        <v>23131134.89</v>
      </c>
      <c r="G100" s="193">
        <f>'[2]Druhova'!B96</f>
        <v>22047116</v>
      </c>
      <c r="H100" s="193">
        <f>'[2]Druhova'!C96</f>
        <v>22056929</v>
      </c>
      <c r="I100" s="193">
        <f>'[2]Druhova'!D96</f>
        <v>22189130.32</v>
      </c>
      <c r="J100" s="193">
        <f t="shared" si="2"/>
        <v>100.6</v>
      </c>
      <c r="K100" s="194">
        <f t="shared" si="3"/>
        <v>95.93</v>
      </c>
      <c r="L100" s="186"/>
      <c r="M100" s="186"/>
      <c r="N100" s="186"/>
      <c r="O100" s="186"/>
      <c r="P100" s="186"/>
      <c r="Q100" s="186"/>
      <c r="R100" s="186"/>
    </row>
    <row r="101" spans="1:18" s="187" customFormat="1" ht="22.5" customHeight="1">
      <c r="A101" s="196"/>
      <c r="B101" s="204"/>
      <c r="C101" s="227"/>
      <c r="D101" s="189">
        <v>5011</v>
      </c>
      <c r="E101" s="228" t="s">
        <v>320</v>
      </c>
      <c r="F101" s="193">
        <f>'[2]Druhova'!G97</f>
        <v>4153482.88</v>
      </c>
      <c r="G101" s="193">
        <f>'[2]Druhova'!B97</f>
        <v>3958597</v>
      </c>
      <c r="H101" s="193">
        <f>'[2]Druhova'!C97</f>
        <v>4071229</v>
      </c>
      <c r="I101" s="193">
        <f>'[2]Druhova'!D97</f>
        <v>4076779.84</v>
      </c>
      <c r="J101" s="193">
        <f t="shared" si="2"/>
        <v>100.14</v>
      </c>
      <c r="K101" s="194">
        <f t="shared" si="3"/>
        <v>98.15</v>
      </c>
      <c r="L101" s="186"/>
      <c r="M101" s="186"/>
      <c r="N101" s="186"/>
      <c r="O101" s="186"/>
      <c r="P101" s="186"/>
      <c r="Q101" s="186"/>
      <c r="R101" s="186"/>
    </row>
    <row r="102" spans="1:18" s="187" customFormat="1" ht="22.5" customHeight="1">
      <c r="A102" s="196"/>
      <c r="B102" s="204"/>
      <c r="C102" s="227"/>
      <c r="D102" s="189">
        <v>5012</v>
      </c>
      <c r="E102" s="228" t="s">
        <v>164</v>
      </c>
      <c r="F102" s="193">
        <f>'[2]Druhova'!G98</f>
        <v>18977652.01</v>
      </c>
      <c r="G102" s="193">
        <f>'[2]Druhova'!B98</f>
        <v>18088519</v>
      </c>
      <c r="H102" s="193">
        <f>'[2]Druhova'!C98</f>
        <v>17985700</v>
      </c>
      <c r="I102" s="193">
        <f>'[2]Druhova'!D98</f>
        <v>18112350.47</v>
      </c>
      <c r="J102" s="193">
        <f t="shared" si="2"/>
        <v>100.7</v>
      </c>
      <c r="K102" s="194">
        <f t="shared" si="3"/>
        <v>95.44</v>
      </c>
      <c r="L102" s="186"/>
      <c r="M102" s="186"/>
      <c r="N102" s="186"/>
      <c r="O102" s="186"/>
      <c r="P102" s="186"/>
      <c r="Q102" s="186"/>
      <c r="R102" s="186"/>
    </row>
    <row r="103" spans="1:18" s="187" customFormat="1" ht="22.5" customHeight="1">
      <c r="A103" s="196"/>
      <c r="B103" s="204"/>
      <c r="C103" s="227"/>
      <c r="D103" s="189">
        <v>5013</v>
      </c>
      <c r="E103" s="228" t="s">
        <v>165</v>
      </c>
      <c r="F103" s="193">
        <f>'[2]Druhova'!G99</f>
        <v>0</v>
      </c>
      <c r="G103" s="193">
        <f>'[2]Druhova'!B99</f>
        <v>0</v>
      </c>
      <c r="H103" s="193">
        <f>'[2]Druhova'!C99</f>
        <v>0</v>
      </c>
      <c r="I103" s="193">
        <f>'[2]Druhova'!D99</f>
        <v>0</v>
      </c>
      <c r="J103" s="193">
        <f t="shared" si="2"/>
      </c>
      <c r="K103" s="194">
        <f t="shared" si="3"/>
      </c>
      <c r="L103" s="186"/>
      <c r="M103" s="186"/>
      <c r="N103" s="186"/>
      <c r="O103" s="186"/>
      <c r="P103" s="186"/>
      <c r="Q103" s="186"/>
      <c r="R103" s="186"/>
    </row>
    <row r="104" spans="1:18" s="187" customFormat="1" ht="34.5" customHeight="1">
      <c r="A104" s="196"/>
      <c r="B104" s="204"/>
      <c r="C104" s="227"/>
      <c r="D104" s="189">
        <v>5014</v>
      </c>
      <c r="E104" s="228" t="s">
        <v>166</v>
      </c>
      <c r="F104" s="193">
        <f>'[2]Druhova'!G100</f>
        <v>0</v>
      </c>
      <c r="G104" s="193">
        <f>'[2]Druhova'!B100</f>
        <v>0</v>
      </c>
      <c r="H104" s="193">
        <f>'[2]Druhova'!C100</f>
        <v>0</v>
      </c>
      <c r="I104" s="193">
        <f>'[2]Druhova'!D100</f>
        <v>0</v>
      </c>
      <c r="J104" s="193">
        <f t="shared" si="2"/>
      </c>
      <c r="K104" s="194">
        <f t="shared" si="3"/>
      </c>
      <c r="L104" s="186"/>
      <c r="M104" s="186"/>
      <c r="N104" s="186"/>
      <c r="O104" s="186"/>
      <c r="P104" s="186"/>
      <c r="Q104" s="186"/>
      <c r="R104" s="186"/>
    </row>
    <row r="105" spans="1:18" s="187" customFormat="1" ht="16.5" customHeight="1">
      <c r="A105" s="196"/>
      <c r="B105" s="204"/>
      <c r="C105" s="227"/>
      <c r="D105" s="189">
        <v>5019</v>
      </c>
      <c r="E105" s="228" t="s">
        <v>167</v>
      </c>
      <c r="F105" s="193">
        <f>'[2]Druhova'!G101</f>
        <v>0</v>
      </c>
      <c r="G105" s="193">
        <f>'[2]Druhova'!B101</f>
        <v>0</v>
      </c>
      <c r="H105" s="193">
        <f>'[2]Druhova'!C101</f>
        <v>0</v>
      </c>
      <c r="I105" s="193">
        <f>'[2]Druhova'!D101</f>
        <v>0</v>
      </c>
      <c r="J105" s="193">
        <f t="shared" si="2"/>
      </c>
      <c r="K105" s="194">
        <f t="shared" si="3"/>
      </c>
      <c r="L105" s="186"/>
      <c r="M105" s="186"/>
      <c r="N105" s="186"/>
      <c r="O105" s="186"/>
      <c r="P105" s="186"/>
      <c r="Q105" s="186"/>
      <c r="R105" s="186"/>
    </row>
    <row r="106" spans="1:18" s="187" customFormat="1" ht="16.5" customHeight="1">
      <c r="A106" s="196"/>
      <c r="B106" s="204"/>
      <c r="C106" s="227">
        <v>502</v>
      </c>
      <c r="D106" s="189"/>
      <c r="E106" s="228" t="s">
        <v>168</v>
      </c>
      <c r="F106" s="193">
        <f>'[2]Druhova'!G102</f>
        <v>544602.76</v>
      </c>
      <c r="G106" s="193">
        <f>'[2]Druhova'!B102</f>
        <v>342432</v>
      </c>
      <c r="H106" s="193">
        <f>'[2]Druhova'!C102</f>
        <v>379561</v>
      </c>
      <c r="I106" s="193">
        <f>'[2]Druhova'!D102</f>
        <v>350023.61</v>
      </c>
      <c r="J106" s="193">
        <f t="shared" si="2"/>
        <v>92.22</v>
      </c>
      <c r="K106" s="194">
        <f t="shared" si="3"/>
        <v>64.27</v>
      </c>
      <c r="L106" s="186"/>
      <c r="M106" s="186"/>
      <c r="N106" s="186"/>
      <c r="O106" s="186"/>
      <c r="P106" s="186"/>
      <c r="Q106" s="186"/>
      <c r="R106" s="186"/>
    </row>
    <row r="107" spans="1:18" s="187" customFormat="1" ht="16.5" customHeight="1">
      <c r="A107" s="196"/>
      <c r="B107" s="204"/>
      <c r="C107" s="227"/>
      <c r="D107" s="189">
        <v>5021</v>
      </c>
      <c r="E107" s="228" t="s">
        <v>169</v>
      </c>
      <c r="F107" s="193">
        <f>'[2]Druhova'!G103</f>
        <v>133980.39</v>
      </c>
      <c r="G107" s="193">
        <f>'[2]Druhova'!B103</f>
        <v>182462</v>
      </c>
      <c r="H107" s="193">
        <f>'[2]Druhova'!C103</f>
        <v>137081.24</v>
      </c>
      <c r="I107" s="193">
        <f>'[2]Druhova'!D103</f>
        <v>133182.79</v>
      </c>
      <c r="J107" s="193">
        <f t="shared" si="2"/>
        <v>97.16</v>
      </c>
      <c r="K107" s="194">
        <f t="shared" si="3"/>
        <v>99.4</v>
      </c>
      <c r="L107" s="186"/>
      <c r="M107" s="186"/>
      <c r="N107" s="186"/>
      <c r="O107" s="186"/>
      <c r="P107" s="186"/>
      <c r="Q107" s="186"/>
      <c r="R107" s="186"/>
    </row>
    <row r="108" spans="1:18" s="187" customFormat="1" ht="22.5" customHeight="1">
      <c r="A108" s="196"/>
      <c r="B108" s="204"/>
      <c r="C108" s="227"/>
      <c r="D108" s="189">
        <v>5022</v>
      </c>
      <c r="E108" s="228" t="s">
        <v>170</v>
      </c>
      <c r="F108" s="193">
        <f>'[2]Druhova'!G104</f>
        <v>884.78</v>
      </c>
      <c r="G108" s="193">
        <f>'[2]Druhova'!B104</f>
        <v>1280</v>
      </c>
      <c r="H108" s="193">
        <f>'[2]Druhova'!C104</f>
        <v>1280</v>
      </c>
      <c r="I108" s="193">
        <f>'[2]Druhova'!D104</f>
        <v>1279.2</v>
      </c>
      <c r="J108" s="193">
        <f t="shared" si="2"/>
        <v>99.94</v>
      </c>
      <c r="K108" s="194">
        <f t="shared" si="3"/>
        <v>144.58</v>
      </c>
      <c r="L108" s="186"/>
      <c r="M108" s="186"/>
      <c r="N108" s="186"/>
      <c r="O108" s="186"/>
      <c r="P108" s="186"/>
      <c r="Q108" s="186"/>
      <c r="R108" s="186"/>
    </row>
    <row r="109" spans="1:18" s="187" customFormat="1" ht="12.75">
      <c r="A109" s="196"/>
      <c r="B109" s="204"/>
      <c r="C109" s="227"/>
      <c r="D109" s="189">
        <v>5023</v>
      </c>
      <c r="E109" s="228" t="s">
        <v>171</v>
      </c>
      <c r="F109" s="193">
        <f>'[2]Druhova'!G105</f>
        <v>0</v>
      </c>
      <c r="G109" s="193">
        <f>'[2]Druhova'!B105</f>
        <v>0</v>
      </c>
      <c r="H109" s="193">
        <f>'[2]Druhova'!C105</f>
        <v>0</v>
      </c>
      <c r="I109" s="193">
        <f>'[2]Druhova'!D105</f>
        <v>0</v>
      </c>
      <c r="J109" s="193">
        <f t="shared" si="2"/>
      </c>
      <c r="K109" s="194">
        <f t="shared" si="3"/>
      </c>
      <c r="L109" s="186"/>
      <c r="M109" s="186"/>
      <c r="N109" s="186"/>
      <c r="O109" s="186"/>
      <c r="P109" s="186"/>
      <c r="Q109" s="186"/>
      <c r="R109" s="186"/>
    </row>
    <row r="110" spans="1:18" s="187" customFormat="1" ht="12.75">
      <c r="A110" s="196"/>
      <c r="B110" s="204"/>
      <c r="C110" s="227"/>
      <c r="D110" s="189">
        <v>5024</v>
      </c>
      <c r="E110" s="228" t="s">
        <v>172</v>
      </c>
      <c r="F110" s="193">
        <f>'[2]Druhova'!G106</f>
        <v>83161.85</v>
      </c>
      <c r="G110" s="193">
        <f>'[2]Druhova'!B106</f>
        <v>41796</v>
      </c>
      <c r="H110" s="193">
        <f>'[2]Druhova'!C106</f>
        <v>63075.45</v>
      </c>
      <c r="I110" s="193">
        <f>'[2]Druhova'!D106</f>
        <v>52172.09</v>
      </c>
      <c r="J110" s="193">
        <f t="shared" si="2"/>
        <v>82.71</v>
      </c>
      <c r="K110" s="194">
        <f t="shared" si="3"/>
        <v>62.74</v>
      </c>
      <c r="L110" s="186"/>
      <c r="M110" s="186"/>
      <c r="N110" s="186"/>
      <c r="O110" s="186"/>
      <c r="P110" s="186"/>
      <c r="Q110" s="186"/>
      <c r="R110" s="186"/>
    </row>
    <row r="111" spans="1:18" s="187" customFormat="1" ht="12.75">
      <c r="A111" s="196"/>
      <c r="B111" s="204"/>
      <c r="C111" s="227"/>
      <c r="D111" s="189">
        <v>5025</v>
      </c>
      <c r="E111" s="228" t="s">
        <v>173</v>
      </c>
      <c r="F111" s="193">
        <f>'[2]Druhova'!G107</f>
        <v>0</v>
      </c>
      <c r="G111" s="193">
        <f>'[2]Druhova'!B107</f>
        <v>0</v>
      </c>
      <c r="H111" s="193">
        <f>'[2]Druhova'!C107</f>
        <v>0</v>
      </c>
      <c r="I111" s="193">
        <f>'[2]Druhova'!D107</f>
        <v>0</v>
      </c>
      <c r="J111" s="193">
        <f t="shared" si="2"/>
      </c>
      <c r="K111" s="194">
        <f t="shared" si="3"/>
      </c>
      <c r="L111" s="186"/>
      <c r="M111" s="186"/>
      <c r="N111" s="186"/>
      <c r="O111" s="186"/>
      <c r="P111" s="186"/>
      <c r="Q111" s="186"/>
      <c r="R111" s="186"/>
    </row>
    <row r="112" spans="1:18" s="187" customFormat="1" ht="12.75">
      <c r="A112" s="196"/>
      <c r="B112" s="204"/>
      <c r="C112" s="227"/>
      <c r="D112" s="189">
        <v>5026</v>
      </c>
      <c r="E112" s="228" t="s">
        <v>174</v>
      </c>
      <c r="F112" s="193">
        <f>'[2]Druhova'!G108</f>
        <v>0</v>
      </c>
      <c r="G112" s="193">
        <f>'[2]Druhova'!B108</f>
        <v>0</v>
      </c>
      <c r="H112" s="193">
        <f>'[2]Druhova'!C108</f>
        <v>0</v>
      </c>
      <c r="I112" s="193">
        <f>'[2]Druhova'!D108</f>
        <v>0</v>
      </c>
      <c r="J112" s="193">
        <f t="shared" si="2"/>
      </c>
      <c r="K112" s="194">
        <f t="shared" si="3"/>
      </c>
      <c r="L112" s="186"/>
      <c r="M112" s="186"/>
      <c r="N112" s="186"/>
      <c r="O112" s="186"/>
      <c r="P112" s="186"/>
      <c r="Q112" s="186"/>
      <c r="R112" s="186"/>
    </row>
    <row r="113" spans="1:18" s="187" customFormat="1" ht="34.5" customHeight="1">
      <c r="A113" s="196"/>
      <c r="B113" s="204"/>
      <c r="C113" s="227"/>
      <c r="D113" s="189">
        <v>5027</v>
      </c>
      <c r="E113" s="228" t="s">
        <v>175</v>
      </c>
      <c r="F113" s="193">
        <f>'[2]Druhova'!G109</f>
        <v>0</v>
      </c>
      <c r="G113" s="193">
        <f>'[2]Druhova'!B109</f>
        <v>0</v>
      </c>
      <c r="H113" s="193">
        <f>'[2]Druhova'!C109</f>
        <v>0</v>
      </c>
      <c r="I113" s="193">
        <f>'[2]Druhova'!D109</f>
        <v>0</v>
      </c>
      <c r="J113" s="193">
        <f t="shared" si="2"/>
      </c>
      <c r="K113" s="194">
        <f t="shared" si="3"/>
      </c>
      <c r="L113" s="186"/>
      <c r="M113" s="186"/>
      <c r="N113" s="186"/>
      <c r="O113" s="186"/>
      <c r="P113" s="186"/>
      <c r="Q113" s="186"/>
      <c r="R113" s="186"/>
    </row>
    <row r="114" spans="1:18" s="187" customFormat="1" ht="22.5" customHeight="1">
      <c r="A114" s="196"/>
      <c r="B114" s="204"/>
      <c r="C114" s="227"/>
      <c r="D114" s="189">
        <v>5029</v>
      </c>
      <c r="E114" s="228" t="s">
        <v>176</v>
      </c>
      <c r="F114" s="193">
        <f>'[2]Druhova'!G110</f>
        <v>326575.74</v>
      </c>
      <c r="G114" s="193">
        <f>'[2]Druhova'!B110</f>
        <v>116894</v>
      </c>
      <c r="H114" s="193">
        <f>'[2]Druhova'!C110</f>
        <v>178124.31</v>
      </c>
      <c r="I114" s="193">
        <f>'[2]Druhova'!D110</f>
        <v>163389.54</v>
      </c>
      <c r="J114" s="193">
        <f t="shared" si="2"/>
        <v>91.73</v>
      </c>
      <c r="K114" s="194">
        <f t="shared" si="3"/>
        <v>50.03</v>
      </c>
      <c r="L114" s="186"/>
      <c r="M114" s="186"/>
      <c r="N114" s="186"/>
      <c r="O114" s="186"/>
      <c r="P114" s="186"/>
      <c r="Q114" s="186"/>
      <c r="R114" s="186"/>
    </row>
    <row r="115" spans="1:28" ht="12.75">
      <c r="A115" s="196"/>
      <c r="B115" s="204"/>
      <c r="C115" s="227">
        <v>503</v>
      </c>
      <c r="D115" s="189"/>
      <c r="E115" s="228" t="s">
        <v>321</v>
      </c>
      <c r="F115" s="193">
        <f>'[2]Druhova'!G111</f>
        <v>7775966.33</v>
      </c>
      <c r="G115" s="193">
        <f>'[2]Druhova'!B111</f>
        <v>7535700</v>
      </c>
      <c r="H115" s="193">
        <f>'[2]Druhova'!C111</f>
        <v>7540638</v>
      </c>
      <c r="I115" s="193">
        <f>'[2]Druhova'!D111</f>
        <v>7457553.3</v>
      </c>
      <c r="J115" s="193">
        <f t="shared" si="2"/>
        <v>98.9</v>
      </c>
      <c r="K115" s="194">
        <f t="shared" si="3"/>
        <v>95.91</v>
      </c>
      <c r="L115" s="141"/>
      <c r="M115" s="141"/>
      <c r="N115" s="141"/>
      <c r="O115" s="141"/>
      <c r="P115" s="141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</row>
    <row r="116" spans="1:28" ht="34.5" customHeight="1">
      <c r="A116" s="196"/>
      <c r="B116" s="204"/>
      <c r="C116" s="227"/>
      <c r="D116" s="189" t="s">
        <v>177</v>
      </c>
      <c r="E116" s="228" t="s">
        <v>178</v>
      </c>
      <c r="F116" s="193">
        <f>'[2]Druhova'!G112</f>
        <v>7775966.33</v>
      </c>
      <c r="G116" s="193">
        <f>'[2]Druhova'!B112</f>
        <v>7535700</v>
      </c>
      <c r="H116" s="193">
        <f>'[2]Druhova'!C112</f>
        <v>7540638</v>
      </c>
      <c r="I116" s="193">
        <f>'[2]Druhova'!D112</f>
        <v>7457553.3</v>
      </c>
      <c r="J116" s="193">
        <f t="shared" si="2"/>
        <v>98.9</v>
      </c>
      <c r="K116" s="194">
        <f t="shared" si="3"/>
        <v>95.91</v>
      </c>
      <c r="L116" s="141"/>
      <c r="M116" s="141"/>
      <c r="N116" s="141"/>
      <c r="O116" s="141"/>
      <c r="P116" s="141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</row>
    <row r="117" spans="1:28" ht="16.5" customHeight="1">
      <c r="A117" s="196"/>
      <c r="B117" s="204"/>
      <c r="C117" s="227">
        <v>504</v>
      </c>
      <c r="D117" s="189"/>
      <c r="E117" s="228" t="s">
        <v>179</v>
      </c>
      <c r="F117" s="193">
        <f>'[2]Druhova'!G113</f>
        <v>1572.04</v>
      </c>
      <c r="G117" s="193">
        <f>'[2]Druhova'!B113</f>
        <v>1573</v>
      </c>
      <c r="H117" s="193">
        <f>'[2]Druhova'!C113</f>
        <v>1765.97</v>
      </c>
      <c r="I117" s="193">
        <f>'[2]Druhova'!D113</f>
        <v>1725.04</v>
      </c>
      <c r="J117" s="193">
        <f t="shared" si="2"/>
        <v>97.68</v>
      </c>
      <c r="K117" s="194">
        <f t="shared" si="3"/>
        <v>109.73</v>
      </c>
      <c r="L117" s="141"/>
      <c r="M117" s="141"/>
      <c r="N117" s="141"/>
      <c r="O117" s="141"/>
      <c r="P117" s="141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</row>
    <row r="118" spans="1:28" ht="16.5" customHeight="1">
      <c r="A118" s="196"/>
      <c r="B118" s="204"/>
      <c r="C118" s="227">
        <v>505</v>
      </c>
      <c r="D118" s="189"/>
      <c r="E118" s="228" t="s">
        <v>180</v>
      </c>
      <c r="F118" s="193">
        <f>'[2]Druhova'!G114</f>
        <v>5893.32</v>
      </c>
      <c r="G118" s="193">
        <f>'[2]Druhova'!B114</f>
        <v>0</v>
      </c>
      <c r="H118" s="193">
        <f>'[2]Druhova'!C114</f>
        <v>5918.33</v>
      </c>
      <c r="I118" s="193">
        <f>'[2]Druhova'!D114</f>
        <v>6175.54</v>
      </c>
      <c r="J118" s="193">
        <f t="shared" si="2"/>
        <v>104.35</v>
      </c>
      <c r="K118" s="194">
        <f t="shared" si="3"/>
        <v>104.79</v>
      </c>
      <c r="L118" s="141"/>
      <c r="M118" s="141"/>
      <c r="N118" s="141"/>
      <c r="O118" s="141"/>
      <c r="P118" s="141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</row>
    <row r="119" spans="1:28" ht="23.25" customHeight="1">
      <c r="A119" s="196"/>
      <c r="B119" s="204">
        <v>50</v>
      </c>
      <c r="C119" s="227"/>
      <c r="D119" s="189"/>
      <c r="E119" s="263" t="s">
        <v>181</v>
      </c>
      <c r="F119" s="201">
        <f>'[2]Druhova'!G115</f>
        <v>31459169.34</v>
      </c>
      <c r="G119" s="201">
        <f>'[2]Druhova'!B115</f>
        <v>29926821</v>
      </c>
      <c r="H119" s="201">
        <f>'[2]Druhova'!C115</f>
        <v>29984812.3</v>
      </c>
      <c r="I119" s="201">
        <f>'[2]Druhova'!D115</f>
        <v>30004607.81</v>
      </c>
      <c r="J119" s="201">
        <f t="shared" si="2"/>
        <v>100.07</v>
      </c>
      <c r="K119" s="202">
        <f t="shared" si="3"/>
        <v>95.38</v>
      </c>
      <c r="L119" s="141"/>
      <c r="M119" s="141"/>
      <c r="N119" s="141"/>
      <c r="O119" s="141"/>
      <c r="P119" s="141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</row>
    <row r="120" spans="1:28" ht="18" customHeight="1">
      <c r="A120" s="196"/>
      <c r="B120" s="204"/>
      <c r="C120" s="189">
        <v>513</v>
      </c>
      <c r="D120" s="189"/>
      <c r="E120" s="228" t="s">
        <v>182</v>
      </c>
      <c r="F120" s="193">
        <f>'[2]Druhova'!G116</f>
        <v>1931310.26</v>
      </c>
      <c r="G120" s="193">
        <f>'[2]Druhova'!B116</f>
        <v>1863119</v>
      </c>
      <c r="H120" s="193">
        <f>'[2]Druhova'!C116</f>
        <v>1956225.83</v>
      </c>
      <c r="I120" s="193">
        <f>'[2]Druhova'!D116</f>
        <v>1501410.98</v>
      </c>
      <c r="J120" s="193">
        <f t="shared" si="2"/>
        <v>76.75</v>
      </c>
      <c r="K120" s="194">
        <f t="shared" si="3"/>
        <v>77.74</v>
      </c>
      <c r="L120" s="141"/>
      <c r="M120" s="141"/>
      <c r="N120" s="141"/>
      <c r="O120" s="141"/>
      <c r="P120" s="141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</row>
    <row r="121" spans="1:28" ht="16.5" customHeight="1">
      <c r="A121" s="196"/>
      <c r="B121" s="204"/>
      <c r="C121" s="189">
        <v>514</v>
      </c>
      <c r="D121" s="189"/>
      <c r="E121" s="228" t="s">
        <v>183</v>
      </c>
      <c r="F121" s="193">
        <f>'[2]Druhova'!G117</f>
        <v>2917.8</v>
      </c>
      <c r="G121" s="193">
        <f>'[2]Druhova'!B117</f>
        <v>500</v>
      </c>
      <c r="H121" s="193">
        <f>'[2]Druhova'!C117</f>
        <v>2562.34</v>
      </c>
      <c r="I121" s="193">
        <f>'[2]Druhova'!D117</f>
        <v>2092.62</v>
      </c>
      <c r="J121" s="193">
        <f t="shared" si="2"/>
        <v>81.67</v>
      </c>
      <c r="K121" s="194">
        <f t="shared" si="3"/>
        <v>71.72</v>
      </c>
      <c r="L121" s="141"/>
      <c r="M121" s="141"/>
      <c r="N121" s="141"/>
      <c r="O121" s="141"/>
      <c r="P121" s="141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</row>
    <row r="122" spans="1:28" ht="16.5" customHeight="1">
      <c r="A122" s="196"/>
      <c r="B122" s="204"/>
      <c r="C122" s="189">
        <v>515</v>
      </c>
      <c r="D122" s="189"/>
      <c r="E122" s="228" t="s">
        <v>184</v>
      </c>
      <c r="F122" s="193">
        <f>'[2]Druhova'!G118</f>
        <v>1742636.4</v>
      </c>
      <c r="G122" s="193">
        <f>'[2]Druhova'!B118</f>
        <v>2119114</v>
      </c>
      <c r="H122" s="193">
        <f>'[2]Druhova'!C118</f>
        <v>1764463.16</v>
      </c>
      <c r="I122" s="193">
        <f>'[2]Druhova'!D118</f>
        <v>1780408.14</v>
      </c>
      <c r="J122" s="193">
        <f t="shared" si="2"/>
        <v>100.9</v>
      </c>
      <c r="K122" s="194">
        <f t="shared" si="3"/>
        <v>102.17</v>
      </c>
      <c r="L122" s="141"/>
      <c r="M122" s="141"/>
      <c r="N122" s="141"/>
      <c r="O122" s="141"/>
      <c r="P122" s="141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</row>
    <row r="123" spans="1:28" ht="16.5" customHeight="1">
      <c r="A123" s="196"/>
      <c r="B123" s="204"/>
      <c r="C123" s="189">
        <v>516</v>
      </c>
      <c r="D123" s="189"/>
      <c r="E123" s="228" t="s">
        <v>185</v>
      </c>
      <c r="F123" s="193">
        <f>'[2]Druhova'!G119</f>
        <v>4039455.2</v>
      </c>
      <c r="G123" s="193">
        <f>'[2]Druhova'!B119</f>
        <v>5076591</v>
      </c>
      <c r="H123" s="193">
        <f>'[2]Druhova'!C119</f>
        <v>5705549.15</v>
      </c>
      <c r="I123" s="193">
        <f>'[2]Druhova'!D119</f>
        <v>5372935.38</v>
      </c>
      <c r="J123" s="193">
        <f t="shared" si="2"/>
        <v>94.17</v>
      </c>
      <c r="K123" s="194">
        <f t="shared" si="3"/>
        <v>133.01</v>
      </c>
      <c r="L123" s="141"/>
      <c r="M123" s="141"/>
      <c r="N123" s="141"/>
      <c r="O123" s="141"/>
      <c r="P123" s="141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</row>
    <row r="124" spans="1:28" ht="16.5" customHeight="1">
      <c r="A124" s="196"/>
      <c r="B124" s="204"/>
      <c r="C124" s="189">
        <v>517</v>
      </c>
      <c r="D124" s="189"/>
      <c r="E124" s="228" t="s">
        <v>186</v>
      </c>
      <c r="F124" s="193">
        <f>'[2]Druhova'!G120</f>
        <v>1353046.13</v>
      </c>
      <c r="G124" s="193">
        <f>'[2]Druhova'!B120</f>
        <v>1456492</v>
      </c>
      <c r="H124" s="193">
        <f>'[2]Druhova'!C120</f>
        <v>1273888.42</v>
      </c>
      <c r="I124" s="193">
        <f>'[2]Druhova'!D120</f>
        <v>1369942.45</v>
      </c>
      <c r="J124" s="193">
        <f t="shared" si="2"/>
        <v>107.54</v>
      </c>
      <c r="K124" s="194">
        <f t="shared" si="3"/>
        <v>101.25</v>
      </c>
      <c r="L124" s="141"/>
      <c r="M124" s="141"/>
      <c r="N124" s="141"/>
      <c r="O124" s="141"/>
      <c r="P124" s="141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</row>
    <row r="125" spans="1:28" ht="16.5" customHeight="1">
      <c r="A125" s="196"/>
      <c r="B125" s="204"/>
      <c r="C125" s="189"/>
      <c r="D125" s="189">
        <v>5171</v>
      </c>
      <c r="E125" s="228" t="s">
        <v>187</v>
      </c>
      <c r="F125" s="193">
        <f>'[2]Druhova'!G121</f>
        <v>792277.35</v>
      </c>
      <c r="G125" s="193">
        <f>'[2]Druhova'!B121</f>
        <v>683884</v>
      </c>
      <c r="H125" s="193">
        <f>'[2]Druhova'!C121</f>
        <v>627050.59</v>
      </c>
      <c r="I125" s="193">
        <f>'[2]Druhova'!D121</f>
        <v>639733.08</v>
      </c>
      <c r="J125" s="193">
        <f t="shared" si="2"/>
        <v>102.02</v>
      </c>
      <c r="K125" s="194">
        <f t="shared" si="3"/>
        <v>80.75</v>
      </c>
      <c r="L125" s="141"/>
      <c r="M125" s="141"/>
      <c r="N125" s="141"/>
      <c r="O125" s="141"/>
      <c r="P125" s="141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</row>
    <row r="126" spans="1:18" s="187" customFormat="1" ht="16.5" customHeight="1">
      <c r="A126" s="196"/>
      <c r="B126" s="204"/>
      <c r="C126" s="189"/>
      <c r="D126" s="189">
        <v>5173</v>
      </c>
      <c r="E126" s="228" t="s">
        <v>188</v>
      </c>
      <c r="F126" s="193">
        <f>'[2]Druhova'!G122</f>
        <v>170677.46</v>
      </c>
      <c r="G126" s="193">
        <f>'[2]Druhova'!B122</f>
        <v>191780</v>
      </c>
      <c r="H126" s="193">
        <f>'[2]Druhova'!C122</f>
        <v>180785.2</v>
      </c>
      <c r="I126" s="193">
        <f>'[2]Druhova'!D122</f>
        <v>176602.53</v>
      </c>
      <c r="J126" s="193">
        <f t="shared" si="2"/>
        <v>97.69</v>
      </c>
      <c r="K126" s="194">
        <f t="shared" si="3"/>
        <v>103.47</v>
      </c>
      <c r="L126" s="186"/>
      <c r="M126" s="186"/>
      <c r="N126" s="186"/>
      <c r="O126" s="186"/>
      <c r="P126" s="186"/>
      <c r="Q126" s="186"/>
      <c r="R126" s="186"/>
    </row>
    <row r="127" spans="1:28" ht="16.5" customHeight="1">
      <c r="A127" s="196"/>
      <c r="B127" s="204"/>
      <c r="C127" s="189">
        <v>518</v>
      </c>
      <c r="D127" s="189"/>
      <c r="E127" s="228" t="s">
        <v>189</v>
      </c>
      <c r="F127" s="193">
        <f>'[2]Druhova'!G123</f>
        <v>12.2</v>
      </c>
      <c r="G127" s="193">
        <f>'[2]Druhova'!B123</f>
        <v>0</v>
      </c>
      <c r="H127" s="193">
        <f>'[2]Druhova'!C123</f>
        <v>8.94</v>
      </c>
      <c r="I127" s="193">
        <f>'[2]Druhova'!D123</f>
        <v>8.94</v>
      </c>
      <c r="J127" s="193">
        <f t="shared" si="2"/>
        <v>100</v>
      </c>
      <c r="K127" s="194">
        <f t="shared" si="3"/>
        <v>73.28</v>
      </c>
      <c r="L127" s="141"/>
      <c r="M127" s="141"/>
      <c r="N127" s="141"/>
      <c r="O127" s="141"/>
      <c r="P127" s="141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</row>
    <row r="128" spans="1:28" ht="22.5" customHeight="1">
      <c r="A128" s="196"/>
      <c r="B128" s="204"/>
      <c r="C128" s="189">
        <v>519</v>
      </c>
      <c r="D128" s="189"/>
      <c r="E128" s="228" t="s">
        <v>190</v>
      </c>
      <c r="F128" s="193">
        <f>'[2]Druhova'!G124</f>
        <v>381256.5</v>
      </c>
      <c r="G128" s="193">
        <f>'[2]Druhova'!B124</f>
        <v>366342</v>
      </c>
      <c r="H128" s="193">
        <f>'[2]Druhova'!C124</f>
        <v>416666.24</v>
      </c>
      <c r="I128" s="193">
        <f>'[2]Druhova'!D124</f>
        <v>411343.98</v>
      </c>
      <c r="J128" s="193">
        <f t="shared" si="2"/>
        <v>98.72</v>
      </c>
      <c r="K128" s="194">
        <f t="shared" si="3"/>
        <v>107.89</v>
      </c>
      <c r="L128" s="141"/>
      <c r="M128" s="141"/>
      <c r="N128" s="141"/>
      <c r="O128" s="141"/>
      <c r="P128" s="141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</row>
    <row r="129" spans="1:28" ht="17.25" customHeight="1">
      <c r="A129" s="196"/>
      <c r="B129" s="204">
        <v>51</v>
      </c>
      <c r="C129" s="229"/>
      <c r="D129" s="204"/>
      <c r="E129" s="230" t="s">
        <v>191</v>
      </c>
      <c r="F129" s="201">
        <f>'[2]Druhova'!G125</f>
        <v>9450634.48</v>
      </c>
      <c r="G129" s="201">
        <f>'[2]Druhova'!B125</f>
        <v>10882158</v>
      </c>
      <c r="H129" s="201">
        <f>'[2]Druhova'!C125</f>
        <v>11119364.09</v>
      </c>
      <c r="I129" s="201">
        <f>'[2]Druhova'!D125</f>
        <v>10438142.49</v>
      </c>
      <c r="J129" s="201">
        <f t="shared" si="2"/>
        <v>93.87</v>
      </c>
      <c r="K129" s="202">
        <f t="shared" si="3"/>
        <v>110.45</v>
      </c>
      <c r="L129" s="141"/>
      <c r="M129" s="141"/>
      <c r="N129" s="141"/>
      <c r="O129" s="141"/>
      <c r="P129" s="141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</row>
    <row r="130" spans="1:28" ht="12.75">
      <c r="A130" s="196"/>
      <c r="B130" s="204"/>
      <c r="C130" s="189">
        <v>521</v>
      </c>
      <c r="D130" s="189"/>
      <c r="E130" s="228" t="s">
        <v>192</v>
      </c>
      <c r="F130" s="193">
        <f>'[2]Druhova'!G126</f>
        <v>88021.48</v>
      </c>
      <c r="G130" s="193">
        <f>'[2]Druhova'!B126</f>
        <v>102599</v>
      </c>
      <c r="H130" s="193">
        <f>'[2]Druhova'!C126</f>
        <v>157593.85</v>
      </c>
      <c r="I130" s="193">
        <f>'[2]Druhova'!D126</f>
        <v>147900.34</v>
      </c>
      <c r="J130" s="193">
        <f t="shared" si="2"/>
        <v>93.85</v>
      </c>
      <c r="K130" s="194">
        <f t="shared" si="3"/>
        <v>168.03</v>
      </c>
      <c r="L130" s="141"/>
      <c r="M130" s="141"/>
      <c r="N130" s="141"/>
      <c r="O130" s="141"/>
      <c r="P130" s="141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</row>
    <row r="131" spans="1:28" ht="12.75">
      <c r="A131" s="196"/>
      <c r="B131" s="204"/>
      <c r="C131" s="189">
        <v>522</v>
      </c>
      <c r="D131" s="189"/>
      <c r="E131" s="228" t="s">
        <v>193</v>
      </c>
      <c r="F131" s="193">
        <f>'[2]Druhova'!G127</f>
        <v>84393.24</v>
      </c>
      <c r="G131" s="193">
        <f>'[2]Druhova'!B127</f>
        <v>52114</v>
      </c>
      <c r="H131" s="193">
        <f>'[2]Druhova'!C127</f>
        <v>86522.75</v>
      </c>
      <c r="I131" s="193">
        <f>'[2]Druhova'!D127</f>
        <v>104465.72</v>
      </c>
      <c r="J131" s="193">
        <f t="shared" si="2"/>
        <v>120.74</v>
      </c>
      <c r="K131" s="194">
        <f t="shared" si="3"/>
        <v>123.78</v>
      </c>
      <c r="L131" s="141"/>
      <c r="M131" s="141"/>
      <c r="N131" s="141"/>
      <c r="O131" s="141"/>
      <c r="P131" s="141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</row>
    <row r="132" spans="1:28" ht="22.5">
      <c r="A132" s="196"/>
      <c r="B132" s="204"/>
      <c r="C132" s="189"/>
      <c r="D132" s="189">
        <v>5222</v>
      </c>
      <c r="E132" s="228" t="s">
        <v>194</v>
      </c>
      <c r="F132" s="193">
        <f>'[2]Druhova'!G128</f>
        <v>59779.52</v>
      </c>
      <c r="G132" s="193">
        <f>'[2]Druhova'!B128</f>
        <v>29114</v>
      </c>
      <c r="H132" s="193">
        <f>'[2]Druhova'!C128</f>
        <v>54096.37</v>
      </c>
      <c r="I132" s="193">
        <f>'[2]Druhova'!D128</f>
        <v>68911.13</v>
      </c>
      <c r="J132" s="193">
        <f t="shared" si="2"/>
        <v>127.39</v>
      </c>
      <c r="K132" s="194">
        <f t="shared" si="3"/>
        <v>115.28</v>
      </c>
      <c r="L132" s="141"/>
      <c r="M132" s="141"/>
      <c r="N132" s="141"/>
      <c r="O132" s="141"/>
      <c r="P132" s="141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</row>
    <row r="133" spans="1:28" ht="22.5" customHeight="1">
      <c r="A133" s="196"/>
      <c r="B133" s="204"/>
      <c r="C133" s="189"/>
      <c r="D133" s="189">
        <v>5229</v>
      </c>
      <c r="E133" s="228" t="s">
        <v>195</v>
      </c>
      <c r="F133" s="193">
        <f>'[2]Druhova'!G129</f>
        <v>11296.12</v>
      </c>
      <c r="G133" s="193">
        <f>'[2]Druhova'!B129</f>
        <v>15000</v>
      </c>
      <c r="H133" s="193">
        <f>'[2]Druhova'!C129</f>
        <v>15472.99</v>
      </c>
      <c r="I133" s="193">
        <f>'[2]Druhova'!D129</f>
        <v>11360.97</v>
      </c>
      <c r="J133" s="193">
        <f t="shared" si="2"/>
        <v>73.42</v>
      </c>
      <c r="K133" s="194">
        <f t="shared" si="3"/>
        <v>100.57</v>
      </c>
      <c r="L133" s="141"/>
      <c r="M133" s="141"/>
      <c r="N133" s="141"/>
      <c r="O133" s="141"/>
      <c r="P133" s="141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</row>
    <row r="134" spans="1:28" ht="22.5" customHeight="1">
      <c r="A134" s="196"/>
      <c r="B134" s="204"/>
      <c r="C134" s="189">
        <v>523</v>
      </c>
      <c r="D134" s="189"/>
      <c r="E134" s="228" t="s">
        <v>196</v>
      </c>
      <c r="F134" s="193">
        <f>'[2]Druhova'!G130</f>
        <v>0</v>
      </c>
      <c r="G134" s="193">
        <f>'[2]Druhova'!B130</f>
        <v>0</v>
      </c>
      <c r="H134" s="193">
        <f>'[2]Druhova'!C130</f>
        <v>0</v>
      </c>
      <c r="I134" s="193">
        <f>'[2]Druhova'!D130</f>
        <v>0</v>
      </c>
      <c r="J134" s="193">
        <f t="shared" si="2"/>
      </c>
      <c r="K134" s="194">
        <f t="shared" si="3"/>
      </c>
      <c r="L134" s="141"/>
      <c r="M134" s="141"/>
      <c r="N134" s="141"/>
      <c r="O134" s="141"/>
      <c r="P134" s="141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</row>
    <row r="135" spans="1:28" ht="22.5" customHeight="1">
      <c r="A135" s="196"/>
      <c r="B135" s="204"/>
      <c r="C135" s="189">
        <v>524</v>
      </c>
      <c r="D135" s="189"/>
      <c r="E135" s="228" t="s">
        <v>197</v>
      </c>
      <c r="F135" s="193">
        <f>'[2]Druhova'!G131</f>
        <v>0</v>
      </c>
      <c r="G135" s="193">
        <f>'[2]Druhova'!B131</f>
        <v>0</v>
      </c>
      <c r="H135" s="193">
        <f>'[2]Druhova'!C131</f>
        <v>0</v>
      </c>
      <c r="I135" s="193">
        <f>'[2]Druhova'!D131</f>
        <v>0</v>
      </c>
      <c r="J135" s="193">
        <f t="shared" si="2"/>
      </c>
      <c r="K135" s="194">
        <f t="shared" si="3"/>
      </c>
      <c r="L135" s="141"/>
      <c r="M135" s="141"/>
      <c r="N135" s="141"/>
      <c r="O135" s="141"/>
      <c r="P135" s="141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</row>
    <row r="136" spans="1:28" ht="22.5">
      <c r="A136" s="196"/>
      <c r="B136" s="204"/>
      <c r="C136" s="189">
        <v>525</v>
      </c>
      <c r="D136" s="189"/>
      <c r="E136" s="228" t="s">
        <v>198</v>
      </c>
      <c r="F136" s="193">
        <f>'[2]Druhova'!G132</f>
        <v>0</v>
      </c>
      <c r="G136" s="193">
        <f>'[2]Druhova'!B132</f>
        <v>0</v>
      </c>
      <c r="H136" s="193">
        <f>'[2]Druhova'!C132</f>
        <v>0</v>
      </c>
      <c r="I136" s="193">
        <f>'[2]Druhova'!D132</f>
        <v>0</v>
      </c>
      <c r="J136" s="193">
        <f t="shared" si="2"/>
      </c>
      <c r="K136" s="194">
        <f t="shared" si="3"/>
      </c>
      <c r="L136" s="141"/>
      <c r="M136" s="141"/>
      <c r="N136" s="141"/>
      <c r="O136" s="141"/>
      <c r="P136" s="141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</row>
    <row r="137" spans="1:18" s="187" customFormat="1" ht="26.25" customHeight="1">
      <c r="A137" s="196"/>
      <c r="B137" s="204">
        <v>52</v>
      </c>
      <c r="C137" s="229"/>
      <c r="D137" s="204"/>
      <c r="E137" s="230" t="s">
        <v>199</v>
      </c>
      <c r="F137" s="201">
        <f>'[2]Druhova'!G133</f>
        <v>172414.72</v>
      </c>
      <c r="G137" s="201">
        <f>'[2]Druhova'!B133</f>
        <v>154713</v>
      </c>
      <c r="H137" s="201">
        <f>'[2]Druhova'!C133</f>
        <v>244116.6</v>
      </c>
      <c r="I137" s="201">
        <f>'[2]Druhova'!D133</f>
        <v>252366.06</v>
      </c>
      <c r="J137" s="201">
        <f t="shared" si="2"/>
        <v>103.38</v>
      </c>
      <c r="K137" s="202">
        <f t="shared" si="3"/>
        <v>146.37</v>
      </c>
      <c r="L137" s="186"/>
      <c r="M137" s="186"/>
      <c r="N137" s="186"/>
      <c r="O137" s="186"/>
      <c r="P137" s="186"/>
      <c r="Q137" s="186"/>
      <c r="R137" s="186"/>
    </row>
    <row r="138" spans="1:28" ht="24" customHeight="1">
      <c r="A138" s="196"/>
      <c r="B138" s="204"/>
      <c r="C138" s="189">
        <v>531</v>
      </c>
      <c r="D138" s="189"/>
      <c r="E138" s="228" t="s">
        <v>322</v>
      </c>
      <c r="F138" s="193">
        <f>'[2]Druhova'!G134</f>
        <v>1199.44</v>
      </c>
      <c r="G138" s="193">
        <f>'[2]Druhova'!B134</f>
        <v>13050</v>
      </c>
      <c r="H138" s="193">
        <f>'[2]Druhova'!C134</f>
        <v>13050</v>
      </c>
      <c r="I138" s="193">
        <f>'[2]Druhova'!D134</f>
        <v>2721.32</v>
      </c>
      <c r="J138" s="193">
        <f aca="true" t="shared" si="4" ref="J138:J201">IF(H138=0,"",I138/H138*100)</f>
        <v>20.85</v>
      </c>
      <c r="K138" s="194">
        <f aca="true" t="shared" si="5" ref="K138:K201">IF(F138=0,"",I138/F138*100)</f>
        <v>226.88</v>
      </c>
      <c r="L138" s="141"/>
      <c r="M138" s="141"/>
      <c r="N138" s="141"/>
      <c r="O138" s="141"/>
      <c r="P138" s="141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</row>
    <row r="139" spans="1:28" ht="12.75">
      <c r="A139" s="196"/>
      <c r="B139" s="204"/>
      <c r="C139" s="189"/>
      <c r="D139" s="189">
        <v>5312</v>
      </c>
      <c r="E139" s="228" t="s">
        <v>200</v>
      </c>
      <c r="F139" s="193">
        <f>'[2]Druhova'!G135</f>
        <v>1199.44</v>
      </c>
      <c r="G139" s="193">
        <f>'[2]Druhova'!B135</f>
        <v>13050</v>
      </c>
      <c r="H139" s="193">
        <f>'[2]Druhova'!C135</f>
        <v>13050</v>
      </c>
      <c r="I139" s="193">
        <f>'[2]Druhova'!D135</f>
        <v>2721.32</v>
      </c>
      <c r="J139" s="193">
        <f t="shared" si="4"/>
        <v>20.85</v>
      </c>
      <c r="K139" s="194">
        <f t="shared" si="5"/>
        <v>226.88</v>
      </c>
      <c r="L139" s="141"/>
      <c r="M139" s="141"/>
      <c r="N139" s="141"/>
      <c r="O139" s="141"/>
      <c r="P139" s="141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</row>
    <row r="140" spans="1:28" ht="22.5" customHeight="1">
      <c r="A140" s="196"/>
      <c r="B140" s="204"/>
      <c r="C140" s="189"/>
      <c r="D140" s="189">
        <v>5314</v>
      </c>
      <c r="E140" s="264" t="s">
        <v>323</v>
      </c>
      <c r="F140" s="193">
        <f>'[2]Druhova'!G136</f>
        <v>0</v>
      </c>
      <c r="G140" s="193">
        <f>'[2]Druhova'!B136</f>
        <v>0</v>
      </c>
      <c r="H140" s="193">
        <f>'[2]Druhova'!C136</f>
        <v>0</v>
      </c>
      <c r="I140" s="193">
        <f>'[2]Druhova'!D136</f>
        <v>0</v>
      </c>
      <c r="J140" s="193">
        <f t="shared" si="4"/>
      </c>
      <c r="K140" s="194">
        <f t="shared" si="5"/>
      </c>
      <c r="L140" s="141"/>
      <c r="M140" s="141"/>
      <c r="N140" s="141"/>
      <c r="O140" s="141"/>
      <c r="P140" s="141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</row>
    <row r="141" spans="1:28" ht="22.5" customHeight="1">
      <c r="A141" s="265"/>
      <c r="B141" s="266"/>
      <c r="C141" s="189"/>
      <c r="D141" s="267">
        <v>5318</v>
      </c>
      <c r="E141" s="264" t="s">
        <v>201</v>
      </c>
      <c r="F141" s="193">
        <f>'[2]Druhova'!G137</f>
        <v>0</v>
      </c>
      <c r="G141" s="193">
        <f>'[2]Druhova'!B137</f>
        <v>0</v>
      </c>
      <c r="H141" s="193">
        <f>'[2]Druhova'!C137</f>
        <v>0</v>
      </c>
      <c r="I141" s="193">
        <f>'[2]Druhova'!D137</f>
        <v>0</v>
      </c>
      <c r="J141" s="193">
        <f t="shared" si="4"/>
      </c>
      <c r="K141" s="194">
        <f t="shared" si="5"/>
      </c>
      <c r="L141" s="141"/>
      <c r="M141" s="141"/>
      <c r="N141" s="141"/>
      <c r="O141" s="141"/>
      <c r="P141" s="141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</row>
    <row r="142" spans="1:28" ht="22.5" customHeight="1">
      <c r="A142" s="196"/>
      <c r="B142" s="204"/>
      <c r="C142" s="189">
        <v>532</v>
      </c>
      <c r="D142" s="189"/>
      <c r="E142" s="228" t="s">
        <v>324</v>
      </c>
      <c r="F142" s="193">
        <f>'[2]Druhova'!G138</f>
        <v>275095.42</v>
      </c>
      <c r="G142" s="193">
        <f>'[2]Druhova'!B138</f>
        <v>155357</v>
      </c>
      <c r="H142" s="193">
        <f>'[2]Druhova'!C138</f>
        <v>165478.25</v>
      </c>
      <c r="I142" s="193">
        <f>'[2]Druhova'!D138</f>
        <v>332330.31</v>
      </c>
      <c r="J142" s="193">
        <f t="shared" si="4"/>
        <v>200.83</v>
      </c>
      <c r="K142" s="194">
        <f t="shared" si="5"/>
        <v>120.81</v>
      </c>
      <c r="L142" s="141"/>
      <c r="M142" s="141"/>
      <c r="N142" s="141"/>
      <c r="O142" s="141"/>
      <c r="P142" s="141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</row>
    <row r="143" spans="1:28" ht="12.75">
      <c r="A143" s="196"/>
      <c r="B143" s="204"/>
      <c r="C143" s="189"/>
      <c r="D143" s="189">
        <v>5321</v>
      </c>
      <c r="E143" s="228" t="s">
        <v>202</v>
      </c>
      <c r="F143" s="193">
        <f>'[2]Druhova'!G139</f>
        <v>164553.64</v>
      </c>
      <c r="G143" s="193">
        <f>'[2]Druhova'!B139</f>
        <v>76327</v>
      </c>
      <c r="H143" s="193">
        <f>'[2]Druhova'!C139</f>
        <v>95241.28</v>
      </c>
      <c r="I143" s="193">
        <f>'[2]Druhova'!D139</f>
        <v>213442.81</v>
      </c>
      <c r="J143" s="193">
        <f t="shared" si="4"/>
        <v>224.11</v>
      </c>
      <c r="K143" s="194">
        <f t="shared" si="5"/>
        <v>129.71</v>
      </c>
      <c r="L143" s="141"/>
      <c r="M143" s="141"/>
      <c r="N143" s="141"/>
      <c r="O143" s="141"/>
      <c r="P143" s="141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</row>
    <row r="144" spans="1:28" ht="22.5" customHeight="1">
      <c r="A144" s="196"/>
      <c r="B144" s="204"/>
      <c r="C144" s="189"/>
      <c r="D144" s="189">
        <v>5322</v>
      </c>
      <c r="E144" s="228" t="s">
        <v>203</v>
      </c>
      <c r="F144" s="193">
        <f>'[2]Druhova'!G140</f>
        <v>0</v>
      </c>
      <c r="G144" s="193">
        <f>'[2]Druhova'!B140</f>
        <v>0</v>
      </c>
      <c r="H144" s="193">
        <f>'[2]Druhova'!C140</f>
        <v>0</v>
      </c>
      <c r="I144" s="193">
        <f>'[2]Druhova'!D140</f>
        <v>0</v>
      </c>
      <c r="J144" s="193">
        <f t="shared" si="4"/>
      </c>
      <c r="K144" s="194">
        <f t="shared" si="5"/>
      </c>
      <c r="L144" s="141"/>
      <c r="M144" s="141"/>
      <c r="N144" s="141"/>
      <c r="O144" s="141"/>
      <c r="P144" s="141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</row>
    <row r="145" spans="1:18" s="187" customFormat="1" ht="12.75">
      <c r="A145" s="196"/>
      <c r="B145" s="204"/>
      <c r="C145" s="189"/>
      <c r="D145" s="189">
        <v>5323</v>
      </c>
      <c r="E145" s="228" t="s">
        <v>204</v>
      </c>
      <c r="F145" s="193">
        <f>'[2]Druhova'!G141</f>
        <v>110541.78</v>
      </c>
      <c r="G145" s="193">
        <f>'[2]Druhova'!B141</f>
        <v>79030</v>
      </c>
      <c r="H145" s="193">
        <f>'[2]Druhova'!C141</f>
        <v>70236.97</v>
      </c>
      <c r="I145" s="193">
        <f>'[2]Druhova'!D141</f>
        <v>118887.5</v>
      </c>
      <c r="J145" s="193">
        <f t="shared" si="4"/>
        <v>169.27</v>
      </c>
      <c r="K145" s="194">
        <f t="shared" si="5"/>
        <v>107.55</v>
      </c>
      <c r="L145" s="186"/>
      <c r="M145" s="186"/>
      <c r="N145" s="186"/>
      <c r="O145" s="186"/>
      <c r="P145" s="186"/>
      <c r="Q145" s="186"/>
      <c r="R145" s="186"/>
    </row>
    <row r="146" spans="1:28" ht="22.5">
      <c r="A146" s="196"/>
      <c r="B146" s="204"/>
      <c r="C146" s="189"/>
      <c r="D146" s="189">
        <v>5324</v>
      </c>
      <c r="E146" s="228" t="s">
        <v>205</v>
      </c>
      <c r="F146" s="193">
        <f>'[2]Druhova'!G142</f>
        <v>0</v>
      </c>
      <c r="G146" s="193">
        <f>'[2]Druhova'!B142</f>
        <v>0</v>
      </c>
      <c r="H146" s="193">
        <f>'[2]Druhova'!C142</f>
        <v>0</v>
      </c>
      <c r="I146" s="193">
        <f>'[2]Druhova'!D142</f>
        <v>0</v>
      </c>
      <c r="J146" s="193">
        <f t="shared" si="4"/>
      </c>
      <c r="K146" s="194">
        <f t="shared" si="5"/>
      </c>
      <c r="L146" s="141"/>
      <c r="M146" s="141"/>
      <c r="N146" s="141"/>
      <c r="O146" s="141"/>
      <c r="P146" s="141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</row>
    <row r="147" spans="1:28" ht="12.75">
      <c r="A147" s="196"/>
      <c r="B147" s="204"/>
      <c r="C147" s="189"/>
      <c r="D147" s="189">
        <v>5325</v>
      </c>
      <c r="E147" s="228" t="s">
        <v>206</v>
      </c>
      <c r="F147" s="193">
        <f>'[2]Druhova'!G143</f>
        <v>0</v>
      </c>
      <c r="G147" s="193">
        <f>'[2]Druhova'!B143</f>
        <v>0</v>
      </c>
      <c r="H147" s="193">
        <f>'[2]Druhova'!C143</f>
        <v>0</v>
      </c>
      <c r="I147" s="193">
        <f>'[2]Druhova'!D143</f>
        <v>0</v>
      </c>
      <c r="J147" s="193">
        <f t="shared" si="4"/>
      </c>
      <c r="K147" s="194">
        <f t="shared" si="5"/>
      </c>
      <c r="L147" s="141"/>
      <c r="M147" s="141"/>
      <c r="N147" s="141"/>
      <c r="O147" s="141"/>
      <c r="P147" s="141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</row>
    <row r="148" spans="1:28" ht="22.5" customHeight="1">
      <c r="A148" s="196"/>
      <c r="B148" s="204"/>
      <c r="C148" s="189"/>
      <c r="D148" s="189">
        <v>5329</v>
      </c>
      <c r="E148" s="228" t="s">
        <v>207</v>
      </c>
      <c r="F148" s="193">
        <f>'[2]Druhova'!G144</f>
        <v>0</v>
      </c>
      <c r="G148" s="193">
        <f>'[2]Druhova'!B144</f>
        <v>0</v>
      </c>
      <c r="H148" s="193">
        <f>'[2]Druhova'!C144</f>
        <v>0</v>
      </c>
      <c r="I148" s="193">
        <f>'[2]Druhova'!D144</f>
        <v>0</v>
      </c>
      <c r="J148" s="193">
        <f t="shared" si="4"/>
      </c>
      <c r="K148" s="194">
        <f t="shared" si="5"/>
      </c>
      <c r="L148" s="141"/>
      <c r="M148" s="141"/>
      <c r="N148" s="141"/>
      <c r="O148" s="141"/>
      <c r="P148" s="141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</row>
    <row r="149" spans="1:28" ht="22.5" customHeight="1">
      <c r="A149" s="196"/>
      <c r="B149" s="204"/>
      <c r="C149" s="189">
        <v>533</v>
      </c>
      <c r="D149" s="189"/>
      <c r="E149" s="228" t="s">
        <v>325</v>
      </c>
      <c r="F149" s="193">
        <f>'[2]Druhova'!G145</f>
        <v>980520.47</v>
      </c>
      <c r="G149" s="193">
        <f>'[2]Druhova'!B145</f>
        <v>791635</v>
      </c>
      <c r="H149" s="193">
        <f>'[2]Druhova'!C145</f>
        <v>1083520.42</v>
      </c>
      <c r="I149" s="193">
        <f>'[2]Druhova'!D145</f>
        <v>1068741.05</v>
      </c>
      <c r="J149" s="193">
        <f t="shared" si="4"/>
        <v>98.64</v>
      </c>
      <c r="K149" s="194">
        <f t="shared" si="5"/>
        <v>109</v>
      </c>
      <c r="L149" s="141"/>
      <c r="M149" s="141"/>
      <c r="N149" s="141"/>
      <c r="O149" s="141"/>
      <c r="P149" s="141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</row>
    <row r="150" spans="1:28" ht="16.5" customHeight="1">
      <c r="A150" s="196"/>
      <c r="B150" s="204"/>
      <c r="C150" s="189">
        <v>534</v>
      </c>
      <c r="D150" s="189"/>
      <c r="E150" s="228" t="s">
        <v>208</v>
      </c>
      <c r="F150" s="193">
        <f>'[2]Druhova'!G146</f>
        <v>232277.9</v>
      </c>
      <c r="G150" s="193">
        <f>'[2]Druhova'!B146</f>
        <v>220468</v>
      </c>
      <c r="H150" s="193">
        <f>'[2]Druhova'!C146</f>
        <v>220576.3</v>
      </c>
      <c r="I150" s="193">
        <f>'[2]Druhova'!D146</f>
        <v>221890.71</v>
      </c>
      <c r="J150" s="193">
        <f t="shared" si="4"/>
        <v>100.6</v>
      </c>
      <c r="K150" s="194">
        <f t="shared" si="5"/>
        <v>95.53</v>
      </c>
      <c r="L150" s="141"/>
      <c r="M150" s="141"/>
      <c r="N150" s="141"/>
      <c r="O150" s="141"/>
      <c r="P150" s="141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</row>
    <row r="151" spans="1:28" ht="22.5" customHeight="1">
      <c r="A151" s="196"/>
      <c r="B151" s="204"/>
      <c r="C151" s="189"/>
      <c r="D151" s="189">
        <v>5342</v>
      </c>
      <c r="E151" s="228" t="s">
        <v>209</v>
      </c>
      <c r="F151" s="193">
        <f>'[2]Druhova'!G147</f>
        <v>231327.9</v>
      </c>
      <c r="G151" s="193">
        <f>'[2]Druhova'!B147</f>
        <v>220468</v>
      </c>
      <c r="H151" s="193">
        <f>'[2]Druhova'!C147</f>
        <v>220576</v>
      </c>
      <c r="I151" s="193">
        <f>'[2]Druhova'!D147</f>
        <v>221890.41</v>
      </c>
      <c r="J151" s="193">
        <f t="shared" si="4"/>
        <v>100.6</v>
      </c>
      <c r="K151" s="194">
        <f t="shared" si="5"/>
        <v>95.92</v>
      </c>
      <c r="L151" s="141"/>
      <c r="M151" s="141"/>
      <c r="N151" s="141"/>
      <c r="O151" s="141"/>
      <c r="P151" s="141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</row>
    <row r="152" spans="1:28" ht="16.5" customHeight="1">
      <c r="A152" s="196"/>
      <c r="B152" s="204"/>
      <c r="C152" s="189"/>
      <c r="D152" s="189">
        <v>5346</v>
      </c>
      <c r="E152" s="228" t="s">
        <v>210</v>
      </c>
      <c r="F152" s="193">
        <f>'[2]Druhova'!G148</f>
        <v>0</v>
      </c>
      <c r="G152" s="193">
        <f>'[2]Druhova'!B148</f>
        <v>0</v>
      </c>
      <c r="H152" s="193">
        <f>'[2]Druhova'!C148</f>
        <v>0</v>
      </c>
      <c r="I152" s="193">
        <f>'[2]Druhova'!D148</f>
        <v>0</v>
      </c>
      <c r="J152" s="193">
        <f t="shared" si="4"/>
      </c>
      <c r="K152" s="194">
        <f t="shared" si="5"/>
      </c>
      <c r="L152" s="141"/>
      <c r="M152" s="141"/>
      <c r="N152" s="141"/>
      <c r="O152" s="141"/>
      <c r="P152" s="141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</row>
    <row r="153" spans="1:28" ht="16.5" customHeight="1">
      <c r="A153" s="196"/>
      <c r="B153" s="204"/>
      <c r="C153" s="189">
        <v>536</v>
      </c>
      <c r="D153" s="189"/>
      <c r="E153" s="268" t="s">
        <v>211</v>
      </c>
      <c r="F153" s="193">
        <f>'[2]Druhova'!G149</f>
        <v>12638.19</v>
      </c>
      <c r="G153" s="193">
        <f>'[2]Druhova'!B149</f>
        <v>6378</v>
      </c>
      <c r="H153" s="193">
        <f>'[2]Druhova'!C149</f>
        <v>19521.12</v>
      </c>
      <c r="I153" s="193">
        <f>'[2]Druhova'!D149</f>
        <v>13656.04</v>
      </c>
      <c r="J153" s="193">
        <f t="shared" si="4"/>
        <v>69.96</v>
      </c>
      <c r="K153" s="194">
        <f t="shared" si="5"/>
        <v>108.05</v>
      </c>
      <c r="L153" s="141"/>
      <c r="M153" s="141"/>
      <c r="N153" s="141"/>
      <c r="O153" s="141"/>
      <c r="P153" s="141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</row>
    <row r="154" spans="1:28" ht="36">
      <c r="A154" s="196"/>
      <c r="B154" s="204">
        <v>53</v>
      </c>
      <c r="C154" s="189"/>
      <c r="D154" s="204"/>
      <c r="E154" s="230" t="s">
        <v>212</v>
      </c>
      <c r="F154" s="201">
        <f>'[2]Druhova'!G150</f>
        <v>1501731.42</v>
      </c>
      <c r="G154" s="201">
        <f>'[2]Druhova'!B150</f>
        <v>1186888</v>
      </c>
      <c r="H154" s="201">
        <f>'[2]Druhova'!C150</f>
        <v>1502146.1</v>
      </c>
      <c r="I154" s="201">
        <f>'[2]Druhova'!D150</f>
        <v>1639339.44</v>
      </c>
      <c r="J154" s="201">
        <f t="shared" si="4"/>
        <v>109.13</v>
      </c>
      <c r="K154" s="202">
        <f t="shared" si="5"/>
        <v>109.16</v>
      </c>
      <c r="L154" s="141"/>
      <c r="M154" s="141"/>
      <c r="N154" s="141"/>
      <c r="O154" s="141"/>
      <c r="P154" s="141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</row>
    <row r="155" spans="1:28" ht="12.75">
      <c r="A155" s="196"/>
      <c r="B155" s="204"/>
      <c r="C155" s="189">
        <v>541</v>
      </c>
      <c r="D155" s="189"/>
      <c r="E155" s="228" t="s">
        <v>213</v>
      </c>
      <c r="F155" s="193">
        <f>'[2]Druhova'!G151</f>
        <v>8655966.08</v>
      </c>
      <c r="G155" s="193">
        <f>'[2]Druhova'!B151</f>
        <v>9059780</v>
      </c>
      <c r="H155" s="193">
        <f>'[2]Druhova'!C151</f>
        <v>9053380</v>
      </c>
      <c r="I155" s="193">
        <f>'[2]Druhova'!D151</f>
        <v>8606348</v>
      </c>
      <c r="J155" s="193">
        <f t="shared" si="4"/>
        <v>95.06</v>
      </c>
      <c r="K155" s="194">
        <f t="shared" si="5"/>
        <v>99.43</v>
      </c>
      <c r="L155" s="141"/>
      <c r="M155" s="141"/>
      <c r="N155" s="141"/>
      <c r="O155" s="141"/>
      <c r="P155" s="141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</row>
    <row r="156" spans="1:28" ht="12.75">
      <c r="A156" s="196"/>
      <c r="B156" s="204"/>
      <c r="C156" s="189">
        <v>542</v>
      </c>
      <c r="D156" s="189"/>
      <c r="E156" s="228" t="s">
        <v>214</v>
      </c>
      <c r="F156" s="193">
        <f>'[2]Druhova'!G152</f>
        <v>69822.42</v>
      </c>
      <c r="G156" s="193">
        <f>'[2]Druhova'!B152</f>
        <v>28949</v>
      </c>
      <c r="H156" s="193">
        <f>'[2]Druhova'!C152</f>
        <v>76576.41</v>
      </c>
      <c r="I156" s="193">
        <f>'[2]Druhova'!D152</f>
        <v>98891.09</v>
      </c>
      <c r="J156" s="193">
        <f t="shared" si="4"/>
        <v>129.14</v>
      </c>
      <c r="K156" s="194">
        <f t="shared" si="5"/>
        <v>141.63</v>
      </c>
      <c r="L156" s="141"/>
      <c r="M156" s="141"/>
      <c r="N156" s="141"/>
      <c r="O156" s="141"/>
      <c r="P156" s="141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</row>
    <row r="157" spans="1:28" ht="12.75">
      <c r="A157" s="196"/>
      <c r="B157" s="204"/>
      <c r="C157" s="189">
        <v>549</v>
      </c>
      <c r="D157" s="189"/>
      <c r="E157" s="228" t="s">
        <v>215</v>
      </c>
      <c r="F157" s="193">
        <f>'[2]Druhova'!G153</f>
        <v>11424.44</v>
      </c>
      <c r="G157" s="193">
        <f>'[2]Druhova'!B153</f>
        <v>16313</v>
      </c>
      <c r="H157" s="193">
        <f>'[2]Druhova'!C153</f>
        <v>9844.28</v>
      </c>
      <c r="I157" s="193">
        <f>'[2]Druhova'!D153</f>
        <v>9786.66</v>
      </c>
      <c r="J157" s="193">
        <f t="shared" si="4"/>
        <v>99.41</v>
      </c>
      <c r="K157" s="194">
        <f t="shared" si="5"/>
        <v>85.66</v>
      </c>
      <c r="L157" s="141"/>
      <c r="M157" s="141"/>
      <c r="N157" s="141"/>
      <c r="O157" s="141"/>
      <c r="P157" s="141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</row>
    <row r="158" spans="1:28" ht="12.75">
      <c r="A158" s="196"/>
      <c r="B158" s="204">
        <v>54</v>
      </c>
      <c r="C158" s="189"/>
      <c r="D158" s="204"/>
      <c r="E158" s="269" t="s">
        <v>216</v>
      </c>
      <c r="F158" s="201">
        <f>'[2]Druhova'!G154</f>
        <v>8737212.94</v>
      </c>
      <c r="G158" s="201">
        <f>'[2]Druhova'!B154</f>
        <v>9105042</v>
      </c>
      <c r="H158" s="201">
        <f>'[2]Druhova'!C154</f>
        <v>9139800.69</v>
      </c>
      <c r="I158" s="201">
        <f>'[2]Druhova'!D154</f>
        <v>8715025.75</v>
      </c>
      <c r="J158" s="201">
        <f t="shared" si="4"/>
        <v>95.35</v>
      </c>
      <c r="K158" s="202">
        <f t="shared" si="5"/>
        <v>99.75</v>
      </c>
      <c r="L158" s="141"/>
      <c r="M158" s="141"/>
      <c r="N158" s="141"/>
      <c r="O158" s="141"/>
      <c r="P158" s="141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</row>
    <row r="159" spans="1:28" ht="24" customHeight="1">
      <c r="A159" s="196"/>
      <c r="B159" s="204"/>
      <c r="C159" s="189">
        <v>551</v>
      </c>
      <c r="D159" s="189"/>
      <c r="E159" s="228" t="s">
        <v>217</v>
      </c>
      <c r="F159" s="193">
        <f>'[2]Druhova'!G155</f>
        <v>2283.75</v>
      </c>
      <c r="G159" s="193">
        <f>'[2]Druhova'!B155</f>
        <v>2407</v>
      </c>
      <c r="H159" s="193">
        <f>'[2]Druhova'!C155</f>
        <v>3219.89</v>
      </c>
      <c r="I159" s="193">
        <f>'[2]Druhova'!D155</f>
        <v>5564.25</v>
      </c>
      <c r="J159" s="193">
        <f t="shared" si="4"/>
        <v>172.81</v>
      </c>
      <c r="K159" s="194">
        <f t="shared" si="5"/>
        <v>243.65</v>
      </c>
      <c r="L159" s="141"/>
      <c r="M159" s="141"/>
      <c r="N159" s="141"/>
      <c r="O159" s="141"/>
      <c r="P159" s="141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</row>
    <row r="160" spans="1:28" ht="34.5" customHeight="1">
      <c r="A160" s="196"/>
      <c r="B160" s="204"/>
      <c r="C160" s="189"/>
      <c r="D160" s="189">
        <v>5514</v>
      </c>
      <c r="E160" s="228" t="s">
        <v>218</v>
      </c>
      <c r="F160" s="193">
        <f>'[2]Druhova'!G156</f>
        <v>0</v>
      </c>
      <c r="G160" s="193">
        <f>'[2]Druhova'!B156</f>
        <v>0</v>
      </c>
      <c r="H160" s="193">
        <f>'[2]Druhova'!C156</f>
        <v>0</v>
      </c>
      <c r="I160" s="193">
        <f>'[2]Druhova'!D156</f>
        <v>0</v>
      </c>
      <c r="J160" s="193">
        <f t="shared" si="4"/>
      </c>
      <c r="K160" s="194">
        <f t="shared" si="5"/>
      </c>
      <c r="L160" s="141"/>
      <c r="M160" s="141"/>
      <c r="N160" s="141"/>
      <c r="O160" s="141"/>
      <c r="P160" s="141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</row>
    <row r="161" spans="1:28" ht="34.5" customHeight="1">
      <c r="A161" s="196"/>
      <c r="B161" s="204"/>
      <c r="C161" s="189"/>
      <c r="D161" s="189">
        <v>5515</v>
      </c>
      <c r="E161" s="228" t="s">
        <v>219</v>
      </c>
      <c r="F161" s="193">
        <f>'[2]Druhova'!G157</f>
        <v>0</v>
      </c>
      <c r="G161" s="193">
        <f>'[2]Druhova'!B157</f>
        <v>0</v>
      </c>
      <c r="H161" s="193">
        <f>'[2]Druhova'!C157</f>
        <v>0</v>
      </c>
      <c r="I161" s="193">
        <f>'[2]Druhova'!D157</f>
        <v>0</v>
      </c>
      <c r="J161" s="193">
        <f t="shared" si="4"/>
      </c>
      <c r="K161" s="194">
        <f t="shared" si="5"/>
      </c>
      <c r="L161" s="141"/>
      <c r="M161" s="141"/>
      <c r="N161" s="141"/>
      <c r="O161" s="141"/>
      <c r="P161" s="141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</row>
    <row r="162" spans="1:28" ht="12.75">
      <c r="A162" s="196"/>
      <c r="B162" s="204"/>
      <c r="C162" s="189">
        <v>552</v>
      </c>
      <c r="D162" s="189"/>
      <c r="E162" s="228" t="s">
        <v>220</v>
      </c>
      <c r="F162" s="193">
        <f>'[2]Druhova'!G158</f>
        <v>0</v>
      </c>
      <c r="G162" s="193">
        <f>'[2]Druhova'!B158</f>
        <v>0</v>
      </c>
      <c r="H162" s="193">
        <f>'[2]Druhova'!C158</f>
        <v>0</v>
      </c>
      <c r="I162" s="193">
        <f>'[2]Druhova'!D158</f>
        <v>0</v>
      </c>
      <c r="J162" s="193">
        <f t="shared" si="4"/>
      </c>
      <c r="K162" s="194">
        <f t="shared" si="5"/>
      </c>
      <c r="L162" s="141"/>
      <c r="M162" s="141"/>
      <c r="N162" s="141"/>
      <c r="O162" s="141"/>
      <c r="P162" s="141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</row>
    <row r="163" spans="1:28" ht="12.75">
      <c r="A163" s="196"/>
      <c r="B163" s="204"/>
      <c r="C163" s="189">
        <v>553</v>
      </c>
      <c r="D163" s="189"/>
      <c r="E163" s="228" t="s">
        <v>221</v>
      </c>
      <c r="F163" s="193">
        <f>'[2]Druhova'!G159</f>
        <v>0</v>
      </c>
      <c r="G163" s="193">
        <f>'[2]Druhova'!B159</f>
        <v>0</v>
      </c>
      <c r="H163" s="193">
        <f>'[2]Druhova'!C159</f>
        <v>0</v>
      </c>
      <c r="I163" s="193">
        <f>'[2]Druhova'!D159</f>
        <v>0</v>
      </c>
      <c r="J163" s="193">
        <f t="shared" si="4"/>
      </c>
      <c r="K163" s="194">
        <f t="shared" si="5"/>
      </c>
      <c r="L163" s="141"/>
      <c r="M163" s="141"/>
      <c r="N163" s="141"/>
      <c r="O163" s="141"/>
      <c r="P163" s="141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</row>
    <row r="164" spans="1:28" ht="12.75">
      <c r="A164" s="196"/>
      <c r="B164" s="204">
        <v>55</v>
      </c>
      <c r="C164" s="189"/>
      <c r="D164" s="204"/>
      <c r="E164" s="230" t="s">
        <v>222</v>
      </c>
      <c r="F164" s="201">
        <f>'[2]Druhova'!G160</f>
        <v>2283.75</v>
      </c>
      <c r="G164" s="201">
        <f>'[2]Druhova'!B160</f>
        <v>2407</v>
      </c>
      <c r="H164" s="201">
        <f>'[2]Druhova'!C160</f>
        <v>3219.89</v>
      </c>
      <c r="I164" s="201">
        <f>'[2]Druhova'!D160</f>
        <v>5564.25</v>
      </c>
      <c r="J164" s="201">
        <f t="shared" si="4"/>
        <v>172.81</v>
      </c>
      <c r="K164" s="202">
        <f t="shared" si="5"/>
        <v>243.65</v>
      </c>
      <c r="L164" s="141"/>
      <c r="M164" s="141"/>
      <c r="N164" s="141"/>
      <c r="O164" s="141"/>
      <c r="P164" s="141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</row>
    <row r="165" spans="1:28" ht="24" customHeight="1">
      <c r="A165" s="196"/>
      <c r="B165" s="204"/>
      <c r="C165" s="189">
        <v>561</v>
      </c>
      <c r="D165" s="189"/>
      <c r="E165" s="228" t="s">
        <v>326</v>
      </c>
      <c r="F165" s="193">
        <f>'[2]Druhova'!G161</f>
        <v>0</v>
      </c>
      <c r="G165" s="193">
        <f>'[2]Druhova'!B161</f>
        <v>0</v>
      </c>
      <c r="H165" s="193">
        <f>'[2]Druhova'!C161</f>
        <v>0</v>
      </c>
      <c r="I165" s="193">
        <f>'[2]Druhova'!D161</f>
        <v>0</v>
      </c>
      <c r="J165" s="193">
        <f t="shared" si="4"/>
      </c>
      <c r="K165" s="194">
        <f t="shared" si="5"/>
      </c>
      <c r="L165" s="141"/>
      <c r="M165" s="141"/>
      <c r="N165" s="141"/>
      <c r="O165" s="141"/>
      <c r="P165" s="141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</row>
    <row r="166" spans="1:28" ht="22.5" customHeight="1">
      <c r="A166" s="196"/>
      <c r="B166" s="204"/>
      <c r="C166" s="189">
        <v>562</v>
      </c>
      <c r="D166" s="189"/>
      <c r="E166" s="228" t="s">
        <v>327</v>
      </c>
      <c r="F166" s="193">
        <f>'[2]Druhova'!G162</f>
        <v>0</v>
      </c>
      <c r="G166" s="193">
        <f>'[2]Druhova'!B162</f>
        <v>0</v>
      </c>
      <c r="H166" s="193">
        <f>'[2]Druhova'!C162</f>
        <v>0</v>
      </c>
      <c r="I166" s="193">
        <f>'[2]Druhova'!D162</f>
        <v>0</v>
      </c>
      <c r="J166" s="193">
        <f t="shared" si="4"/>
      </c>
      <c r="K166" s="194">
        <f t="shared" si="5"/>
      </c>
      <c r="L166" s="141"/>
      <c r="M166" s="141"/>
      <c r="N166" s="141"/>
      <c r="O166" s="141"/>
      <c r="P166" s="141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</row>
    <row r="167" spans="1:28" ht="22.5" customHeight="1">
      <c r="A167" s="196"/>
      <c r="B167" s="204"/>
      <c r="C167" s="189">
        <v>563</v>
      </c>
      <c r="D167" s="189"/>
      <c r="E167" s="228" t="s">
        <v>328</v>
      </c>
      <c r="F167" s="193">
        <f>'[2]Druhova'!G163</f>
        <v>0</v>
      </c>
      <c r="G167" s="193">
        <f>'[2]Druhova'!B163</f>
        <v>0</v>
      </c>
      <c r="H167" s="193">
        <f>'[2]Druhova'!C163</f>
        <v>0</v>
      </c>
      <c r="I167" s="193">
        <f>'[2]Druhova'!D163</f>
        <v>0</v>
      </c>
      <c r="J167" s="193">
        <f t="shared" si="4"/>
      </c>
      <c r="K167" s="194">
        <f t="shared" si="5"/>
      </c>
      <c r="L167" s="141"/>
      <c r="M167" s="141"/>
      <c r="N167" s="141"/>
      <c r="O167" s="141"/>
      <c r="P167" s="141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</row>
    <row r="168" spans="1:28" ht="22.5">
      <c r="A168" s="196"/>
      <c r="B168" s="204"/>
      <c r="C168" s="189">
        <v>564</v>
      </c>
      <c r="D168" s="189"/>
      <c r="E168" s="228" t="s">
        <v>329</v>
      </c>
      <c r="F168" s="193">
        <f>'[2]Druhova'!G164</f>
        <v>0</v>
      </c>
      <c r="G168" s="193">
        <f>'[2]Druhova'!B164</f>
        <v>0</v>
      </c>
      <c r="H168" s="193">
        <f>'[2]Druhova'!C164</f>
        <v>0</v>
      </c>
      <c r="I168" s="193">
        <f>'[2]Druhova'!D164</f>
        <v>0</v>
      </c>
      <c r="J168" s="193">
        <f t="shared" si="4"/>
      </c>
      <c r="K168" s="194">
        <f t="shared" si="5"/>
      </c>
      <c r="L168" s="141"/>
      <c r="M168" s="141"/>
      <c r="N168" s="141"/>
      <c r="O168" s="141"/>
      <c r="P168" s="141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</row>
    <row r="169" spans="1:18" s="187" customFormat="1" ht="22.5" customHeight="1">
      <c r="A169" s="196"/>
      <c r="B169" s="204"/>
      <c r="C169" s="189">
        <v>565</v>
      </c>
      <c r="D169" s="189"/>
      <c r="E169" s="228" t="s">
        <v>330</v>
      </c>
      <c r="F169" s="193">
        <f>'[2]Druhova'!G165</f>
        <v>0</v>
      </c>
      <c r="G169" s="193">
        <f>'[2]Druhova'!B165</f>
        <v>0</v>
      </c>
      <c r="H169" s="193">
        <f>'[2]Druhova'!C165</f>
        <v>0</v>
      </c>
      <c r="I169" s="193">
        <f>'[2]Druhova'!D165</f>
        <v>0</v>
      </c>
      <c r="J169" s="193">
        <f t="shared" si="4"/>
      </c>
      <c r="K169" s="194">
        <f t="shared" si="5"/>
      </c>
      <c r="L169" s="186"/>
      <c r="M169" s="186"/>
      <c r="N169" s="186"/>
      <c r="O169" s="186"/>
      <c r="P169" s="186"/>
      <c r="Q169" s="186"/>
      <c r="R169" s="186"/>
    </row>
    <row r="170" spans="1:28" ht="12.75">
      <c r="A170" s="196"/>
      <c r="B170" s="204"/>
      <c r="C170" s="189">
        <v>566</v>
      </c>
      <c r="D170" s="189"/>
      <c r="E170" s="228" t="s">
        <v>331</v>
      </c>
      <c r="F170" s="193">
        <f>'[2]Druhova'!G166</f>
        <v>0</v>
      </c>
      <c r="G170" s="193">
        <f>'[2]Druhova'!B166</f>
        <v>0</v>
      </c>
      <c r="H170" s="193">
        <f>'[2]Druhova'!C166</f>
        <v>0</v>
      </c>
      <c r="I170" s="193">
        <f>'[2]Druhova'!D166</f>
        <v>0</v>
      </c>
      <c r="J170" s="193">
        <f t="shared" si="4"/>
      </c>
      <c r="K170" s="194">
        <f t="shared" si="5"/>
      </c>
      <c r="L170" s="141"/>
      <c r="M170" s="141"/>
      <c r="N170" s="141"/>
      <c r="O170" s="141"/>
      <c r="P170" s="141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</row>
    <row r="171" spans="1:28" ht="12.75">
      <c r="A171" s="196"/>
      <c r="B171" s="204"/>
      <c r="C171" s="189">
        <v>567</v>
      </c>
      <c r="D171" s="189"/>
      <c r="E171" s="228" t="s">
        <v>332</v>
      </c>
      <c r="F171" s="193">
        <f>'[2]Druhova'!G167</f>
        <v>0</v>
      </c>
      <c r="G171" s="193">
        <f>'[2]Druhova'!B167</f>
        <v>0</v>
      </c>
      <c r="H171" s="193">
        <f>'[2]Druhova'!C167</f>
        <v>0</v>
      </c>
      <c r="I171" s="193">
        <f>'[2]Druhova'!D167</f>
        <v>0</v>
      </c>
      <c r="J171" s="193">
        <f t="shared" si="4"/>
      </c>
      <c r="K171" s="194">
        <f t="shared" si="5"/>
      </c>
      <c r="L171" s="141"/>
      <c r="M171" s="141"/>
      <c r="N171" s="141"/>
      <c r="O171" s="141"/>
      <c r="P171" s="141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</row>
    <row r="172" spans="1:28" ht="12.75">
      <c r="A172" s="196"/>
      <c r="B172" s="204">
        <v>56</v>
      </c>
      <c r="C172" s="189"/>
      <c r="D172" s="204"/>
      <c r="E172" s="230" t="s">
        <v>223</v>
      </c>
      <c r="F172" s="193">
        <f>'[2]Druhova'!G168</f>
        <v>0</v>
      </c>
      <c r="G172" s="193">
        <f>'[2]Druhova'!B168</f>
        <v>0</v>
      </c>
      <c r="H172" s="193">
        <f>'[2]Druhova'!C168</f>
        <v>0</v>
      </c>
      <c r="I172" s="193">
        <f>'[2]Druhova'!D168</f>
        <v>0</v>
      </c>
      <c r="J172" s="193">
        <f t="shared" si="4"/>
      </c>
      <c r="K172" s="194">
        <f t="shared" si="5"/>
      </c>
      <c r="L172" s="141"/>
      <c r="M172" s="141"/>
      <c r="N172" s="141"/>
      <c r="O172" s="141"/>
      <c r="P172" s="141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</row>
    <row r="173" spans="1:18" s="187" customFormat="1" ht="24" customHeight="1">
      <c r="A173" s="196"/>
      <c r="B173" s="204"/>
      <c r="C173" s="189">
        <v>571</v>
      </c>
      <c r="D173" s="189"/>
      <c r="E173" s="228" t="s">
        <v>333</v>
      </c>
      <c r="F173" s="193">
        <f>'[2]Druhova'!G169</f>
        <v>0</v>
      </c>
      <c r="G173" s="193">
        <f>'[2]Druhova'!B169</f>
        <v>0</v>
      </c>
      <c r="H173" s="193">
        <f>'[2]Druhova'!C169</f>
        <v>0</v>
      </c>
      <c r="I173" s="193">
        <f>'[2]Druhova'!D169</f>
        <v>0</v>
      </c>
      <c r="J173" s="193">
        <f t="shared" si="4"/>
      </c>
      <c r="K173" s="194">
        <f t="shared" si="5"/>
      </c>
      <c r="L173" s="186"/>
      <c r="M173" s="186"/>
      <c r="N173" s="186"/>
      <c r="O173" s="186"/>
      <c r="P173" s="186"/>
      <c r="Q173" s="186"/>
      <c r="R173" s="186"/>
    </row>
    <row r="174" spans="1:28" ht="22.5" customHeight="1">
      <c r="A174" s="196"/>
      <c r="B174" s="204"/>
      <c r="C174" s="189">
        <v>572</v>
      </c>
      <c r="D174" s="189"/>
      <c r="E174" s="228" t="s">
        <v>334</v>
      </c>
      <c r="F174" s="193">
        <f>'[2]Druhova'!G170</f>
        <v>0</v>
      </c>
      <c r="G174" s="193">
        <f>'[2]Druhova'!B170</f>
        <v>0</v>
      </c>
      <c r="H174" s="193">
        <f>'[2]Druhova'!C170</f>
        <v>0</v>
      </c>
      <c r="I174" s="193">
        <f>'[2]Druhova'!D170</f>
        <v>0</v>
      </c>
      <c r="J174" s="193">
        <f t="shared" si="4"/>
      </c>
      <c r="K174" s="194">
        <f t="shared" si="5"/>
      </c>
      <c r="L174" s="141"/>
      <c r="M174" s="141"/>
      <c r="N174" s="141"/>
      <c r="O174" s="141"/>
      <c r="P174" s="141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</row>
    <row r="175" spans="1:28" ht="22.5" customHeight="1">
      <c r="A175" s="196"/>
      <c r="B175" s="204"/>
      <c r="C175" s="189">
        <v>573</v>
      </c>
      <c r="D175" s="189"/>
      <c r="E175" s="228" t="s">
        <v>335</v>
      </c>
      <c r="F175" s="193">
        <f>'[2]Druhova'!G171</f>
        <v>0</v>
      </c>
      <c r="G175" s="193">
        <f>'[2]Druhova'!B171</f>
        <v>0</v>
      </c>
      <c r="H175" s="193">
        <f>'[2]Druhova'!C171</f>
        <v>0</v>
      </c>
      <c r="I175" s="193">
        <f>'[2]Druhova'!D171</f>
        <v>0</v>
      </c>
      <c r="J175" s="193">
        <f t="shared" si="4"/>
      </c>
      <c r="K175" s="194">
        <f t="shared" si="5"/>
      </c>
      <c r="L175" s="141"/>
      <c r="M175" s="141"/>
      <c r="N175" s="141"/>
      <c r="O175" s="141"/>
      <c r="P175" s="141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</row>
    <row r="176" spans="1:28" ht="22.5" customHeight="1">
      <c r="A176" s="196"/>
      <c r="B176" s="204"/>
      <c r="C176" s="189">
        <v>574</v>
      </c>
      <c r="D176" s="189"/>
      <c r="E176" s="228" t="s">
        <v>336</v>
      </c>
      <c r="F176" s="193">
        <f>'[2]Druhova'!G172</f>
        <v>0</v>
      </c>
      <c r="G176" s="193">
        <f>'[2]Druhova'!B172</f>
        <v>0</v>
      </c>
      <c r="H176" s="193">
        <f>'[2]Druhova'!C172</f>
        <v>0</v>
      </c>
      <c r="I176" s="193">
        <f>'[2]Druhova'!D172</f>
        <v>0</v>
      </c>
      <c r="J176" s="193">
        <f t="shared" si="4"/>
      </c>
      <c r="K176" s="194">
        <f t="shared" si="5"/>
      </c>
      <c r="L176" s="141"/>
      <c r="M176" s="141"/>
      <c r="N176" s="141"/>
      <c r="O176" s="141"/>
      <c r="P176" s="141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</row>
    <row r="177" spans="1:28" ht="22.5" customHeight="1">
      <c r="A177" s="196"/>
      <c r="B177" s="204"/>
      <c r="C177" s="189">
        <v>575</v>
      </c>
      <c r="D177" s="189"/>
      <c r="E177" s="228" t="s">
        <v>224</v>
      </c>
      <c r="F177" s="193">
        <f>'[2]Druhova'!G173</f>
        <v>0</v>
      </c>
      <c r="G177" s="193">
        <f>'[2]Druhova'!B173</f>
        <v>0</v>
      </c>
      <c r="H177" s="193">
        <f>'[2]Druhova'!C173</f>
        <v>0</v>
      </c>
      <c r="I177" s="193">
        <f>'[2]Druhova'!D173</f>
        <v>0</v>
      </c>
      <c r="J177" s="193">
        <f t="shared" si="4"/>
      </c>
      <c r="K177" s="194">
        <f t="shared" si="5"/>
      </c>
      <c r="L177" s="141"/>
      <c r="M177" s="141"/>
      <c r="N177" s="141"/>
      <c r="O177" s="141"/>
      <c r="P177" s="141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</row>
    <row r="178" spans="1:28" ht="22.5" customHeight="1">
      <c r="A178" s="196"/>
      <c r="B178" s="204"/>
      <c r="C178" s="189">
        <v>576</v>
      </c>
      <c r="D178" s="189"/>
      <c r="E178" s="228" t="s">
        <v>225</v>
      </c>
      <c r="F178" s="193">
        <f>'[2]Druhova'!G174</f>
        <v>0</v>
      </c>
      <c r="G178" s="193">
        <f>'[2]Druhova'!B174</f>
        <v>0</v>
      </c>
      <c r="H178" s="193">
        <f>'[2]Druhova'!C174</f>
        <v>0</v>
      </c>
      <c r="I178" s="193">
        <f>'[2]Druhova'!D174</f>
        <v>0</v>
      </c>
      <c r="J178" s="193">
        <f t="shared" si="4"/>
      </c>
      <c r="K178" s="194">
        <f t="shared" si="5"/>
      </c>
      <c r="L178" s="141"/>
      <c r="M178" s="141"/>
      <c r="N178" s="141"/>
      <c r="O178" s="141"/>
      <c r="P178" s="141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</row>
    <row r="179" spans="1:28" ht="22.5" customHeight="1">
      <c r="A179" s="196"/>
      <c r="B179" s="204"/>
      <c r="C179" s="189">
        <v>577</v>
      </c>
      <c r="D179" s="189"/>
      <c r="E179" s="228" t="s">
        <v>226</v>
      </c>
      <c r="F179" s="193">
        <f>'[2]Druhova'!G175</f>
        <v>0</v>
      </c>
      <c r="G179" s="193">
        <f>'[2]Druhova'!B175</f>
        <v>0</v>
      </c>
      <c r="H179" s="193">
        <f>'[2]Druhova'!C175</f>
        <v>0</v>
      </c>
      <c r="I179" s="193">
        <f>'[2]Druhova'!D175</f>
        <v>0</v>
      </c>
      <c r="J179" s="193">
        <f t="shared" si="4"/>
      </c>
      <c r="K179" s="194">
        <f t="shared" si="5"/>
      </c>
      <c r="L179" s="141"/>
      <c r="M179" s="141"/>
      <c r="N179" s="141"/>
      <c r="O179" s="141"/>
      <c r="P179" s="141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</row>
    <row r="180" spans="1:28" ht="12.75">
      <c r="A180" s="196"/>
      <c r="B180" s="204"/>
      <c r="C180" s="189">
        <v>579</v>
      </c>
      <c r="D180" s="189"/>
      <c r="E180" s="228" t="s">
        <v>227</v>
      </c>
      <c r="F180" s="193">
        <f>'[2]Druhova'!G176</f>
        <v>0</v>
      </c>
      <c r="G180" s="193">
        <f>'[2]Druhova'!B176</f>
        <v>0</v>
      </c>
      <c r="H180" s="193">
        <f>'[2]Druhova'!C176</f>
        <v>0</v>
      </c>
      <c r="I180" s="193">
        <f>'[2]Druhova'!D176</f>
        <v>0</v>
      </c>
      <c r="J180" s="193">
        <f t="shared" si="4"/>
      </c>
      <c r="K180" s="194">
        <f t="shared" si="5"/>
      </c>
      <c r="L180" s="141"/>
      <c r="M180" s="141"/>
      <c r="N180" s="141"/>
      <c r="O180" s="141"/>
      <c r="P180" s="141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</row>
    <row r="181" spans="1:28" ht="17.25" customHeight="1">
      <c r="A181" s="196"/>
      <c r="B181" s="204">
        <v>57</v>
      </c>
      <c r="C181" s="189"/>
      <c r="D181" s="204"/>
      <c r="E181" s="230" t="s">
        <v>228</v>
      </c>
      <c r="F181" s="201">
        <f>'[2]Druhova'!G177</f>
        <v>0</v>
      </c>
      <c r="G181" s="201">
        <f>'[2]Druhova'!B177</f>
        <v>0</v>
      </c>
      <c r="H181" s="201">
        <f>'[2]Druhova'!C177</f>
        <v>0</v>
      </c>
      <c r="I181" s="201">
        <f>'[2]Druhova'!D177</f>
        <v>0</v>
      </c>
      <c r="J181" s="201">
        <f t="shared" si="4"/>
      </c>
      <c r="K181" s="202">
        <f t="shared" si="5"/>
      </c>
      <c r="L181" s="141"/>
      <c r="M181" s="141"/>
      <c r="N181" s="141"/>
      <c r="O181" s="141"/>
      <c r="P181" s="141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</row>
    <row r="182" spans="1:18" s="187" customFormat="1" ht="18" customHeight="1">
      <c r="A182" s="196"/>
      <c r="B182" s="204"/>
      <c r="C182" s="189">
        <v>590</v>
      </c>
      <c r="D182" s="189"/>
      <c r="E182" s="228" t="s">
        <v>229</v>
      </c>
      <c r="F182" s="193">
        <f>'[2]Druhova'!G178</f>
        <v>70741.15</v>
      </c>
      <c r="G182" s="193">
        <f>'[2]Druhova'!B178</f>
        <v>60252</v>
      </c>
      <c r="H182" s="193">
        <f>'[2]Druhova'!C178</f>
        <v>833577.34</v>
      </c>
      <c r="I182" s="193">
        <f>'[2]Druhova'!D178</f>
        <v>118054.43</v>
      </c>
      <c r="J182" s="193">
        <f t="shared" si="4"/>
        <v>14.16</v>
      </c>
      <c r="K182" s="194">
        <f t="shared" si="5"/>
        <v>166.88</v>
      </c>
      <c r="L182" s="186"/>
      <c r="M182" s="186"/>
      <c r="N182" s="186"/>
      <c r="O182" s="186"/>
      <c r="P182" s="186"/>
      <c r="Q182" s="186"/>
      <c r="R182" s="186"/>
    </row>
    <row r="183" spans="1:28" ht="17.25" customHeight="1" thickBot="1">
      <c r="A183" s="196"/>
      <c r="B183" s="204">
        <v>59</v>
      </c>
      <c r="C183" s="270"/>
      <c r="D183" s="204"/>
      <c r="E183" s="230" t="s">
        <v>229</v>
      </c>
      <c r="F183" s="210">
        <f>'[2]Druhova'!G179</f>
        <v>70741.15</v>
      </c>
      <c r="G183" s="211">
        <f>'[2]Druhova'!B179</f>
        <v>60252</v>
      </c>
      <c r="H183" s="211">
        <f>'[2]Druhova'!C179</f>
        <v>833577.34</v>
      </c>
      <c r="I183" s="211">
        <f>'[2]Druhova'!D179</f>
        <v>118054.43</v>
      </c>
      <c r="J183" s="211">
        <f t="shared" si="4"/>
        <v>14.16</v>
      </c>
      <c r="K183" s="212">
        <f t="shared" si="5"/>
        <v>166.88</v>
      </c>
      <c r="L183" s="141"/>
      <c r="M183" s="141"/>
      <c r="N183" s="141"/>
      <c r="O183" s="141"/>
      <c r="P183" s="141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</row>
    <row r="184" spans="1:28" ht="30" customHeight="1" thickBot="1">
      <c r="A184" s="213">
        <v>5</v>
      </c>
      <c r="B184" s="214"/>
      <c r="C184" s="271"/>
      <c r="D184" s="214"/>
      <c r="E184" s="251" t="s">
        <v>230</v>
      </c>
      <c r="F184" s="218">
        <f>'[2]Druhova'!G180</f>
        <v>51394187.81</v>
      </c>
      <c r="G184" s="219">
        <f>'[2]Druhova'!B180</f>
        <v>51318281</v>
      </c>
      <c r="H184" s="219">
        <f>'[2]Druhova'!C180</f>
        <v>52827037</v>
      </c>
      <c r="I184" s="219">
        <f>'[2]Druhova'!D180</f>
        <v>51173100.23</v>
      </c>
      <c r="J184" s="219">
        <f t="shared" si="4"/>
        <v>96.87</v>
      </c>
      <c r="K184" s="220">
        <f t="shared" si="5"/>
        <v>99.57</v>
      </c>
      <c r="L184" s="141"/>
      <c r="M184" s="141"/>
      <c r="N184" s="141"/>
      <c r="O184" s="141"/>
      <c r="P184" s="141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</row>
    <row r="185" spans="1:28" ht="12.75">
      <c r="A185" s="196"/>
      <c r="B185" s="204"/>
      <c r="C185" s="189">
        <v>611</v>
      </c>
      <c r="D185" s="189"/>
      <c r="E185" s="228" t="s">
        <v>231</v>
      </c>
      <c r="F185" s="193">
        <f>'[2]Druhova'!G181</f>
        <v>737838.53</v>
      </c>
      <c r="G185" s="193">
        <f>'[2]Druhova'!B181</f>
        <v>128388</v>
      </c>
      <c r="H185" s="193">
        <f>'[2]Druhova'!C181</f>
        <v>319352.08</v>
      </c>
      <c r="I185" s="193">
        <f>'[2]Druhova'!D181</f>
        <v>807084.4</v>
      </c>
      <c r="J185" s="193">
        <f t="shared" si="4"/>
        <v>252.73</v>
      </c>
      <c r="K185" s="194">
        <f t="shared" si="5"/>
        <v>109.38</v>
      </c>
      <c r="L185" s="141"/>
      <c r="M185" s="141"/>
      <c r="N185" s="141"/>
      <c r="O185" s="141"/>
      <c r="P185" s="141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</row>
    <row r="186" spans="1:28" ht="12.75">
      <c r="A186" s="196"/>
      <c r="B186" s="204"/>
      <c r="C186" s="189">
        <v>612</v>
      </c>
      <c r="D186" s="189"/>
      <c r="E186" s="228" t="s">
        <v>232</v>
      </c>
      <c r="F186" s="193">
        <f>'[2]Druhova'!G182</f>
        <v>1516740.49</v>
      </c>
      <c r="G186" s="193">
        <f>'[2]Druhova'!B182</f>
        <v>1174989</v>
      </c>
      <c r="H186" s="193">
        <f>'[2]Druhova'!C182</f>
        <v>1657173.92</v>
      </c>
      <c r="I186" s="193">
        <f>'[2]Druhova'!D182</f>
        <v>1318480.52</v>
      </c>
      <c r="J186" s="193">
        <f t="shared" si="4"/>
        <v>79.56</v>
      </c>
      <c r="K186" s="194">
        <f t="shared" si="5"/>
        <v>86.93</v>
      </c>
      <c r="L186" s="141"/>
      <c r="M186" s="141"/>
      <c r="N186" s="141"/>
      <c r="O186" s="141"/>
      <c r="P186" s="141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</row>
    <row r="187" spans="1:28" ht="12.75">
      <c r="A187" s="196"/>
      <c r="B187" s="204"/>
      <c r="C187" s="189">
        <v>613</v>
      </c>
      <c r="D187" s="189"/>
      <c r="E187" s="228" t="s">
        <v>233</v>
      </c>
      <c r="F187" s="193">
        <f>'[2]Druhova'!G183</f>
        <v>462.7</v>
      </c>
      <c r="G187" s="193">
        <f>'[2]Druhova'!B183</f>
        <v>0</v>
      </c>
      <c r="H187" s="193">
        <f>'[2]Druhova'!C183</f>
        <v>1029</v>
      </c>
      <c r="I187" s="193">
        <f>'[2]Druhova'!D183</f>
        <v>967.64</v>
      </c>
      <c r="J187" s="193">
        <f t="shared" si="4"/>
        <v>94.04</v>
      </c>
      <c r="K187" s="194">
        <f t="shared" si="5"/>
        <v>209.13</v>
      </c>
      <c r="L187" s="141"/>
      <c r="M187" s="141"/>
      <c r="N187" s="141"/>
      <c r="O187" s="141"/>
      <c r="P187" s="141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</row>
    <row r="188" spans="1:28" ht="17.25" customHeight="1">
      <c r="A188" s="196"/>
      <c r="B188" s="204">
        <v>61</v>
      </c>
      <c r="C188" s="189"/>
      <c r="D188" s="204"/>
      <c r="E188" s="230" t="s">
        <v>234</v>
      </c>
      <c r="F188" s="201">
        <f>'[2]Druhova'!G184</f>
        <v>2255041.72</v>
      </c>
      <c r="G188" s="201">
        <f>'[2]Druhova'!B184</f>
        <v>1303377</v>
      </c>
      <c r="H188" s="201">
        <f>'[2]Druhova'!C184</f>
        <v>1977555</v>
      </c>
      <c r="I188" s="201">
        <f>'[2]Druhova'!D184</f>
        <v>2126532.55</v>
      </c>
      <c r="J188" s="201">
        <f t="shared" si="4"/>
        <v>107.53</v>
      </c>
      <c r="K188" s="202">
        <f t="shared" si="5"/>
        <v>94.3</v>
      </c>
      <c r="L188" s="141"/>
      <c r="M188" s="141"/>
      <c r="N188" s="141"/>
      <c r="O188" s="141"/>
      <c r="P188" s="141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</row>
    <row r="189" spans="1:28" ht="18" customHeight="1">
      <c r="A189" s="196"/>
      <c r="B189" s="204"/>
      <c r="C189" s="189">
        <v>620</v>
      </c>
      <c r="D189" s="189"/>
      <c r="E189" s="228" t="s">
        <v>235</v>
      </c>
      <c r="F189" s="193">
        <f>'[2]Druhova'!G185</f>
        <v>0</v>
      </c>
      <c r="G189" s="193">
        <f>'[2]Druhova'!B185</f>
        <v>0</v>
      </c>
      <c r="H189" s="193">
        <f>'[2]Druhova'!C185</f>
        <v>0</v>
      </c>
      <c r="I189" s="193">
        <f>'[2]Druhova'!D185</f>
        <v>0</v>
      </c>
      <c r="J189" s="193">
        <f t="shared" si="4"/>
      </c>
      <c r="K189" s="194">
        <f t="shared" si="5"/>
      </c>
      <c r="L189" s="141"/>
      <c r="M189" s="141"/>
      <c r="N189" s="141"/>
      <c r="O189" s="141"/>
      <c r="P189" s="141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</row>
    <row r="190" spans="1:28" ht="17.25" customHeight="1">
      <c r="A190" s="196"/>
      <c r="B190" s="204">
        <v>62</v>
      </c>
      <c r="C190" s="189"/>
      <c r="D190" s="204"/>
      <c r="E190" s="230" t="s">
        <v>235</v>
      </c>
      <c r="F190" s="201">
        <f>'[2]Druhova'!G186</f>
        <v>0</v>
      </c>
      <c r="G190" s="201">
        <f>'[2]Druhova'!B186</f>
        <v>0</v>
      </c>
      <c r="H190" s="201">
        <f>'[2]Druhova'!C186</f>
        <v>0</v>
      </c>
      <c r="I190" s="201">
        <f>'[2]Druhova'!D186</f>
        <v>0</v>
      </c>
      <c r="J190" s="201">
        <f t="shared" si="4"/>
      </c>
      <c r="K190" s="202">
        <f t="shared" si="5"/>
      </c>
      <c r="L190" s="141"/>
      <c r="M190" s="141"/>
      <c r="N190" s="141"/>
      <c r="O190" s="141"/>
      <c r="P190" s="141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</row>
    <row r="191" spans="1:18" s="187" customFormat="1" ht="18" customHeight="1">
      <c r="A191" s="196"/>
      <c r="B191" s="204"/>
      <c r="C191" s="189">
        <v>631</v>
      </c>
      <c r="D191" s="189"/>
      <c r="E191" s="228" t="s">
        <v>236</v>
      </c>
      <c r="F191" s="193">
        <f>'[2]Druhova'!G187</f>
        <v>6128.24</v>
      </c>
      <c r="G191" s="193">
        <f>'[2]Druhova'!B187</f>
        <v>0</v>
      </c>
      <c r="H191" s="193">
        <f>'[2]Druhova'!C187</f>
        <v>0</v>
      </c>
      <c r="I191" s="193">
        <f>'[2]Druhova'!D187</f>
        <v>3225.36</v>
      </c>
      <c r="J191" s="193">
        <f t="shared" si="4"/>
      </c>
      <c r="K191" s="194">
        <f t="shared" si="5"/>
        <v>52.63</v>
      </c>
      <c r="L191" s="186"/>
      <c r="M191" s="186"/>
      <c r="N191" s="186"/>
      <c r="O191" s="186"/>
      <c r="P191" s="186"/>
      <c r="Q191" s="186"/>
      <c r="R191" s="186"/>
    </row>
    <row r="192" spans="1:18" s="187" customFormat="1" ht="16.5" customHeight="1">
      <c r="A192" s="196"/>
      <c r="B192" s="204"/>
      <c r="C192" s="189">
        <v>632</v>
      </c>
      <c r="D192" s="189"/>
      <c r="E192" s="228" t="s">
        <v>237</v>
      </c>
      <c r="F192" s="193">
        <f>'[2]Druhova'!G188</f>
        <v>0</v>
      </c>
      <c r="G192" s="193">
        <f>'[2]Druhova'!B188</f>
        <v>0</v>
      </c>
      <c r="H192" s="193">
        <f>'[2]Druhova'!C188</f>
        <v>0</v>
      </c>
      <c r="I192" s="193">
        <f>'[2]Druhova'!D188</f>
        <v>143.8</v>
      </c>
      <c r="J192" s="193">
        <f t="shared" si="4"/>
      </c>
      <c r="K192" s="194">
        <f t="shared" si="5"/>
      </c>
      <c r="L192" s="186"/>
      <c r="M192" s="186"/>
      <c r="N192" s="186"/>
      <c r="O192" s="186"/>
      <c r="P192" s="186"/>
      <c r="Q192" s="186"/>
      <c r="R192" s="186"/>
    </row>
    <row r="193" spans="1:28" ht="22.5" customHeight="1">
      <c r="A193" s="196"/>
      <c r="B193" s="204"/>
      <c r="C193" s="189">
        <v>633</v>
      </c>
      <c r="D193" s="189"/>
      <c r="E193" s="228" t="s">
        <v>337</v>
      </c>
      <c r="F193" s="193">
        <f>'[2]Druhova'!G189</f>
        <v>0</v>
      </c>
      <c r="G193" s="193">
        <f>'[2]Druhova'!B189</f>
        <v>0</v>
      </c>
      <c r="H193" s="193">
        <f>'[2]Druhova'!C189</f>
        <v>0</v>
      </c>
      <c r="I193" s="193">
        <f>'[2]Druhova'!D189</f>
        <v>0</v>
      </c>
      <c r="J193" s="193">
        <f t="shared" si="4"/>
      </c>
      <c r="K193" s="194">
        <f t="shared" si="5"/>
      </c>
      <c r="L193" s="141"/>
      <c r="M193" s="141"/>
      <c r="N193" s="141"/>
      <c r="O193" s="141"/>
      <c r="P193" s="141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</row>
    <row r="194" spans="1:28" ht="12.75">
      <c r="A194" s="265"/>
      <c r="B194" s="266"/>
      <c r="C194" s="189"/>
      <c r="D194" s="267">
        <v>6335</v>
      </c>
      <c r="E194" s="228" t="s">
        <v>238</v>
      </c>
      <c r="F194" s="193">
        <f>'[2]Druhova'!G190</f>
        <v>0</v>
      </c>
      <c r="G194" s="193">
        <f>'[2]Druhova'!B190</f>
        <v>0</v>
      </c>
      <c r="H194" s="193">
        <f>'[2]Druhova'!C190</f>
        <v>0</v>
      </c>
      <c r="I194" s="193">
        <f>'[2]Druhova'!D190</f>
        <v>0</v>
      </c>
      <c r="J194" s="193">
        <f t="shared" si="4"/>
      </c>
      <c r="K194" s="194">
        <f t="shared" si="5"/>
      </c>
      <c r="L194" s="141"/>
      <c r="M194" s="141"/>
      <c r="N194" s="141"/>
      <c r="O194" s="141"/>
      <c r="P194" s="141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</row>
    <row r="195" spans="1:28" ht="22.5">
      <c r="A195" s="265"/>
      <c r="B195" s="266"/>
      <c r="C195" s="189">
        <v>634</v>
      </c>
      <c r="D195" s="267"/>
      <c r="E195" s="228" t="s">
        <v>338</v>
      </c>
      <c r="F195" s="193">
        <f>'[2]Druhova'!G191</f>
        <v>120352.42</v>
      </c>
      <c r="G195" s="193">
        <f>'[2]Druhova'!B191</f>
        <v>35000</v>
      </c>
      <c r="H195" s="193">
        <f>'[2]Druhova'!C191</f>
        <v>30098</v>
      </c>
      <c r="I195" s="193">
        <f>'[2]Druhova'!D191</f>
        <v>206976.99</v>
      </c>
      <c r="J195" s="193">
        <f t="shared" si="4"/>
        <v>687.68</v>
      </c>
      <c r="K195" s="194">
        <f t="shared" si="5"/>
        <v>171.98</v>
      </c>
      <c r="L195" s="141"/>
      <c r="M195" s="141"/>
      <c r="N195" s="141"/>
      <c r="O195" s="141"/>
      <c r="P195" s="141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</row>
    <row r="196" spans="1:18" s="187" customFormat="1" ht="12.75">
      <c r="A196" s="196"/>
      <c r="B196" s="204"/>
      <c r="C196" s="189"/>
      <c r="D196" s="189">
        <v>6341</v>
      </c>
      <c r="E196" s="228" t="s">
        <v>241</v>
      </c>
      <c r="F196" s="193">
        <f>'[2]Druhova'!G192</f>
        <v>118022.9</v>
      </c>
      <c r="G196" s="193">
        <f>'[2]Druhova'!B192</f>
        <v>35000</v>
      </c>
      <c r="H196" s="193">
        <f>'[2]Druhova'!C192</f>
        <v>30098</v>
      </c>
      <c r="I196" s="193">
        <f>'[2]Druhova'!D192</f>
        <v>154194.31</v>
      </c>
      <c r="J196" s="193">
        <f t="shared" si="4"/>
        <v>512.31</v>
      </c>
      <c r="K196" s="194">
        <f t="shared" si="5"/>
        <v>130.65</v>
      </c>
      <c r="L196" s="186"/>
      <c r="M196" s="186"/>
      <c r="N196" s="186"/>
      <c r="O196" s="186"/>
      <c r="P196" s="186"/>
      <c r="Q196" s="186"/>
      <c r="R196" s="186"/>
    </row>
    <row r="197" spans="1:28" ht="12.75">
      <c r="A197" s="196"/>
      <c r="B197" s="204"/>
      <c r="C197" s="189"/>
      <c r="D197" s="189">
        <v>6342</v>
      </c>
      <c r="E197" s="228" t="s">
        <v>242</v>
      </c>
      <c r="F197" s="193">
        <f>'[2]Druhova'!G193</f>
        <v>2329.53</v>
      </c>
      <c r="G197" s="193">
        <f>'[2]Druhova'!B193</f>
        <v>0</v>
      </c>
      <c r="H197" s="193">
        <f>'[2]Druhova'!C193</f>
        <v>0</v>
      </c>
      <c r="I197" s="193">
        <f>'[2]Druhova'!D193</f>
        <v>52782.68</v>
      </c>
      <c r="J197" s="193">
        <f t="shared" si="4"/>
      </c>
      <c r="K197" s="194">
        <f t="shared" si="5"/>
        <v>2265.81</v>
      </c>
      <c r="L197" s="141"/>
      <c r="M197" s="141"/>
      <c r="N197" s="141"/>
      <c r="O197" s="141"/>
      <c r="P197" s="141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</row>
    <row r="198" spans="1:18" s="187" customFormat="1" ht="22.5">
      <c r="A198" s="196"/>
      <c r="B198" s="204"/>
      <c r="C198" s="189"/>
      <c r="D198" s="189">
        <v>6343</v>
      </c>
      <c r="E198" s="228" t="s">
        <v>243</v>
      </c>
      <c r="F198" s="193">
        <f>'[2]Druhova'!G194</f>
        <v>0</v>
      </c>
      <c r="G198" s="193">
        <f>'[2]Druhova'!B194</f>
        <v>0</v>
      </c>
      <c r="H198" s="193">
        <f>'[2]Druhova'!C194</f>
        <v>0</v>
      </c>
      <c r="I198" s="193">
        <f>'[2]Druhova'!D194</f>
        <v>0</v>
      </c>
      <c r="J198" s="193">
        <f t="shared" si="4"/>
      </c>
      <c r="K198" s="194">
        <f t="shared" si="5"/>
      </c>
      <c r="L198" s="186"/>
      <c r="M198" s="186"/>
      <c r="N198" s="186"/>
      <c r="O198" s="186"/>
      <c r="P198" s="186"/>
      <c r="Q198" s="186"/>
      <c r="R198" s="186"/>
    </row>
    <row r="199" spans="1:18" s="187" customFormat="1" ht="22.5">
      <c r="A199" s="196"/>
      <c r="B199" s="204"/>
      <c r="C199" s="189"/>
      <c r="D199" s="189">
        <v>6344</v>
      </c>
      <c r="E199" s="228" t="s">
        <v>244</v>
      </c>
      <c r="F199" s="193">
        <f>'[2]Druhova'!G195</f>
        <v>0</v>
      </c>
      <c r="G199" s="193">
        <f>'[2]Druhova'!B195</f>
        <v>0</v>
      </c>
      <c r="H199" s="193">
        <f>'[2]Druhova'!C195</f>
        <v>0</v>
      </c>
      <c r="I199" s="193">
        <f>'[2]Druhova'!D195</f>
        <v>0</v>
      </c>
      <c r="J199" s="193">
        <f t="shared" si="4"/>
      </c>
      <c r="K199" s="194">
        <f t="shared" si="5"/>
      </c>
      <c r="L199" s="186"/>
      <c r="M199" s="186"/>
      <c r="N199" s="186"/>
      <c r="O199" s="186"/>
      <c r="P199" s="186"/>
      <c r="Q199" s="186"/>
      <c r="R199" s="186"/>
    </row>
    <row r="200" spans="1:18" s="187" customFormat="1" ht="12.75">
      <c r="A200" s="196"/>
      <c r="B200" s="204"/>
      <c r="C200" s="189"/>
      <c r="D200" s="189">
        <v>6345</v>
      </c>
      <c r="E200" s="228" t="s">
        <v>245</v>
      </c>
      <c r="F200" s="193">
        <f>'[2]Druhova'!G196</f>
        <v>0</v>
      </c>
      <c r="G200" s="193">
        <f>'[2]Druhova'!B196</f>
        <v>0</v>
      </c>
      <c r="H200" s="193">
        <f>'[2]Druhova'!C196</f>
        <v>0</v>
      </c>
      <c r="I200" s="193">
        <f>'[2]Druhova'!D196</f>
        <v>0</v>
      </c>
      <c r="J200" s="193">
        <f t="shared" si="4"/>
      </c>
      <c r="K200" s="194">
        <f t="shared" si="5"/>
      </c>
      <c r="L200" s="186"/>
      <c r="M200" s="186"/>
      <c r="N200" s="186"/>
      <c r="O200" s="186"/>
      <c r="P200" s="186"/>
      <c r="Q200" s="186"/>
      <c r="R200" s="186"/>
    </row>
    <row r="201" spans="1:28" ht="22.5">
      <c r="A201" s="196"/>
      <c r="B201" s="204"/>
      <c r="C201" s="189"/>
      <c r="D201" s="189">
        <v>6349</v>
      </c>
      <c r="E201" s="228" t="s">
        <v>246</v>
      </c>
      <c r="F201" s="193">
        <f>'[2]Druhova'!G197</f>
        <v>0</v>
      </c>
      <c r="G201" s="193">
        <f>'[2]Druhova'!B197</f>
        <v>0</v>
      </c>
      <c r="H201" s="193">
        <f>'[2]Druhova'!C197</f>
        <v>0</v>
      </c>
      <c r="I201" s="193">
        <f>'[2]Druhova'!D197</f>
        <v>0</v>
      </c>
      <c r="J201" s="193">
        <f t="shared" si="4"/>
      </c>
      <c r="K201" s="194">
        <f t="shared" si="5"/>
      </c>
      <c r="L201" s="141"/>
      <c r="M201" s="141"/>
      <c r="N201" s="141"/>
      <c r="O201" s="141"/>
      <c r="P201" s="141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</row>
    <row r="202" spans="1:28" ht="22.5">
      <c r="A202" s="196"/>
      <c r="B202" s="204"/>
      <c r="C202" s="189">
        <v>635</v>
      </c>
      <c r="D202" s="189"/>
      <c r="E202" s="228" t="s">
        <v>247</v>
      </c>
      <c r="F202" s="193">
        <f>'[2]Druhova'!G198</f>
        <v>7387.57</v>
      </c>
      <c r="G202" s="193">
        <f>'[2]Druhova'!B198</f>
        <v>0</v>
      </c>
      <c r="H202" s="193">
        <f>'[2]Druhova'!C198</f>
        <v>0</v>
      </c>
      <c r="I202" s="193">
        <f>'[2]Druhova'!D198</f>
        <v>0</v>
      </c>
      <c r="J202" s="193">
        <f aca="true" t="shared" si="6" ref="J202:J227">IF(H202=0,"",I202/H202*100)</f>
      </c>
      <c r="K202" s="194">
        <f aca="true" t="shared" si="7" ref="K202:K227">IF(F202=0,"",I202/F202*100)</f>
        <v>0</v>
      </c>
      <c r="L202" s="141"/>
      <c r="M202" s="141"/>
      <c r="N202" s="141"/>
      <c r="O202" s="141"/>
      <c r="P202" s="141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</row>
    <row r="203" spans="1:28" ht="12.75">
      <c r="A203" s="196"/>
      <c r="B203" s="204"/>
      <c r="C203" s="189">
        <v>636</v>
      </c>
      <c r="D203" s="189"/>
      <c r="E203" s="228" t="s">
        <v>248</v>
      </c>
      <c r="F203" s="193">
        <f>'[2]Druhova'!G199</f>
        <v>0</v>
      </c>
      <c r="G203" s="193">
        <f>'[2]Druhova'!B199</f>
        <v>0</v>
      </c>
      <c r="H203" s="193">
        <f>'[2]Druhova'!C199</f>
        <v>0</v>
      </c>
      <c r="I203" s="193">
        <f>'[2]Druhova'!D199</f>
        <v>0</v>
      </c>
      <c r="J203" s="193">
        <f t="shared" si="6"/>
      </c>
      <c r="K203" s="194">
        <f t="shared" si="7"/>
      </c>
      <c r="L203" s="141"/>
      <c r="M203" s="141"/>
      <c r="N203" s="141"/>
      <c r="O203" s="141"/>
      <c r="P203" s="141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</row>
    <row r="204" spans="1:28" ht="12.75">
      <c r="A204" s="196"/>
      <c r="B204" s="204"/>
      <c r="C204" s="189">
        <v>637</v>
      </c>
      <c r="D204" s="189"/>
      <c r="E204" s="228" t="s">
        <v>249</v>
      </c>
      <c r="F204" s="193">
        <f>'[2]Druhova'!G200</f>
        <v>0</v>
      </c>
      <c r="G204" s="193">
        <f>'[2]Druhova'!B200</f>
        <v>0</v>
      </c>
      <c r="H204" s="193">
        <f>'[2]Druhova'!C200</f>
        <v>0</v>
      </c>
      <c r="I204" s="193">
        <f>'[2]Druhova'!D200</f>
        <v>0</v>
      </c>
      <c r="J204" s="193">
        <f t="shared" si="6"/>
      </c>
      <c r="K204" s="194">
        <f t="shared" si="7"/>
      </c>
      <c r="L204" s="141"/>
      <c r="M204" s="141"/>
      <c r="N204" s="141"/>
      <c r="O204" s="141"/>
      <c r="P204" s="141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</row>
    <row r="205" spans="1:28" ht="12.75">
      <c r="A205" s="196"/>
      <c r="B205" s="204"/>
      <c r="C205" s="189">
        <v>638</v>
      </c>
      <c r="D205" s="189"/>
      <c r="E205" s="228" t="s">
        <v>250</v>
      </c>
      <c r="F205" s="193">
        <f>'[2]Druhova'!G201</f>
        <v>0</v>
      </c>
      <c r="G205" s="193">
        <f>'[2]Druhova'!B201</f>
        <v>0</v>
      </c>
      <c r="H205" s="193">
        <f>'[2]Druhova'!C201</f>
        <v>0</v>
      </c>
      <c r="I205" s="193">
        <f>'[2]Druhova'!D201</f>
        <v>0</v>
      </c>
      <c r="J205" s="193">
        <f t="shared" si="6"/>
      </c>
      <c r="K205" s="194">
        <f t="shared" si="7"/>
      </c>
      <c r="L205" s="141"/>
      <c r="M205" s="141"/>
      <c r="N205" s="141"/>
      <c r="O205" s="141"/>
      <c r="P205" s="141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</row>
    <row r="206" spans="1:28" ht="12.75">
      <c r="A206" s="196"/>
      <c r="B206" s="204">
        <v>63</v>
      </c>
      <c r="C206" s="189"/>
      <c r="D206" s="204"/>
      <c r="E206" s="230" t="s">
        <v>251</v>
      </c>
      <c r="F206" s="201">
        <f>'[2]Druhova'!G202</f>
        <v>133868.24</v>
      </c>
      <c r="G206" s="201">
        <f>'[2]Druhova'!B202</f>
        <v>35000</v>
      </c>
      <c r="H206" s="201">
        <f>'[2]Druhova'!C202</f>
        <v>30098</v>
      </c>
      <c r="I206" s="201">
        <f>'[2]Druhova'!D202</f>
        <v>210346.15</v>
      </c>
      <c r="J206" s="201">
        <f t="shared" si="6"/>
        <v>698.87</v>
      </c>
      <c r="K206" s="202">
        <f t="shared" si="7"/>
        <v>157.13</v>
      </c>
      <c r="L206" s="141"/>
      <c r="M206" s="141"/>
      <c r="N206" s="141"/>
      <c r="O206" s="141"/>
      <c r="P206" s="141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</row>
    <row r="207" spans="1:28" ht="22.5">
      <c r="A207" s="196"/>
      <c r="B207" s="204"/>
      <c r="C207" s="189">
        <v>641</v>
      </c>
      <c r="D207" s="189"/>
      <c r="E207" s="228" t="s">
        <v>252</v>
      </c>
      <c r="F207" s="193">
        <f>'[2]Druhova'!G203</f>
        <v>0</v>
      </c>
      <c r="G207" s="193">
        <f>'[2]Druhova'!B203</f>
        <v>0</v>
      </c>
      <c r="H207" s="193">
        <f>'[2]Druhova'!C203</f>
        <v>0</v>
      </c>
      <c r="I207" s="193">
        <f>'[2]Druhova'!D203</f>
        <v>0</v>
      </c>
      <c r="J207" s="193">
        <f t="shared" si="6"/>
      </c>
      <c r="K207" s="194">
        <f t="shared" si="7"/>
      </c>
      <c r="L207" s="141"/>
      <c r="M207" s="141"/>
      <c r="N207" s="141"/>
      <c r="O207" s="141"/>
      <c r="P207" s="141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</row>
    <row r="208" spans="1:28" ht="22.5">
      <c r="A208" s="196"/>
      <c r="B208" s="204"/>
      <c r="C208" s="189">
        <v>642</v>
      </c>
      <c r="D208" s="189"/>
      <c r="E208" s="228" t="s">
        <v>253</v>
      </c>
      <c r="F208" s="193">
        <f>'[2]Druhova'!G204</f>
        <v>0</v>
      </c>
      <c r="G208" s="193">
        <f>'[2]Druhova'!B204</f>
        <v>0</v>
      </c>
      <c r="H208" s="193">
        <f>'[2]Druhova'!C204</f>
        <v>0</v>
      </c>
      <c r="I208" s="193">
        <f>'[2]Druhova'!D204</f>
        <v>0</v>
      </c>
      <c r="J208" s="193">
        <f t="shared" si="6"/>
      </c>
      <c r="K208" s="194">
        <f t="shared" si="7"/>
      </c>
      <c r="L208" s="141"/>
      <c r="M208" s="141"/>
      <c r="N208" s="141"/>
      <c r="O208" s="141"/>
      <c r="P208" s="141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</row>
    <row r="209" spans="1:28" ht="22.5">
      <c r="A209" s="196"/>
      <c r="B209" s="204"/>
      <c r="C209" s="189">
        <v>643</v>
      </c>
      <c r="D209" s="189"/>
      <c r="E209" s="228" t="s">
        <v>340</v>
      </c>
      <c r="F209" s="193">
        <f>'[2]Druhova'!G205</f>
        <v>0</v>
      </c>
      <c r="G209" s="193">
        <f>'[2]Druhova'!B205</f>
        <v>0</v>
      </c>
      <c r="H209" s="193">
        <f>'[2]Druhova'!C205</f>
        <v>0</v>
      </c>
      <c r="I209" s="193">
        <f>'[2]Druhova'!D205</f>
        <v>0</v>
      </c>
      <c r="J209" s="193">
        <f t="shared" si="6"/>
      </c>
      <c r="K209" s="194">
        <f t="shared" si="7"/>
      </c>
      <c r="L209" s="141"/>
      <c r="M209" s="141"/>
      <c r="N209" s="141"/>
      <c r="O209" s="141"/>
      <c r="P209" s="141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</row>
    <row r="210" spans="1:28" ht="22.5">
      <c r="A210" s="196"/>
      <c r="B210" s="204"/>
      <c r="C210" s="189">
        <v>644</v>
      </c>
      <c r="D210" s="189"/>
      <c r="E210" s="228" t="s">
        <v>341</v>
      </c>
      <c r="F210" s="193">
        <f>'[2]Druhova'!G206</f>
        <v>0</v>
      </c>
      <c r="G210" s="193">
        <f>'[2]Druhova'!B206</f>
        <v>0</v>
      </c>
      <c r="H210" s="193">
        <f>'[2]Druhova'!C206</f>
        <v>0</v>
      </c>
      <c r="I210" s="193">
        <f>'[2]Druhova'!D206</f>
        <v>0</v>
      </c>
      <c r="J210" s="193">
        <f t="shared" si="6"/>
      </c>
      <c r="K210" s="194">
        <f t="shared" si="7"/>
      </c>
      <c r="L210" s="141"/>
      <c r="M210" s="141"/>
      <c r="N210" s="141"/>
      <c r="O210" s="141"/>
      <c r="P210" s="141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</row>
    <row r="211" spans="1:28" ht="22.5">
      <c r="A211" s="196"/>
      <c r="B211" s="204"/>
      <c r="C211" s="189">
        <v>645</v>
      </c>
      <c r="D211" s="189"/>
      <c r="E211" s="228" t="s">
        <v>254</v>
      </c>
      <c r="F211" s="193">
        <f>'[2]Druhova'!G207</f>
        <v>0</v>
      </c>
      <c r="G211" s="193">
        <f>'[2]Druhova'!B207</f>
        <v>0</v>
      </c>
      <c r="H211" s="193">
        <f>'[2]Druhova'!C207</f>
        <v>0</v>
      </c>
      <c r="I211" s="193">
        <f>'[2]Druhova'!D207</f>
        <v>0</v>
      </c>
      <c r="J211" s="193">
        <f t="shared" si="6"/>
      </c>
      <c r="K211" s="194">
        <f t="shared" si="7"/>
      </c>
      <c r="L211" s="141"/>
      <c r="M211" s="141"/>
      <c r="N211" s="141"/>
      <c r="O211" s="141"/>
      <c r="P211" s="141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</row>
    <row r="212" spans="1:28" ht="12.75">
      <c r="A212" s="196"/>
      <c r="B212" s="204"/>
      <c r="C212" s="189">
        <v>646</v>
      </c>
      <c r="D212" s="189"/>
      <c r="E212" s="228" t="s">
        <v>255</v>
      </c>
      <c r="F212" s="193">
        <f>'[2]Druhova'!G208</f>
        <v>0</v>
      </c>
      <c r="G212" s="193">
        <f>'[2]Druhova'!B208</f>
        <v>0</v>
      </c>
      <c r="H212" s="193">
        <f>'[2]Druhova'!C208</f>
        <v>0</v>
      </c>
      <c r="I212" s="193">
        <f>'[2]Druhova'!D208</f>
        <v>0</v>
      </c>
      <c r="J212" s="193">
        <f t="shared" si="6"/>
      </c>
      <c r="K212" s="194">
        <f t="shared" si="7"/>
      </c>
      <c r="L212" s="141"/>
      <c r="M212" s="141"/>
      <c r="N212" s="141"/>
      <c r="O212" s="141"/>
      <c r="P212" s="141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</row>
    <row r="213" spans="1:28" ht="12.75">
      <c r="A213" s="196"/>
      <c r="B213" s="204"/>
      <c r="C213" s="189">
        <v>647</v>
      </c>
      <c r="D213" s="189"/>
      <c r="E213" s="228" t="s">
        <v>256</v>
      </c>
      <c r="F213" s="193">
        <f>'[2]Druhova'!G209</f>
        <v>0</v>
      </c>
      <c r="G213" s="193">
        <f>'[2]Druhova'!B209</f>
        <v>0</v>
      </c>
      <c r="H213" s="193">
        <f>'[2]Druhova'!C209</f>
        <v>0</v>
      </c>
      <c r="I213" s="193">
        <f>'[2]Druhova'!D209</f>
        <v>0</v>
      </c>
      <c r="J213" s="193">
        <f t="shared" si="6"/>
      </c>
      <c r="K213" s="194">
        <f t="shared" si="7"/>
      </c>
      <c r="L213" s="141"/>
      <c r="M213" s="141"/>
      <c r="N213" s="141"/>
      <c r="O213" s="141"/>
      <c r="P213" s="141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</row>
    <row r="214" spans="1:28" ht="12.75">
      <c r="A214" s="196"/>
      <c r="B214" s="204">
        <v>64</v>
      </c>
      <c r="C214" s="189"/>
      <c r="D214" s="204"/>
      <c r="E214" s="230" t="s">
        <v>257</v>
      </c>
      <c r="F214" s="201">
        <f>'[2]Druhova'!G210</f>
        <v>0</v>
      </c>
      <c r="G214" s="201">
        <f>'[2]Druhova'!B210</f>
        <v>0</v>
      </c>
      <c r="H214" s="201">
        <f>'[2]Druhova'!C210</f>
        <v>0</v>
      </c>
      <c r="I214" s="201">
        <f>'[2]Druhova'!D210</f>
        <v>0</v>
      </c>
      <c r="J214" s="201">
        <f t="shared" si="6"/>
      </c>
      <c r="K214" s="202">
        <f t="shared" si="7"/>
      </c>
      <c r="L214" s="141"/>
      <c r="M214" s="141"/>
      <c r="N214" s="141"/>
      <c r="O214" s="141"/>
      <c r="P214" s="141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</row>
    <row r="215" spans="1:28" ht="33.75">
      <c r="A215" s="196"/>
      <c r="B215" s="204"/>
      <c r="C215" s="189">
        <v>671</v>
      </c>
      <c r="D215" s="189"/>
      <c r="E215" s="228" t="s">
        <v>342</v>
      </c>
      <c r="F215" s="193">
        <f>'[2]Druhova'!G211</f>
        <v>0</v>
      </c>
      <c r="G215" s="193">
        <f>'[2]Druhova'!B211</f>
        <v>0</v>
      </c>
      <c r="H215" s="193">
        <f>'[2]Druhova'!C211</f>
        <v>0</v>
      </c>
      <c r="I215" s="193">
        <f>'[2]Druhova'!D211</f>
        <v>0</v>
      </c>
      <c r="J215" s="193">
        <f t="shared" si="6"/>
      </c>
      <c r="K215" s="194">
        <f t="shared" si="7"/>
      </c>
      <c r="L215" s="141"/>
      <c r="M215" s="141"/>
      <c r="N215" s="141"/>
      <c r="O215" s="141"/>
      <c r="P215" s="141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</row>
    <row r="216" spans="1:18" s="187" customFormat="1" ht="33.75">
      <c r="A216" s="196"/>
      <c r="B216" s="204"/>
      <c r="C216" s="189">
        <v>672</v>
      </c>
      <c r="D216" s="189"/>
      <c r="E216" s="228" t="s">
        <v>343</v>
      </c>
      <c r="F216" s="193">
        <f>'[2]Druhova'!G212</f>
        <v>0</v>
      </c>
      <c r="G216" s="193">
        <f>'[2]Druhova'!B212</f>
        <v>0</v>
      </c>
      <c r="H216" s="193">
        <f>'[2]Druhova'!C212</f>
        <v>0</v>
      </c>
      <c r="I216" s="193">
        <f>'[2]Druhova'!D212</f>
        <v>0</v>
      </c>
      <c r="J216" s="193">
        <f t="shared" si="6"/>
      </c>
      <c r="K216" s="194">
        <f t="shared" si="7"/>
      </c>
      <c r="L216" s="186"/>
      <c r="M216" s="186"/>
      <c r="N216" s="186"/>
      <c r="O216" s="186"/>
      <c r="P216" s="186"/>
      <c r="Q216" s="186"/>
      <c r="R216" s="186"/>
    </row>
    <row r="217" spans="1:28" ht="33.75">
      <c r="A217" s="196"/>
      <c r="B217" s="204"/>
      <c r="C217" s="189">
        <v>673</v>
      </c>
      <c r="D217" s="189"/>
      <c r="E217" s="228" t="s">
        <v>344</v>
      </c>
      <c r="F217" s="193">
        <f>'[2]Druhova'!G213</f>
        <v>0</v>
      </c>
      <c r="G217" s="193">
        <f>'[2]Druhova'!B213</f>
        <v>0</v>
      </c>
      <c r="H217" s="193">
        <f>'[2]Druhova'!C213</f>
        <v>0</v>
      </c>
      <c r="I217" s="193">
        <f>'[2]Druhova'!D213</f>
        <v>0</v>
      </c>
      <c r="J217" s="193">
        <f t="shared" si="6"/>
      </c>
      <c r="K217" s="194">
        <f t="shared" si="7"/>
      </c>
      <c r="L217" s="141"/>
      <c r="M217" s="141"/>
      <c r="N217" s="141"/>
      <c r="O217" s="141"/>
      <c r="P217" s="141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</row>
    <row r="218" spans="1:28" ht="33.75">
      <c r="A218" s="196"/>
      <c r="B218" s="204"/>
      <c r="C218" s="189">
        <v>674</v>
      </c>
      <c r="D218" s="189"/>
      <c r="E218" s="228" t="s">
        <v>353</v>
      </c>
      <c r="F218" s="193">
        <f>'[2]Druhova'!G214</f>
        <v>0</v>
      </c>
      <c r="G218" s="193">
        <f>'[2]Druhova'!B214</f>
        <v>0</v>
      </c>
      <c r="H218" s="193">
        <f>'[2]Druhova'!C214</f>
        <v>0</v>
      </c>
      <c r="I218" s="193">
        <f>'[2]Druhova'!D214</f>
        <v>0</v>
      </c>
      <c r="J218" s="193">
        <f t="shared" si="6"/>
      </c>
      <c r="K218" s="194">
        <f t="shared" si="7"/>
      </c>
      <c r="L218" s="141"/>
      <c r="M218" s="141"/>
      <c r="N218" s="141"/>
      <c r="O218" s="141"/>
      <c r="P218" s="141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</row>
    <row r="219" spans="1:28" ht="33.75">
      <c r="A219" s="196"/>
      <c r="B219" s="204"/>
      <c r="C219" s="189">
        <v>675</v>
      </c>
      <c r="D219" s="189"/>
      <c r="E219" s="228" t="s">
        <v>258</v>
      </c>
      <c r="F219" s="193">
        <f>'[2]Druhova'!G215</f>
        <v>0</v>
      </c>
      <c r="G219" s="193">
        <f>'[2]Druhova'!B215</f>
        <v>0</v>
      </c>
      <c r="H219" s="193">
        <f>'[2]Druhova'!C215</f>
        <v>0</v>
      </c>
      <c r="I219" s="193">
        <f>'[2]Druhova'!D215</f>
        <v>0</v>
      </c>
      <c r="J219" s="193">
        <f t="shared" si="6"/>
      </c>
      <c r="K219" s="194">
        <f t="shared" si="7"/>
      </c>
      <c r="L219" s="141"/>
      <c r="M219" s="141"/>
      <c r="N219" s="141"/>
      <c r="O219" s="141"/>
      <c r="P219" s="141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</row>
    <row r="220" spans="1:28" ht="33.75">
      <c r="A220" s="196"/>
      <c r="B220" s="204"/>
      <c r="C220" s="189">
        <v>676</v>
      </c>
      <c r="D220" s="189"/>
      <c r="E220" s="228" t="s">
        <v>268</v>
      </c>
      <c r="F220" s="193">
        <f>'[2]Druhova'!G216</f>
        <v>0</v>
      </c>
      <c r="G220" s="193">
        <f>'[2]Druhova'!B216</f>
        <v>0</v>
      </c>
      <c r="H220" s="193">
        <f>'[2]Druhova'!C216</f>
        <v>0</v>
      </c>
      <c r="I220" s="193">
        <f>'[2]Druhova'!D216</f>
        <v>0</v>
      </c>
      <c r="J220" s="193">
        <f t="shared" si="6"/>
      </c>
      <c r="K220" s="194">
        <f t="shared" si="7"/>
      </c>
      <c r="L220" s="141"/>
      <c r="M220" s="141"/>
      <c r="N220" s="141"/>
      <c r="O220" s="141"/>
      <c r="P220" s="141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</row>
    <row r="221" spans="1:28" ht="12.75">
      <c r="A221" s="196"/>
      <c r="B221" s="204"/>
      <c r="C221" s="189">
        <v>679</v>
      </c>
      <c r="D221" s="189"/>
      <c r="E221" s="228" t="s">
        <v>269</v>
      </c>
      <c r="F221" s="193">
        <f>'[2]Druhova'!G217</f>
        <v>0</v>
      </c>
      <c r="G221" s="193">
        <f>'[2]Druhova'!B217</f>
        <v>0</v>
      </c>
      <c r="H221" s="193">
        <f>'[2]Druhova'!C217</f>
        <v>0</v>
      </c>
      <c r="I221" s="193">
        <f>'[2]Druhova'!D217</f>
        <v>0</v>
      </c>
      <c r="J221" s="193">
        <f t="shared" si="6"/>
      </c>
      <c r="K221" s="194">
        <f t="shared" si="7"/>
      </c>
      <c r="L221" s="141"/>
      <c r="M221" s="141"/>
      <c r="N221" s="141"/>
      <c r="O221" s="141"/>
      <c r="P221" s="141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</row>
    <row r="222" spans="1:28" ht="12.75">
      <c r="A222" s="196"/>
      <c r="B222" s="204">
        <v>67</v>
      </c>
      <c r="C222" s="189"/>
      <c r="D222" s="189"/>
      <c r="E222" s="230" t="s">
        <v>270</v>
      </c>
      <c r="F222" s="201">
        <f>'[2]Druhova'!G218</f>
        <v>0</v>
      </c>
      <c r="G222" s="201">
        <f>'[2]Druhova'!B218</f>
        <v>0</v>
      </c>
      <c r="H222" s="201">
        <f>'[2]Druhova'!C218</f>
        <v>0</v>
      </c>
      <c r="I222" s="201">
        <f>'[2]Druhova'!D218</f>
        <v>0</v>
      </c>
      <c r="J222" s="201">
        <f t="shared" si="6"/>
      </c>
      <c r="K222" s="202">
        <f t="shared" si="7"/>
      </c>
      <c r="L222" s="141"/>
      <c r="M222" s="141"/>
      <c r="N222" s="141"/>
      <c r="O222" s="141"/>
      <c r="P222" s="141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</row>
    <row r="223" spans="1:28" ht="12.75">
      <c r="A223" s="196"/>
      <c r="B223" s="204"/>
      <c r="C223" s="189">
        <v>690</v>
      </c>
      <c r="D223" s="189"/>
      <c r="E223" s="228" t="s">
        <v>271</v>
      </c>
      <c r="F223" s="193">
        <f>'[2]Druhova'!G219</f>
        <v>0</v>
      </c>
      <c r="G223" s="193">
        <f>'[2]Druhova'!B219</f>
        <v>0</v>
      </c>
      <c r="H223" s="193">
        <f>'[2]Druhova'!C219</f>
        <v>11460</v>
      </c>
      <c r="I223" s="193">
        <f>'[2]Druhova'!D219</f>
        <v>0</v>
      </c>
      <c r="J223" s="193">
        <f t="shared" si="6"/>
        <v>0</v>
      </c>
      <c r="K223" s="194">
        <f t="shared" si="7"/>
      </c>
      <c r="L223" s="141"/>
      <c r="M223" s="141"/>
      <c r="N223" s="141"/>
      <c r="O223" s="141"/>
      <c r="P223" s="141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</row>
    <row r="224" spans="1:18" s="187" customFormat="1" ht="13.5" thickBot="1">
      <c r="A224" s="196"/>
      <c r="B224" s="204">
        <v>69</v>
      </c>
      <c r="C224" s="189"/>
      <c r="D224" s="204"/>
      <c r="E224" s="230" t="s">
        <v>271</v>
      </c>
      <c r="F224" s="210">
        <f>'[2]Druhova'!G220</f>
        <v>0</v>
      </c>
      <c r="G224" s="211">
        <f>'[2]Druhova'!B220</f>
        <v>0</v>
      </c>
      <c r="H224" s="211">
        <f>'[2]Druhova'!C220</f>
        <v>11460</v>
      </c>
      <c r="I224" s="211">
        <f>'[2]Druhova'!D220</f>
        <v>0</v>
      </c>
      <c r="J224" s="211">
        <f t="shared" si="6"/>
        <v>0</v>
      </c>
      <c r="K224" s="212">
        <f t="shared" si="7"/>
      </c>
      <c r="L224" s="186"/>
      <c r="M224" s="186"/>
      <c r="N224" s="186"/>
      <c r="O224" s="186"/>
      <c r="P224" s="186"/>
      <c r="Q224" s="186"/>
      <c r="R224" s="186"/>
    </row>
    <row r="225" spans="1:18" s="187" customFormat="1" ht="30" customHeight="1" thickBot="1">
      <c r="A225" s="213">
        <v>6</v>
      </c>
      <c r="B225" s="214"/>
      <c r="C225" s="250"/>
      <c r="D225" s="254"/>
      <c r="E225" s="251" t="s">
        <v>272</v>
      </c>
      <c r="F225" s="218">
        <f>'[2]Druhova'!G221</f>
        <v>2388909.96</v>
      </c>
      <c r="G225" s="219">
        <f>'[2]Druhova'!B221</f>
        <v>1338377</v>
      </c>
      <c r="H225" s="219">
        <f>'[2]Druhova'!C221</f>
        <v>2019113</v>
      </c>
      <c r="I225" s="219">
        <f>'[2]Druhova'!D221</f>
        <v>2336878.7</v>
      </c>
      <c r="J225" s="219">
        <f t="shared" si="6"/>
        <v>115.74</v>
      </c>
      <c r="K225" s="220">
        <f t="shared" si="7"/>
        <v>97.82</v>
      </c>
      <c r="L225" s="186"/>
      <c r="M225" s="186"/>
      <c r="N225" s="186"/>
      <c r="O225" s="186"/>
      <c r="P225" s="186"/>
      <c r="Q225" s="186"/>
      <c r="R225" s="186"/>
    </row>
    <row r="226" spans="1:28" ht="34.5" customHeight="1" thickBot="1">
      <c r="A226" s="213">
        <v>5.6</v>
      </c>
      <c r="B226" s="214"/>
      <c r="C226" s="250"/>
      <c r="D226" s="254"/>
      <c r="E226" s="251" t="s">
        <v>273</v>
      </c>
      <c r="F226" s="218">
        <f>'[2]Druhova'!G222</f>
        <v>53783097.77</v>
      </c>
      <c r="G226" s="219">
        <f>'[2]Druhova'!B222</f>
        <v>52656658</v>
      </c>
      <c r="H226" s="219">
        <f>'[2]Druhova'!C222</f>
        <v>54846150</v>
      </c>
      <c r="I226" s="219">
        <f>'[2]Druhova'!D222</f>
        <v>53509978.93</v>
      </c>
      <c r="J226" s="219">
        <f t="shared" si="6"/>
        <v>97.56</v>
      </c>
      <c r="K226" s="220">
        <f t="shared" si="7"/>
        <v>99.49</v>
      </c>
      <c r="L226" s="141"/>
      <c r="M226" s="141"/>
      <c r="N226" s="141"/>
      <c r="O226" s="141"/>
      <c r="P226" s="141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</row>
    <row r="227" spans="1:28" ht="24.75" customHeight="1" thickBot="1">
      <c r="A227" s="272" t="s">
        <v>274</v>
      </c>
      <c r="B227" s="273"/>
      <c r="C227" s="274"/>
      <c r="D227" s="275"/>
      <c r="E227" s="276" t="s">
        <v>275</v>
      </c>
      <c r="F227" s="218">
        <f>'[2]Druhova'!G223</f>
        <v>-45982583.11</v>
      </c>
      <c r="G227" s="219">
        <f>'[2]Druhova'!B223</f>
        <v>-45740762</v>
      </c>
      <c r="H227" s="219">
        <f>'[2]Druhova'!C223</f>
        <v>-47429712</v>
      </c>
      <c r="I227" s="219">
        <f>'[2]Druhova'!D223</f>
        <v>-45559380.51</v>
      </c>
      <c r="J227" s="219">
        <f t="shared" si="6"/>
        <v>96.06</v>
      </c>
      <c r="K227" s="220">
        <f t="shared" si="7"/>
        <v>99.08</v>
      </c>
      <c r="L227" s="141"/>
      <c r="M227" s="141"/>
      <c r="N227" s="141"/>
      <c r="O227" s="141"/>
      <c r="P227" s="141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</row>
    <row r="228" spans="5:28" ht="18.75" customHeight="1" thickBot="1">
      <c r="E228" s="277"/>
      <c r="F228" s="278">
        <f>'[2]Druhova'!B224</f>
        <v>0</v>
      </c>
      <c r="G228" s="278">
        <f>'[2]Druhova'!C224</f>
        <v>0</v>
      </c>
      <c r="H228" s="278">
        <f>'[2]Druhova'!D224</f>
        <v>0</v>
      </c>
      <c r="I228" s="278">
        <f>'[2]Druhova'!E224</f>
        <v>0</v>
      </c>
      <c r="J228" s="278" t="str">
        <f>'[2]Druhova'!F224</f>
        <v>EMPTY</v>
      </c>
      <c r="K228" s="278">
        <f>'[2]Druhova'!G224</f>
        <v>0</v>
      </c>
      <c r="L228" s="141"/>
      <c r="M228" s="141"/>
      <c r="N228" s="141"/>
      <c r="O228" s="141"/>
      <c r="P228" s="141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</row>
    <row r="229" spans="1:28" ht="18.75" customHeight="1" thickBot="1">
      <c r="A229" s="252"/>
      <c r="B229" s="279" t="s">
        <v>276</v>
      </c>
      <c r="C229" s="271"/>
      <c r="D229" s="280"/>
      <c r="E229" s="281" t="s">
        <v>161</v>
      </c>
      <c r="F229" s="260">
        <f>'[2]Druhova'!G225</f>
        <v>53783097.77</v>
      </c>
      <c r="G229" s="257">
        <f>'[2]Druhova'!B225</f>
        <v>52656658</v>
      </c>
      <c r="H229" s="257">
        <f>'[2]Druhova'!C225</f>
        <v>54846150</v>
      </c>
      <c r="I229" s="257">
        <f>'[2]Druhova'!D225</f>
        <v>53509978.93</v>
      </c>
      <c r="J229" s="257">
        <f>IF(H229=0,"",I229/H229*100)</f>
        <v>97.56</v>
      </c>
      <c r="K229" s="258">
        <f>IF(F229=0,"",I229/F229*100)</f>
        <v>99.49</v>
      </c>
      <c r="L229" s="141"/>
      <c r="M229" s="141"/>
      <c r="N229" s="141"/>
      <c r="O229" s="141"/>
      <c r="P229" s="141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</row>
    <row r="230" spans="5:28" ht="12.75" customHeight="1" hidden="1" thickBot="1">
      <c r="E230" s="277"/>
      <c r="F230" s="193">
        <f>'[2]Druhova'!B226</f>
        <v>0</v>
      </c>
      <c r="G230" s="193">
        <f>'[2]Druhova'!C226</f>
        <v>0</v>
      </c>
      <c r="H230" s="193">
        <f>'[2]Druhova'!D226</f>
        <v>0</v>
      </c>
      <c r="I230" s="193">
        <f>'[2]Druhova'!E226</f>
        <v>0</v>
      </c>
      <c r="J230" s="193" t="str">
        <f>'[2]Druhova'!F226</f>
        <v>EMPTY</v>
      </c>
      <c r="K230" s="194">
        <f>'[2]Druhova'!G226</f>
        <v>0</v>
      </c>
      <c r="L230" s="141"/>
      <c r="M230" s="141"/>
      <c r="N230" s="141"/>
      <c r="O230" s="141"/>
      <c r="P230" s="141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</row>
    <row r="231" spans="1:28" ht="18.75" customHeight="1">
      <c r="A231" s="282"/>
      <c r="B231" s="283"/>
      <c r="C231" s="283"/>
      <c r="D231" s="284"/>
      <c r="E231" s="285" t="s">
        <v>277</v>
      </c>
      <c r="F231" s="286">
        <f>'[2]Druhova'!B227</f>
        <v>0</v>
      </c>
      <c r="G231" s="286">
        <f>'[2]Druhova'!C227</f>
        <v>0</v>
      </c>
      <c r="H231" s="286">
        <f>'[2]Druhova'!D227</f>
        <v>0</v>
      </c>
      <c r="I231" s="286">
        <f>'[2]Druhova'!E227</f>
        <v>0</v>
      </c>
      <c r="J231" s="286" t="str">
        <f>'[2]Druhova'!F227</f>
        <v>FINANCOVÁNÍ</v>
      </c>
      <c r="K231" s="286">
        <f>'[2]Druhova'!G227</f>
        <v>0</v>
      </c>
      <c r="L231" s="141"/>
      <c r="M231" s="141"/>
      <c r="N231" s="141"/>
      <c r="O231" s="141"/>
      <c r="P231" s="141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</row>
    <row r="232" spans="1:28" ht="18" customHeight="1">
      <c r="A232" s="196"/>
      <c r="B232" s="229"/>
      <c r="C232" s="189"/>
      <c r="D232" s="287">
        <v>8111</v>
      </c>
      <c r="E232" s="288" t="s">
        <v>278</v>
      </c>
      <c r="F232" s="193">
        <f>'[2]Druhova'!G228</f>
        <v>0</v>
      </c>
      <c r="G232" s="193">
        <f>'[2]Druhova'!B228</f>
        <v>0</v>
      </c>
      <c r="H232" s="193">
        <f>'[2]Druhova'!C228</f>
        <v>0</v>
      </c>
      <c r="I232" s="193">
        <f>'[2]Druhova'!D228</f>
        <v>0</v>
      </c>
      <c r="J232" s="193">
        <f aca="true" t="shared" si="8" ref="J232:J257">IF(H232=0,"",I232/H232*100)</f>
      </c>
      <c r="K232" s="194">
        <f aca="true" t="shared" si="9" ref="K232:K257">IF(F232=0,"",I232/F232*100)</f>
      </c>
      <c r="L232" s="141"/>
      <c r="M232" s="141"/>
      <c r="N232" s="141"/>
      <c r="O232" s="141"/>
      <c r="P232" s="141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</row>
    <row r="233" spans="1:28" ht="30.75" customHeight="1">
      <c r="A233" s="196"/>
      <c r="B233" s="229"/>
      <c r="C233" s="189"/>
      <c r="D233" s="287">
        <v>8112</v>
      </c>
      <c r="E233" s="288" t="s">
        <v>279</v>
      </c>
      <c r="F233" s="193">
        <f>'[2]Druhova'!G229</f>
        <v>0</v>
      </c>
      <c r="G233" s="193">
        <f>'[2]Druhova'!B229</f>
        <v>0</v>
      </c>
      <c r="H233" s="193">
        <f>'[2]Druhova'!C229</f>
        <v>0</v>
      </c>
      <c r="I233" s="193">
        <f>'[2]Druhova'!D229</f>
        <v>0</v>
      </c>
      <c r="J233" s="193">
        <f t="shared" si="8"/>
      </c>
      <c r="K233" s="194">
        <f t="shared" si="9"/>
      </c>
      <c r="L233" s="141"/>
      <c r="M233" s="141"/>
      <c r="N233" s="141"/>
      <c r="O233" s="141"/>
      <c r="P233" s="141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</row>
    <row r="234" spans="1:28" ht="27" customHeight="1">
      <c r="A234" s="196"/>
      <c r="B234" s="229"/>
      <c r="C234" s="189"/>
      <c r="D234" s="289">
        <v>8113</v>
      </c>
      <c r="E234" s="290" t="s">
        <v>280</v>
      </c>
      <c r="F234" s="193">
        <f>'[2]Druhova'!G230</f>
        <v>0</v>
      </c>
      <c r="G234" s="193">
        <f>'[2]Druhova'!B230</f>
        <v>0</v>
      </c>
      <c r="H234" s="193">
        <f>'[2]Druhova'!C230</f>
        <v>0</v>
      </c>
      <c r="I234" s="193">
        <f>'[2]Druhova'!D230</f>
        <v>0</v>
      </c>
      <c r="J234" s="193">
        <f t="shared" si="8"/>
      </c>
      <c r="K234" s="194">
        <f t="shared" si="9"/>
      </c>
      <c r="L234" s="141"/>
      <c r="M234" s="141"/>
      <c r="N234" s="141"/>
      <c r="O234" s="141"/>
      <c r="P234" s="141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</row>
    <row r="235" spans="1:28" ht="37.5" customHeight="1">
      <c r="A235" s="196"/>
      <c r="B235" s="229"/>
      <c r="C235" s="189"/>
      <c r="D235" s="289">
        <v>8114</v>
      </c>
      <c r="E235" s="290" t="s">
        <v>281</v>
      </c>
      <c r="F235" s="193">
        <f>'[2]Druhova'!G231</f>
        <v>0</v>
      </c>
      <c r="G235" s="193">
        <f>'[2]Druhova'!B231</f>
        <v>0</v>
      </c>
      <c r="H235" s="193">
        <f>'[2]Druhova'!C231</f>
        <v>0</v>
      </c>
      <c r="I235" s="193">
        <f>'[2]Druhova'!D231</f>
        <v>0</v>
      </c>
      <c r="J235" s="193">
        <f t="shared" si="8"/>
      </c>
      <c r="K235" s="194">
        <f t="shared" si="9"/>
      </c>
      <c r="L235" s="141"/>
      <c r="M235" s="141"/>
      <c r="N235" s="141"/>
      <c r="O235" s="141"/>
      <c r="P235" s="141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</row>
    <row r="236" spans="1:28" ht="30.75" customHeight="1">
      <c r="A236" s="196"/>
      <c r="B236" s="229"/>
      <c r="C236" s="189"/>
      <c r="D236" s="287">
        <v>8115</v>
      </c>
      <c r="E236" s="288" t="s">
        <v>282</v>
      </c>
      <c r="F236" s="193">
        <f>'[2]Druhova'!G232</f>
        <v>0</v>
      </c>
      <c r="G236" s="193">
        <f>'[2]Druhova'!B232</f>
        <v>0</v>
      </c>
      <c r="H236" s="193">
        <f>'[2]Druhova'!C232</f>
        <v>0</v>
      </c>
      <c r="I236" s="193">
        <f>'[2]Druhova'!D232</f>
        <v>0</v>
      </c>
      <c r="J236" s="193">
        <f t="shared" si="8"/>
      </c>
      <c r="K236" s="194">
        <f t="shared" si="9"/>
      </c>
      <c r="L236" s="141"/>
      <c r="M236" s="141"/>
      <c r="N236" s="141"/>
      <c r="O236" s="141"/>
      <c r="P236" s="141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</row>
    <row r="237" spans="1:28" ht="18" customHeight="1">
      <c r="A237" s="196"/>
      <c r="B237" s="229"/>
      <c r="C237" s="189"/>
      <c r="D237" s="289">
        <v>8117</v>
      </c>
      <c r="E237" s="288" t="s">
        <v>283</v>
      </c>
      <c r="F237" s="193">
        <f>'[2]Druhova'!G233</f>
        <v>0</v>
      </c>
      <c r="G237" s="193">
        <f>'[2]Druhova'!B233</f>
        <v>0</v>
      </c>
      <c r="H237" s="193">
        <f>'[2]Druhova'!C233</f>
        <v>0</v>
      </c>
      <c r="I237" s="193">
        <f>'[2]Druhova'!D233</f>
        <v>0</v>
      </c>
      <c r="J237" s="193">
        <f t="shared" si="8"/>
      </c>
      <c r="K237" s="194">
        <f t="shared" si="9"/>
      </c>
      <c r="L237" s="141"/>
      <c r="M237" s="141"/>
      <c r="N237" s="141"/>
      <c r="O237" s="141"/>
      <c r="P237" s="141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</row>
    <row r="238" spans="1:18" s="187" customFormat="1" ht="18" customHeight="1">
      <c r="A238" s="196"/>
      <c r="B238" s="229"/>
      <c r="C238" s="189"/>
      <c r="D238" s="289">
        <v>8118</v>
      </c>
      <c r="E238" s="288" t="s">
        <v>284</v>
      </c>
      <c r="F238" s="193">
        <f>'[2]Druhova'!G234</f>
        <v>0</v>
      </c>
      <c r="G238" s="193">
        <f>'[2]Druhova'!B234</f>
        <v>0</v>
      </c>
      <c r="H238" s="193">
        <f>'[2]Druhova'!C234</f>
        <v>0</v>
      </c>
      <c r="I238" s="193">
        <f>'[2]Druhova'!D234</f>
        <v>0</v>
      </c>
      <c r="J238" s="193">
        <f t="shared" si="8"/>
      </c>
      <c r="K238" s="194">
        <f t="shared" si="9"/>
      </c>
      <c r="L238" s="186"/>
      <c r="M238" s="186"/>
      <c r="N238" s="186"/>
      <c r="O238" s="186"/>
      <c r="P238" s="186"/>
      <c r="Q238" s="186"/>
      <c r="R238" s="186"/>
    </row>
    <row r="239" spans="1:18" s="187" customFormat="1" ht="18" customHeight="1">
      <c r="A239" s="237"/>
      <c r="B239" s="238"/>
      <c r="C239" s="189">
        <v>811</v>
      </c>
      <c r="D239" s="291"/>
      <c r="E239" s="292" t="s">
        <v>285</v>
      </c>
      <c r="F239" s="193">
        <f>'[2]Druhova'!G235</f>
        <v>0</v>
      </c>
      <c r="G239" s="193">
        <f>'[2]Druhova'!B235</f>
        <v>0</v>
      </c>
      <c r="H239" s="193">
        <f>'[2]Druhova'!C235</f>
        <v>0</v>
      </c>
      <c r="I239" s="193">
        <f>'[2]Druhova'!D235</f>
        <v>0</v>
      </c>
      <c r="J239" s="193">
        <f t="shared" si="8"/>
      </c>
      <c r="K239" s="194">
        <f t="shared" si="9"/>
      </c>
      <c r="L239" s="186"/>
      <c r="M239" s="186"/>
      <c r="N239" s="186"/>
      <c r="O239" s="186"/>
      <c r="P239" s="186"/>
      <c r="Q239" s="186"/>
      <c r="R239" s="186"/>
    </row>
    <row r="240" spans="1:18" s="187" customFormat="1" ht="19.5" customHeight="1">
      <c r="A240" s="237"/>
      <c r="B240" s="238"/>
      <c r="C240" s="189"/>
      <c r="D240" s="291">
        <v>8121</v>
      </c>
      <c r="E240" s="292" t="s">
        <v>286</v>
      </c>
      <c r="F240" s="193">
        <f>'[2]Druhova'!G236</f>
        <v>0</v>
      </c>
      <c r="G240" s="193">
        <f>'[2]Druhova'!B236</f>
        <v>0</v>
      </c>
      <c r="H240" s="193">
        <f>'[2]Druhova'!C236</f>
        <v>0</v>
      </c>
      <c r="I240" s="193">
        <f>'[2]Druhova'!D236</f>
        <v>0</v>
      </c>
      <c r="J240" s="193">
        <f t="shared" si="8"/>
      </c>
      <c r="K240" s="194">
        <f t="shared" si="9"/>
      </c>
      <c r="L240" s="186"/>
      <c r="M240" s="186"/>
      <c r="N240" s="186"/>
      <c r="O240" s="186"/>
      <c r="P240" s="186"/>
      <c r="Q240" s="186"/>
      <c r="R240" s="186"/>
    </row>
    <row r="241" spans="1:18" s="187" customFormat="1" ht="24">
      <c r="A241" s="237"/>
      <c r="B241" s="238"/>
      <c r="C241" s="189"/>
      <c r="D241" s="291">
        <v>8122</v>
      </c>
      <c r="E241" s="292" t="s">
        <v>287</v>
      </c>
      <c r="F241" s="193">
        <f>'[2]Druhova'!G237</f>
        <v>0</v>
      </c>
      <c r="G241" s="193">
        <f>'[2]Druhova'!B237</f>
        <v>0</v>
      </c>
      <c r="H241" s="193">
        <f>'[2]Druhova'!C237</f>
        <v>0</v>
      </c>
      <c r="I241" s="193">
        <f>'[2]Druhova'!D237</f>
        <v>0</v>
      </c>
      <c r="J241" s="193">
        <f t="shared" si="8"/>
      </c>
      <c r="K241" s="194">
        <f t="shared" si="9"/>
      </c>
      <c r="L241" s="186"/>
      <c r="M241" s="186"/>
      <c r="N241" s="186"/>
      <c r="O241" s="186"/>
      <c r="P241" s="186"/>
      <c r="Q241" s="186"/>
      <c r="R241" s="186"/>
    </row>
    <row r="242" spans="1:18" s="187" customFormat="1" ht="27" customHeight="1">
      <c r="A242" s="237"/>
      <c r="B242" s="238"/>
      <c r="C242" s="189"/>
      <c r="D242" s="293">
        <v>8128</v>
      </c>
      <c r="E242" s="294" t="s">
        <v>288</v>
      </c>
      <c r="F242" s="193">
        <f>'[2]Druhova'!G238</f>
        <v>0</v>
      </c>
      <c r="G242" s="193">
        <f>'[2]Druhova'!B238</f>
        <v>0</v>
      </c>
      <c r="H242" s="193">
        <f>'[2]Druhova'!C238</f>
        <v>0</v>
      </c>
      <c r="I242" s="193">
        <f>'[2]Druhova'!D238</f>
        <v>0</v>
      </c>
      <c r="J242" s="193">
        <f t="shared" si="8"/>
      </c>
      <c r="K242" s="194">
        <f t="shared" si="9"/>
      </c>
      <c r="L242" s="186"/>
      <c r="M242" s="186"/>
      <c r="N242" s="186"/>
      <c r="O242" s="186"/>
      <c r="P242" s="186"/>
      <c r="Q242" s="186"/>
      <c r="R242" s="186"/>
    </row>
    <row r="243" spans="1:28" ht="18" customHeight="1">
      <c r="A243" s="237"/>
      <c r="B243" s="238"/>
      <c r="C243" s="189">
        <v>812</v>
      </c>
      <c r="D243" s="291"/>
      <c r="E243" s="292" t="s">
        <v>289</v>
      </c>
      <c r="F243" s="193">
        <f>'[2]Druhova'!G239</f>
        <v>0</v>
      </c>
      <c r="G243" s="193">
        <f>'[2]Druhova'!B239</f>
        <v>0</v>
      </c>
      <c r="H243" s="193">
        <f>'[2]Druhova'!C239</f>
        <v>0</v>
      </c>
      <c r="I243" s="193">
        <f>'[2]Druhova'!D239</f>
        <v>0</v>
      </c>
      <c r="J243" s="193">
        <f t="shared" si="8"/>
      </c>
      <c r="K243" s="194">
        <f t="shared" si="9"/>
      </c>
      <c r="L243" s="141"/>
      <c r="M243" s="141"/>
      <c r="N243" s="141"/>
      <c r="O243" s="141"/>
      <c r="P243" s="141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</row>
    <row r="244" spans="1:28" ht="18" customHeight="1">
      <c r="A244" s="237"/>
      <c r="B244" s="238">
        <v>81</v>
      </c>
      <c r="C244" s="189"/>
      <c r="D244" s="291"/>
      <c r="E244" s="269" t="s">
        <v>290</v>
      </c>
      <c r="F244" s="201">
        <f>'[2]Druhova'!G240</f>
        <v>0</v>
      </c>
      <c r="G244" s="201">
        <f>'[2]Druhova'!B240</f>
        <v>0</v>
      </c>
      <c r="H244" s="201">
        <f>'[2]Druhova'!C240</f>
        <v>0</v>
      </c>
      <c r="I244" s="201">
        <f>'[2]Druhova'!D240</f>
        <v>0</v>
      </c>
      <c r="J244" s="201">
        <f t="shared" si="8"/>
      </c>
      <c r="K244" s="202">
        <f t="shared" si="9"/>
      </c>
      <c r="L244" s="141"/>
      <c r="M244" s="141"/>
      <c r="N244" s="141"/>
      <c r="O244" s="141"/>
      <c r="P244" s="141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</row>
    <row r="245" spans="1:28" ht="19.5" customHeight="1">
      <c r="A245" s="237"/>
      <c r="B245" s="238"/>
      <c r="C245" s="189"/>
      <c r="D245" s="293">
        <v>8217</v>
      </c>
      <c r="E245" s="295" t="s">
        <v>283</v>
      </c>
      <c r="F245" s="193">
        <f>'[2]Druhova'!G241</f>
        <v>0</v>
      </c>
      <c r="G245" s="193">
        <f>'[2]Druhova'!B241</f>
        <v>0</v>
      </c>
      <c r="H245" s="193">
        <f>'[2]Druhova'!C241</f>
        <v>0</v>
      </c>
      <c r="I245" s="193">
        <f>'[2]Druhova'!D241</f>
        <v>0</v>
      </c>
      <c r="J245" s="193">
        <f t="shared" si="8"/>
      </c>
      <c r="K245" s="194">
        <f t="shared" si="9"/>
      </c>
      <c r="L245" s="141"/>
      <c r="M245" s="141"/>
      <c r="N245" s="141"/>
      <c r="O245" s="141"/>
      <c r="P245" s="141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</row>
    <row r="246" spans="1:28" ht="18" customHeight="1">
      <c r="A246" s="237"/>
      <c r="B246" s="238"/>
      <c r="C246" s="189"/>
      <c r="D246" s="293">
        <v>8218</v>
      </c>
      <c r="E246" s="295" t="s">
        <v>291</v>
      </c>
      <c r="F246" s="193">
        <f>'[2]Druhova'!G242</f>
        <v>0</v>
      </c>
      <c r="G246" s="193">
        <f>'[2]Druhova'!B242</f>
        <v>0</v>
      </c>
      <c r="H246" s="193">
        <f>'[2]Druhova'!C242</f>
        <v>0</v>
      </c>
      <c r="I246" s="193">
        <f>'[2]Druhova'!D242</f>
        <v>0</v>
      </c>
      <c r="J246" s="193">
        <f t="shared" si="8"/>
      </c>
      <c r="K246" s="194">
        <f t="shared" si="9"/>
      </c>
      <c r="L246" s="141"/>
      <c r="M246" s="141"/>
      <c r="N246" s="141"/>
      <c r="O246" s="141"/>
      <c r="P246" s="141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</row>
    <row r="247" spans="1:28" ht="30" customHeight="1">
      <c r="A247" s="237"/>
      <c r="B247" s="238"/>
      <c r="C247" s="296">
        <v>821</v>
      </c>
      <c r="D247" s="293"/>
      <c r="E247" s="294" t="s">
        <v>285</v>
      </c>
      <c r="F247" s="193">
        <f>'[2]Druhova'!G243</f>
        <v>0</v>
      </c>
      <c r="G247" s="193">
        <f>'[2]Druhova'!B243</f>
        <v>0</v>
      </c>
      <c r="H247" s="193">
        <f>'[2]Druhova'!C243</f>
        <v>0</v>
      </c>
      <c r="I247" s="193">
        <f>'[2]Druhova'!D243</f>
        <v>0</v>
      </c>
      <c r="J247" s="193">
        <f t="shared" si="8"/>
      </c>
      <c r="K247" s="194">
        <f t="shared" si="9"/>
      </c>
      <c r="L247" s="141"/>
      <c r="M247" s="141"/>
      <c r="N247" s="141"/>
      <c r="O247" s="141"/>
      <c r="P247" s="141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</row>
    <row r="248" spans="1:28" ht="24.75" customHeight="1">
      <c r="A248" s="237"/>
      <c r="B248" s="238"/>
      <c r="C248" s="296"/>
      <c r="D248" s="293">
        <v>8221</v>
      </c>
      <c r="E248" s="294" t="s">
        <v>292</v>
      </c>
      <c r="F248" s="193">
        <f>'[2]Druhova'!G244</f>
        <v>0</v>
      </c>
      <c r="G248" s="193">
        <f>'[2]Druhova'!B244</f>
        <v>0</v>
      </c>
      <c r="H248" s="193">
        <f>'[2]Druhova'!C244</f>
        <v>0</v>
      </c>
      <c r="I248" s="193">
        <f>'[2]Druhova'!D244</f>
        <v>0</v>
      </c>
      <c r="J248" s="193">
        <f t="shared" si="8"/>
      </c>
      <c r="K248" s="194">
        <f t="shared" si="9"/>
      </c>
      <c r="L248" s="141"/>
      <c r="M248" s="141"/>
      <c r="N248" s="141"/>
      <c r="O248" s="141"/>
      <c r="P248" s="141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</row>
    <row r="249" spans="1:28" ht="24.75" customHeight="1">
      <c r="A249" s="237"/>
      <c r="B249" s="238"/>
      <c r="C249" s="189"/>
      <c r="D249" s="291">
        <v>8223</v>
      </c>
      <c r="E249" s="292" t="s">
        <v>293</v>
      </c>
      <c r="F249" s="193">
        <f>'[2]Druhova'!G245</f>
        <v>0</v>
      </c>
      <c r="G249" s="193">
        <f>'[2]Druhova'!B245</f>
        <v>0</v>
      </c>
      <c r="H249" s="193">
        <f>'[2]Druhova'!C245</f>
        <v>0</v>
      </c>
      <c r="I249" s="193">
        <f>'[2]Druhova'!D245</f>
        <v>0</v>
      </c>
      <c r="J249" s="193">
        <f t="shared" si="8"/>
      </c>
      <c r="K249" s="194">
        <f t="shared" si="9"/>
      </c>
      <c r="L249" s="141"/>
      <c r="M249" s="141"/>
      <c r="N249" s="141"/>
      <c r="O249" s="141"/>
      <c r="P249" s="141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</row>
    <row r="250" spans="1:28" ht="24">
      <c r="A250" s="237"/>
      <c r="B250" s="238"/>
      <c r="C250" s="189"/>
      <c r="D250" s="291">
        <v>8224</v>
      </c>
      <c r="E250" s="292" t="s">
        <v>294</v>
      </c>
      <c r="F250" s="193">
        <f>'[2]Druhova'!G246</f>
        <v>0</v>
      </c>
      <c r="G250" s="193">
        <f>'[2]Druhova'!B246</f>
        <v>0</v>
      </c>
      <c r="H250" s="193">
        <f>'[2]Druhova'!C246</f>
        <v>0</v>
      </c>
      <c r="I250" s="193">
        <f>'[2]Druhova'!D246</f>
        <v>0</v>
      </c>
      <c r="J250" s="193">
        <f t="shared" si="8"/>
      </c>
      <c r="K250" s="194">
        <f t="shared" si="9"/>
      </c>
      <c r="L250" s="141"/>
      <c r="M250" s="141"/>
      <c r="N250" s="141"/>
      <c r="O250" s="141"/>
      <c r="P250" s="141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</row>
    <row r="251" spans="1:28" ht="12.75">
      <c r="A251" s="237"/>
      <c r="B251" s="238"/>
      <c r="C251" s="189">
        <v>822</v>
      </c>
      <c r="D251" s="291"/>
      <c r="E251" s="292" t="s">
        <v>295</v>
      </c>
      <c r="F251" s="193">
        <f>'[2]Druhova'!G247</f>
        <v>0</v>
      </c>
      <c r="G251" s="193">
        <f>'[2]Druhova'!B247</f>
        <v>0</v>
      </c>
      <c r="H251" s="193">
        <f>'[2]Druhova'!C247</f>
        <v>0</v>
      </c>
      <c r="I251" s="193">
        <f>'[2]Druhova'!D247</f>
        <v>0</v>
      </c>
      <c r="J251" s="193">
        <f t="shared" si="8"/>
      </c>
      <c r="K251" s="194">
        <f t="shared" si="9"/>
      </c>
      <c r="L251" s="141"/>
      <c r="M251" s="141"/>
      <c r="N251" s="141"/>
      <c r="O251" s="141"/>
      <c r="P251" s="141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</row>
    <row r="252" spans="1:28" ht="12.75">
      <c r="A252" s="297"/>
      <c r="B252" s="238">
        <v>82</v>
      </c>
      <c r="C252" s="189"/>
      <c r="D252" s="291"/>
      <c r="E252" s="269" t="s">
        <v>296</v>
      </c>
      <c r="F252" s="201">
        <f>'[2]Druhova'!G248</f>
        <v>0</v>
      </c>
      <c r="G252" s="201">
        <f>'[2]Druhova'!B248</f>
        <v>0</v>
      </c>
      <c r="H252" s="201">
        <f>'[2]Druhova'!C248</f>
        <v>0</v>
      </c>
      <c r="I252" s="201">
        <f>'[2]Druhova'!D248</f>
        <v>0</v>
      </c>
      <c r="J252" s="201">
        <f t="shared" si="8"/>
      </c>
      <c r="K252" s="202">
        <f t="shared" si="9"/>
      </c>
      <c r="L252" s="141"/>
      <c r="M252" s="141"/>
      <c r="N252" s="141"/>
      <c r="O252" s="141"/>
      <c r="P252" s="141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</row>
    <row r="253" spans="1:28" ht="24">
      <c r="A253" s="298"/>
      <c r="B253" s="299"/>
      <c r="C253" s="300">
        <v>830</v>
      </c>
      <c r="D253" s="301"/>
      <c r="E253" s="302" t="s">
        <v>297</v>
      </c>
      <c r="F253" s="303">
        <f>'[2]Druhova'!G249</f>
        <v>0</v>
      </c>
      <c r="G253" s="303">
        <f>'[2]Druhova'!B249</f>
        <v>0</v>
      </c>
      <c r="H253" s="303">
        <f>'[2]Druhova'!C249</f>
        <v>0</v>
      </c>
      <c r="I253" s="303">
        <f>'[2]Druhova'!D249</f>
        <v>0</v>
      </c>
      <c r="J253" s="303">
        <f t="shared" si="8"/>
      </c>
      <c r="K253" s="304">
        <f t="shared" si="9"/>
      </c>
      <c r="L253" s="141"/>
      <c r="M253" s="141"/>
      <c r="N253" s="141"/>
      <c r="O253" s="141"/>
      <c r="P253" s="141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</row>
    <row r="254" spans="1:28" ht="24">
      <c r="A254" s="297"/>
      <c r="B254" s="305">
        <v>83</v>
      </c>
      <c r="C254" s="189"/>
      <c r="D254" s="306"/>
      <c r="E254" s="307" t="s">
        <v>297</v>
      </c>
      <c r="F254" s="201">
        <f>'[2]Druhova'!G250</f>
        <v>0</v>
      </c>
      <c r="G254" s="201">
        <f>'[2]Druhova'!B250</f>
        <v>0</v>
      </c>
      <c r="H254" s="201">
        <f>'[2]Druhova'!C250</f>
        <v>0</v>
      </c>
      <c r="I254" s="201">
        <f>'[2]Druhova'!D250</f>
        <v>0</v>
      </c>
      <c r="J254" s="201">
        <f t="shared" si="8"/>
      </c>
      <c r="K254" s="202">
        <f t="shared" si="9"/>
      </c>
      <c r="L254" s="141"/>
      <c r="M254" s="141"/>
      <c r="N254" s="141"/>
      <c r="O254" s="141"/>
      <c r="P254" s="141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</row>
    <row r="255" spans="1:28" ht="12.75">
      <c r="A255" s="237"/>
      <c r="B255" s="305"/>
      <c r="C255" s="189">
        <v>890</v>
      </c>
      <c r="D255" s="306"/>
      <c r="E255" s="308" t="s">
        <v>298</v>
      </c>
      <c r="F255" s="193">
        <f>'[2]Druhova'!G251</f>
        <v>0</v>
      </c>
      <c r="G255" s="193">
        <f>'[2]Druhova'!B251</f>
        <v>0</v>
      </c>
      <c r="H255" s="193">
        <f>'[2]Druhova'!C251</f>
        <v>0</v>
      </c>
      <c r="I255" s="193">
        <f>'[2]Druhova'!D251</f>
        <v>0</v>
      </c>
      <c r="J255" s="193">
        <f t="shared" si="8"/>
      </c>
      <c r="K255" s="194">
        <f t="shared" si="9"/>
      </c>
      <c r="L255" s="141"/>
      <c r="M255" s="141"/>
      <c r="N255" s="141"/>
      <c r="O255" s="141"/>
      <c r="P255" s="141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</row>
    <row r="256" spans="1:28" ht="13.5" thickBot="1">
      <c r="A256" s="245"/>
      <c r="B256" s="246">
        <v>89</v>
      </c>
      <c r="C256" s="309"/>
      <c r="D256" s="310"/>
      <c r="E256" s="248" t="s">
        <v>298</v>
      </c>
      <c r="F256" s="311">
        <f>'[2]Druhova'!G252</f>
        <v>0</v>
      </c>
      <c r="G256" s="311">
        <f>'[2]Druhova'!B252</f>
        <v>0</v>
      </c>
      <c r="H256" s="311">
        <f>'[2]Druhova'!C252</f>
        <v>0</v>
      </c>
      <c r="I256" s="311">
        <f>'[2]Druhova'!D252</f>
        <v>0</v>
      </c>
      <c r="J256" s="311">
        <f t="shared" si="8"/>
      </c>
      <c r="K256" s="312">
        <f t="shared" si="9"/>
      </c>
      <c r="L256" s="141"/>
      <c r="M256" s="141"/>
      <c r="N256" s="141"/>
      <c r="O256" s="141"/>
      <c r="P256" s="141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</row>
    <row r="257" spans="1:28" ht="13.5" thickBot="1">
      <c r="A257" s="313">
        <v>8</v>
      </c>
      <c r="B257" s="274"/>
      <c r="C257" s="314"/>
      <c r="D257" s="315"/>
      <c r="E257" s="316" t="s">
        <v>299</v>
      </c>
      <c r="F257" s="218">
        <f>'[2]Druhova'!G253</f>
        <v>0</v>
      </c>
      <c r="G257" s="219">
        <f>'[2]Druhova'!B253</f>
        <v>0</v>
      </c>
      <c r="H257" s="219">
        <f>'[2]Druhova'!C253</f>
        <v>0</v>
      </c>
      <c r="I257" s="219">
        <f>'[2]Druhova'!D253</f>
        <v>0</v>
      </c>
      <c r="J257" s="219">
        <f t="shared" si="8"/>
      </c>
      <c r="K257" s="220">
        <f t="shared" si="9"/>
      </c>
      <c r="L257" s="141"/>
      <c r="M257" s="141"/>
      <c r="N257" s="141"/>
      <c r="O257" s="141"/>
      <c r="P257" s="141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</row>
    <row r="258" spans="1:28" ht="13.5" thickBot="1">
      <c r="A258" s="252" t="s">
        <v>300</v>
      </c>
      <c r="E258" s="277"/>
      <c r="F258" s="317"/>
      <c r="G258" s="317"/>
      <c r="H258" s="317"/>
      <c r="I258" s="317"/>
      <c r="J258" s="317" t="str">
        <f>IF(H258&gt;0,I258/H258*100," ")</f>
        <v> </v>
      </c>
      <c r="K258" s="317" t="str">
        <f>IF(F258&gt;0,I258/F258*100," ")</f>
        <v> </v>
      </c>
      <c r="L258" s="141"/>
      <c r="M258" s="141"/>
      <c r="N258" s="141"/>
      <c r="O258" s="141"/>
      <c r="P258" s="141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</row>
    <row r="259" spans="1:28" ht="13.5" thickBot="1">
      <c r="A259" s="271"/>
      <c r="B259" s="271"/>
      <c r="C259" s="271"/>
      <c r="D259" s="280"/>
      <c r="E259" s="318" t="s">
        <v>301</v>
      </c>
      <c r="F259" s="218">
        <f>'[2]Druhova'!G255</f>
        <v>-45982583.11</v>
      </c>
      <c r="G259" s="219">
        <f>'[2]Druhova'!B255</f>
        <v>-45740762</v>
      </c>
      <c r="H259" s="219">
        <f>'[2]Druhova'!C255</f>
        <v>-47429712</v>
      </c>
      <c r="I259" s="219">
        <f>'[2]Druhova'!D255</f>
        <v>-45559380.51</v>
      </c>
      <c r="J259" s="219">
        <f>IF(H259=0,"",I259/H259*100)</f>
        <v>96.06</v>
      </c>
      <c r="K259" s="220">
        <f>IF(F259=0,"",I259/F259*100)</f>
        <v>99.08</v>
      </c>
      <c r="L259" s="141"/>
      <c r="M259" s="141"/>
      <c r="N259" s="141"/>
      <c r="O259" s="141"/>
      <c r="P259" s="141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</row>
    <row r="260" spans="5:28" ht="12.75">
      <c r="E260" s="277"/>
      <c r="F260" s="317"/>
      <c r="G260" s="317"/>
      <c r="H260" s="317"/>
      <c r="I260" s="317"/>
      <c r="J260" s="317" t="str">
        <f>IF(H260&gt;0,I260/H260*100," ")</f>
        <v> </v>
      </c>
      <c r="K260" s="317" t="str">
        <f>IF(F260&gt;0,I260/F260*100," ")</f>
        <v> </v>
      </c>
      <c r="L260" s="141"/>
      <c r="M260" s="141"/>
      <c r="N260" s="141"/>
      <c r="O260" s="141"/>
      <c r="P260" s="141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</row>
    <row r="261" spans="1:28" ht="12.75">
      <c r="A261" s="134" t="s">
        <v>302</v>
      </c>
      <c r="E261" s="319" t="s">
        <v>303</v>
      </c>
      <c r="L261" s="141"/>
      <c r="M261" s="141"/>
      <c r="N261" s="141"/>
      <c r="O261" s="141"/>
      <c r="P261" s="141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</row>
    <row r="262" spans="5:28" ht="12.75">
      <c r="E262" s="319" t="s">
        <v>304</v>
      </c>
      <c r="L262" s="141"/>
      <c r="M262" s="141"/>
      <c r="N262" s="141"/>
      <c r="O262" s="141"/>
      <c r="P262" s="141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</row>
    <row r="263" spans="1:28" ht="12.75">
      <c r="A263" s="134" t="s">
        <v>305</v>
      </c>
      <c r="B263" s="255"/>
      <c r="C263" s="255"/>
      <c r="D263" s="255"/>
      <c r="E263" s="320" t="s">
        <v>354</v>
      </c>
      <c r="L263" s="141"/>
      <c r="M263" s="141"/>
      <c r="N263" s="141"/>
      <c r="O263" s="141"/>
      <c r="P263" s="141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</row>
    <row r="264" spans="1:28" ht="12.75">
      <c r="A264" s="134" t="s">
        <v>306</v>
      </c>
      <c r="B264" s="255"/>
      <c r="C264" s="255"/>
      <c r="D264" s="255"/>
      <c r="E264" s="321" t="s">
        <v>307</v>
      </c>
      <c r="L264" s="141"/>
      <c r="M264" s="141"/>
      <c r="N264" s="141"/>
      <c r="O264" s="141"/>
      <c r="P264" s="141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</row>
    <row r="265" spans="1:28" ht="12.75">
      <c r="A265" s="134" t="s">
        <v>308</v>
      </c>
      <c r="E265" s="322" t="s">
        <v>355</v>
      </c>
      <c r="L265" s="141"/>
      <c r="M265" s="141"/>
      <c r="N265" s="141"/>
      <c r="O265" s="141"/>
      <c r="P265" s="141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</row>
    <row r="266" spans="1:28" ht="12.75">
      <c r="A266" s="134" t="s">
        <v>309</v>
      </c>
      <c r="E266" s="319" t="s">
        <v>310</v>
      </c>
      <c r="L266" s="141"/>
      <c r="M266" s="141"/>
      <c r="N266" s="141"/>
      <c r="O266" s="141"/>
      <c r="P266" s="141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</row>
    <row r="267" spans="1:28" ht="12.75">
      <c r="A267" s="134" t="s">
        <v>311</v>
      </c>
      <c r="L267" s="141"/>
      <c r="M267" s="141"/>
      <c r="N267" s="141"/>
      <c r="O267" s="141"/>
      <c r="P267" s="141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</row>
    <row r="268" spans="12:28" ht="12.75">
      <c r="L268" s="141"/>
      <c r="M268" s="141"/>
      <c r="N268" s="141"/>
      <c r="O268" s="141"/>
      <c r="P268" s="141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</row>
    <row r="269" spans="12:28" ht="12.75">
      <c r="L269" s="141"/>
      <c r="M269" s="141"/>
      <c r="N269" s="141"/>
      <c r="O269" s="141"/>
      <c r="P269" s="141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</row>
    <row r="270" spans="8:28" ht="12.75">
      <c r="H270" s="142" t="s">
        <v>312</v>
      </c>
      <c r="L270" s="141"/>
      <c r="M270" s="141"/>
      <c r="N270" s="141"/>
      <c r="O270" s="141"/>
      <c r="P270" s="141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</row>
    <row r="271" spans="12:28" ht="12.75">
      <c r="L271" s="141"/>
      <c r="M271" s="141"/>
      <c r="N271" s="141"/>
      <c r="O271" s="141"/>
      <c r="P271" s="141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</row>
    <row r="272" spans="12:28" ht="12.75">
      <c r="L272" s="141"/>
      <c r="M272" s="141"/>
      <c r="N272" s="141"/>
      <c r="O272" s="141"/>
      <c r="P272" s="141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</row>
    <row r="273" spans="12:28" ht="12.75">
      <c r="L273" s="141"/>
      <c r="M273" s="141"/>
      <c r="N273" s="141"/>
      <c r="O273" s="141"/>
      <c r="P273" s="141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</row>
    <row r="274" spans="12:28" ht="12.75">
      <c r="L274" s="141"/>
      <c r="M274" s="141"/>
      <c r="N274" s="141"/>
      <c r="O274" s="141"/>
      <c r="P274" s="141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</row>
    <row r="275" spans="12:28" ht="12.75">
      <c r="L275" s="141"/>
      <c r="M275" s="141"/>
      <c r="N275" s="141"/>
      <c r="O275" s="141"/>
      <c r="P275" s="141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</row>
    <row r="276" spans="12:28" ht="12.75">
      <c r="L276" s="141"/>
      <c r="M276" s="141"/>
      <c r="N276" s="141"/>
      <c r="O276" s="141"/>
      <c r="P276" s="141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</row>
    <row r="277" spans="12:28" ht="12.75">
      <c r="L277" s="141"/>
      <c r="M277" s="141"/>
      <c r="N277" s="141"/>
      <c r="O277" s="141"/>
      <c r="P277" s="141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</row>
    <row r="278" ht="12.75">
      <c r="E278" s="319"/>
    </row>
  </sheetData>
  <sheetProtection/>
  <mergeCells count="1">
    <mergeCell ref="J1:K1"/>
  </mergeCells>
  <printOptions horizontalCentered="1"/>
  <pageMargins left="0.984251968503937" right="0.3937007874015748" top="0.5905511811023623" bottom="0.3937007874015748" header="0.5905511811023623" footer="0.1968503937007874"/>
  <pageSetup fitToHeight="0" fitToWidth="1" horizontalDpi="600" verticalDpi="600" orientation="portrait" paperSize="9" scale="68" r:id="rId1"/>
  <headerFooter alignWithMargins="0">
    <oddHeader>&amp;R&amp;"Arial CE,Tučné"&amp;11Tabulka č. 1&amp;"Arial CE,Obyčejné"&amp;10
List č. &amp;P/&amp;N</oddHeader>
    <oddFooter>&amp;C&amp;12&amp;P+35&amp;10
</oddFooter>
  </headerFooter>
  <rowBreaks count="5" manualBreakCount="5">
    <brk id="44" max="255" man="1"/>
    <brk id="98" max="255" man="1"/>
    <brk id="141" max="255" man="1"/>
    <brk id="184" max="255" man="1"/>
    <brk id="2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I13" sqref="I13"/>
    </sheetView>
  </sheetViews>
  <sheetFormatPr defaultColWidth="9.00390625" defaultRowHeight="12.75"/>
  <cols>
    <col min="1" max="1" width="17.75390625" style="324" customWidth="1"/>
    <col min="2" max="2" width="44.00390625" style="324" customWidth="1"/>
    <col min="3" max="3" width="6.00390625" style="329" customWidth="1"/>
    <col min="4" max="4" width="15.00390625" style="324" customWidth="1"/>
    <col min="5" max="5" width="14.75390625" style="324" customWidth="1"/>
    <col min="6" max="6" width="14.875" style="324" customWidth="1"/>
    <col min="7" max="7" width="8.625" style="324" customWidth="1"/>
    <col min="8" max="16384" width="9.125" style="324" customWidth="1"/>
  </cols>
  <sheetData>
    <row r="1" spans="1:7" ht="15">
      <c r="A1" s="323"/>
      <c r="B1" s="323"/>
      <c r="F1" s="1375" t="s">
        <v>808</v>
      </c>
      <c r="G1" s="1375"/>
    </row>
    <row r="2" spans="1:7" ht="28.5" customHeight="1">
      <c r="A2" s="1376" t="s">
        <v>826</v>
      </c>
      <c r="B2" s="1376"/>
      <c r="C2" s="1376"/>
      <c r="D2" s="1376"/>
      <c r="E2" s="1376"/>
      <c r="F2" s="1376"/>
      <c r="G2" s="1376"/>
    </row>
    <row r="3" spans="1:7" ht="21.75" customHeight="1">
      <c r="A3" s="330"/>
      <c r="B3" s="330"/>
      <c r="C3" s="330"/>
      <c r="D3" s="330"/>
      <c r="E3" s="330"/>
      <c r="F3" s="330"/>
      <c r="G3" s="330"/>
    </row>
    <row r="4" spans="1:2" ht="23.25" customHeight="1">
      <c r="A4" s="1377" t="s">
        <v>452</v>
      </c>
      <c r="B4" s="1377"/>
    </row>
    <row r="5" spans="1:2" ht="27" customHeight="1" thickBot="1">
      <c r="A5" s="1378" t="s">
        <v>845</v>
      </c>
      <c r="B5" s="1378"/>
    </row>
    <row r="6" spans="1:7" s="1053" customFormat="1" ht="48.75" thickBot="1">
      <c r="A6" s="1051" t="s">
        <v>356</v>
      </c>
      <c r="B6" s="1051" t="s">
        <v>357</v>
      </c>
      <c r="C6" s="1052"/>
      <c r="D6" s="1052" t="s">
        <v>427</v>
      </c>
      <c r="E6" s="1052" t="s">
        <v>431</v>
      </c>
      <c r="F6" s="1052" t="s">
        <v>432</v>
      </c>
      <c r="G6" s="1052" t="s">
        <v>433</v>
      </c>
    </row>
    <row r="7" spans="1:7" ht="11.25" customHeight="1" thickBot="1">
      <c r="A7" s="326"/>
      <c r="B7" s="326"/>
      <c r="C7" s="325"/>
      <c r="D7" s="325" t="s">
        <v>434</v>
      </c>
      <c r="E7" s="325" t="s">
        <v>435</v>
      </c>
      <c r="F7" s="325" t="s">
        <v>436</v>
      </c>
      <c r="G7" s="325" t="s">
        <v>437</v>
      </c>
    </row>
    <row r="8" spans="1:7" s="332" customFormat="1" ht="18" customHeight="1" thickBot="1">
      <c r="A8" s="331" t="s">
        <v>430</v>
      </c>
      <c r="B8" s="1048" t="s">
        <v>428</v>
      </c>
      <c r="C8" s="1049"/>
      <c r="D8" s="1050">
        <v>6915896</v>
      </c>
      <c r="E8" s="1050">
        <v>7416438</v>
      </c>
      <c r="F8" s="1050">
        <v>7950598.42</v>
      </c>
      <c r="G8" s="1050">
        <v>107.2</v>
      </c>
    </row>
    <row r="9" spans="1:7" s="332" customFormat="1" ht="18" customHeight="1" thickBot="1">
      <c r="A9" s="331"/>
      <c r="B9" s="1048" t="s">
        <v>429</v>
      </c>
      <c r="C9" s="1049"/>
      <c r="D9" s="1050">
        <v>52656658</v>
      </c>
      <c r="E9" s="1050">
        <v>54846150</v>
      </c>
      <c r="F9" s="1050">
        <v>53509978.93</v>
      </c>
      <c r="G9" s="1050">
        <v>97.56</v>
      </c>
    </row>
    <row r="10" spans="1:7" ht="22.5" customHeight="1" thickBot="1">
      <c r="A10" s="331" t="s">
        <v>358</v>
      </c>
      <c r="B10" s="326" t="s">
        <v>359</v>
      </c>
      <c r="C10" s="325" t="s">
        <v>360</v>
      </c>
      <c r="D10" s="1054">
        <v>193000</v>
      </c>
      <c r="E10" s="1054">
        <v>193000</v>
      </c>
      <c r="F10" s="1054">
        <v>14341.92204</v>
      </c>
      <c r="G10" s="327">
        <v>7.43104768911917</v>
      </c>
    </row>
    <row r="11" spans="1:7" ht="22.5" customHeight="1" thickBot="1">
      <c r="A11" s="326"/>
      <c r="B11" s="331" t="s">
        <v>453</v>
      </c>
      <c r="C11" s="325" t="s">
        <v>361</v>
      </c>
      <c r="D11" s="1054">
        <v>5698067</v>
      </c>
      <c r="E11" s="1054">
        <v>5665734</v>
      </c>
      <c r="F11" s="1054">
        <v>5591896.836000001</v>
      </c>
      <c r="G11" s="327">
        <v>98.69677672831094</v>
      </c>
    </row>
    <row r="12" spans="1:7" ht="15.75" thickBot="1">
      <c r="A12" s="326"/>
      <c r="B12" s="331" t="s">
        <v>362</v>
      </c>
      <c r="C12" s="325" t="s">
        <v>363</v>
      </c>
      <c r="D12" s="1054">
        <v>5064969</v>
      </c>
      <c r="E12" s="1054">
        <v>5036229</v>
      </c>
      <c r="F12" s="1054">
        <v>5095865.716</v>
      </c>
      <c r="G12" s="327">
        <v>101.1841541756739</v>
      </c>
    </row>
    <row r="13" spans="1:7" ht="22.5" customHeight="1" thickBot="1">
      <c r="A13" s="326"/>
      <c r="B13" s="331" t="s">
        <v>454</v>
      </c>
      <c r="C13" s="325" t="s">
        <v>364</v>
      </c>
      <c r="D13" s="1054">
        <v>633098</v>
      </c>
      <c r="E13" s="1054">
        <v>629505</v>
      </c>
      <c r="F13" s="1054">
        <v>496031.11999999994</v>
      </c>
      <c r="G13" s="327">
        <v>78.79701034940149</v>
      </c>
    </row>
    <row r="14" spans="1:7" ht="24.75" thickBot="1">
      <c r="A14" s="326"/>
      <c r="B14" s="331" t="s">
        <v>455</v>
      </c>
      <c r="C14" s="325" t="s">
        <v>365</v>
      </c>
      <c r="D14" s="1054">
        <v>1024829</v>
      </c>
      <c r="E14" s="1054">
        <v>1557704</v>
      </c>
      <c r="F14" s="1054">
        <v>2344359.66002</v>
      </c>
      <c r="G14" s="327">
        <v>150.50097194460562</v>
      </c>
    </row>
    <row r="15" spans="1:7" ht="22.5" customHeight="1" thickBot="1">
      <c r="A15" s="326"/>
      <c r="B15" s="331" t="s">
        <v>456</v>
      </c>
      <c r="C15" s="325" t="s">
        <v>366</v>
      </c>
      <c r="D15" s="1054">
        <v>326829</v>
      </c>
      <c r="E15" s="1054">
        <v>859704.0000000001</v>
      </c>
      <c r="F15" s="1054">
        <v>1344879.90254</v>
      </c>
      <c r="G15" s="327">
        <v>156.43522683853976</v>
      </c>
    </row>
    <row r="16" spans="1:7" ht="15.75" thickBot="1">
      <c r="A16" s="326"/>
      <c r="B16" s="331" t="s">
        <v>367</v>
      </c>
      <c r="C16" s="325" t="s">
        <v>368</v>
      </c>
      <c r="D16" s="1055" t="s">
        <v>369</v>
      </c>
      <c r="E16" s="1055" t="s">
        <v>369</v>
      </c>
      <c r="F16" s="1054">
        <v>1536.9395900000002</v>
      </c>
      <c r="G16" s="328" t="s">
        <v>369</v>
      </c>
    </row>
    <row r="17" spans="1:7" ht="22.5" customHeight="1" thickBot="1">
      <c r="A17" s="326"/>
      <c r="B17" s="331" t="s">
        <v>457</v>
      </c>
      <c r="C17" s="325" t="s">
        <v>370</v>
      </c>
      <c r="D17" s="1054">
        <v>698000</v>
      </c>
      <c r="E17" s="1054">
        <v>698000</v>
      </c>
      <c r="F17" s="1054">
        <v>997942.81789</v>
      </c>
      <c r="G17" s="327">
        <v>142.97175041404012</v>
      </c>
    </row>
    <row r="18" spans="1:7" ht="24.75" thickBot="1">
      <c r="A18" s="331" t="s">
        <v>371</v>
      </c>
      <c r="B18" s="331" t="s">
        <v>372</v>
      </c>
      <c r="C18" s="325" t="s">
        <v>373</v>
      </c>
      <c r="D18" s="1054">
        <v>27801052</v>
      </c>
      <c r="E18" s="1054">
        <v>28030577</v>
      </c>
      <c r="F18" s="1054">
        <v>27210681.09968</v>
      </c>
      <c r="G18" s="327">
        <v>97.07499456639798</v>
      </c>
    </row>
    <row r="19" spans="1:7" ht="15.75" thickBot="1">
      <c r="A19" s="326"/>
      <c r="B19" s="331" t="s">
        <v>374</v>
      </c>
      <c r="C19" s="325" t="s">
        <v>375</v>
      </c>
      <c r="D19" s="1054">
        <v>6696678</v>
      </c>
      <c r="E19" s="1054">
        <v>6793521</v>
      </c>
      <c r="F19" s="1054">
        <v>6795097.097569999</v>
      </c>
      <c r="G19" s="327">
        <v>100.02320001027448</v>
      </c>
    </row>
    <row r="20" spans="1:7" ht="24.75" thickBot="1">
      <c r="A20" s="326"/>
      <c r="B20" s="331" t="s">
        <v>376</v>
      </c>
      <c r="C20" s="325" t="s">
        <v>377</v>
      </c>
      <c r="D20" s="1054">
        <v>6711291</v>
      </c>
      <c r="E20" s="1054">
        <v>7820092</v>
      </c>
      <c r="F20" s="1054">
        <v>7222480.8692</v>
      </c>
      <c r="G20" s="327">
        <v>92.35800383422598</v>
      </c>
    </row>
    <row r="21" spans="1:7" ht="22.5" customHeight="1" thickBot="1">
      <c r="A21" s="326"/>
      <c r="B21" s="331" t="s">
        <v>458</v>
      </c>
      <c r="C21" s="325" t="s">
        <v>378</v>
      </c>
      <c r="D21" s="1054">
        <v>1950850</v>
      </c>
      <c r="E21" s="1054">
        <v>2030444</v>
      </c>
      <c r="F21" s="1054">
        <v>1960744.9348199998</v>
      </c>
      <c r="G21" s="327">
        <v>96.56729931088964</v>
      </c>
    </row>
    <row r="22" spans="1:7" ht="22.5" customHeight="1" thickBot="1">
      <c r="A22" s="326"/>
      <c r="B22" s="331" t="s">
        <v>459</v>
      </c>
      <c r="C22" s="325" t="s">
        <v>379</v>
      </c>
      <c r="D22" s="1054">
        <v>391479</v>
      </c>
      <c r="E22" s="1054">
        <v>932823</v>
      </c>
      <c r="F22" s="1054">
        <v>1530920.20742</v>
      </c>
      <c r="G22" s="327">
        <v>164.11690185812316</v>
      </c>
    </row>
    <row r="23" spans="1:7" ht="15.75" thickBot="1">
      <c r="A23" s="326"/>
      <c r="B23" s="331" t="s">
        <v>380</v>
      </c>
      <c r="C23" s="325" t="s">
        <v>381</v>
      </c>
      <c r="D23" s="1054">
        <v>45528</v>
      </c>
      <c r="E23" s="1054">
        <v>185313</v>
      </c>
      <c r="F23" s="1054">
        <v>183706.72392</v>
      </c>
      <c r="G23" s="327">
        <v>99.13320917582683</v>
      </c>
    </row>
    <row r="24" spans="1:7" ht="15.75" thickBot="1">
      <c r="A24" s="326"/>
      <c r="B24" s="331" t="s">
        <v>382</v>
      </c>
      <c r="C24" s="325" t="s">
        <v>383</v>
      </c>
      <c r="D24" s="1054">
        <v>4699611</v>
      </c>
      <c r="E24" s="1054">
        <v>4699611</v>
      </c>
      <c r="F24" s="1054">
        <v>4516600.04465</v>
      </c>
      <c r="G24" s="327">
        <v>96.10582758126151</v>
      </c>
    </row>
    <row r="25" spans="1:7" ht="15.75" thickBot="1">
      <c r="A25" s="326"/>
      <c r="B25" s="331" t="s">
        <v>384</v>
      </c>
      <c r="C25" s="325" t="s">
        <v>385</v>
      </c>
      <c r="D25" s="1054">
        <v>4360169</v>
      </c>
      <c r="E25" s="1054">
        <v>4353769</v>
      </c>
      <c r="F25" s="1054">
        <v>4089747.9538200004</v>
      </c>
      <c r="G25" s="327">
        <v>93.9358049042106</v>
      </c>
    </row>
    <row r="26" spans="1:7" ht="24.75" thickBot="1">
      <c r="A26" s="331" t="s">
        <v>386</v>
      </c>
      <c r="B26" s="331" t="s">
        <v>387</v>
      </c>
      <c r="C26" s="325" t="s">
        <v>388</v>
      </c>
      <c r="D26" s="1054">
        <v>22389548</v>
      </c>
      <c r="E26" s="1054">
        <v>22436490</v>
      </c>
      <c r="F26" s="1054">
        <v>22539153.92532</v>
      </c>
      <c r="G26" s="327">
        <v>100.45757569619846</v>
      </c>
    </row>
    <row r="27" spans="1:7" ht="15.75" thickBot="1">
      <c r="A27" s="326"/>
      <c r="B27" s="331" t="s">
        <v>389</v>
      </c>
      <c r="C27" s="325" t="s">
        <v>390</v>
      </c>
      <c r="D27" s="1054">
        <v>7535700</v>
      </c>
      <c r="E27" s="1054">
        <v>7540638</v>
      </c>
      <c r="F27" s="1054">
        <v>7457553.30074</v>
      </c>
      <c r="G27" s="327">
        <v>98.89817414308975</v>
      </c>
    </row>
    <row r="28" spans="1:7" ht="15.75" thickBot="1">
      <c r="A28" s="326"/>
      <c r="B28" s="331" t="s">
        <v>391</v>
      </c>
      <c r="C28" s="325" t="s">
        <v>392</v>
      </c>
      <c r="D28" s="1054">
        <v>220468.00000000003</v>
      </c>
      <c r="E28" s="1054">
        <v>220576</v>
      </c>
      <c r="F28" s="1054">
        <v>221890.4104</v>
      </c>
      <c r="G28" s="327">
        <v>100.59589910053677</v>
      </c>
    </row>
    <row r="29" spans="1:7" ht="22.5" customHeight="1" thickBot="1">
      <c r="A29" s="326"/>
      <c r="B29" s="331" t="s">
        <v>460</v>
      </c>
      <c r="C29" s="325" t="s">
        <v>393</v>
      </c>
      <c r="D29" s="1054">
        <v>18088519</v>
      </c>
      <c r="E29" s="1054">
        <v>17985700</v>
      </c>
      <c r="F29" s="1054">
        <v>18112350.472</v>
      </c>
      <c r="G29" s="327">
        <v>100.70417315978806</v>
      </c>
    </row>
    <row r="30" spans="1:7" ht="15.75" thickBot="1">
      <c r="A30" s="326"/>
      <c r="B30" s="331" t="s">
        <v>394</v>
      </c>
      <c r="C30" s="325" t="s">
        <v>395</v>
      </c>
      <c r="D30" s="1054">
        <v>3958597.0000000005</v>
      </c>
      <c r="E30" s="1054">
        <v>4071229</v>
      </c>
      <c r="F30" s="1054">
        <v>4076779.84388</v>
      </c>
      <c r="G30" s="327">
        <v>100.13634319955965</v>
      </c>
    </row>
    <row r="31" spans="1:7" ht="22.5" customHeight="1" thickBot="1">
      <c r="A31" s="326"/>
      <c r="B31" s="331" t="s">
        <v>461</v>
      </c>
      <c r="C31" s="325" t="s">
        <v>396</v>
      </c>
      <c r="D31" s="1054">
        <v>598699</v>
      </c>
      <c r="E31" s="1054">
        <v>590711</v>
      </c>
      <c r="F31" s="1054">
        <v>522774.19457999995</v>
      </c>
      <c r="G31" s="327">
        <v>88.49914671980038</v>
      </c>
    </row>
    <row r="32" spans="1:7" ht="15.75" thickBot="1">
      <c r="A32" s="326"/>
      <c r="B32" s="331" t="s">
        <v>397</v>
      </c>
      <c r="C32" s="325" t="s">
        <v>398</v>
      </c>
      <c r="D32" s="1054">
        <v>598699</v>
      </c>
      <c r="E32" s="1054">
        <v>590711</v>
      </c>
      <c r="F32" s="1054">
        <v>522774.19457999995</v>
      </c>
      <c r="G32" s="327">
        <v>88.49914671980038</v>
      </c>
    </row>
    <row r="33" spans="1:7" ht="15.75" thickBot="1">
      <c r="A33" s="326"/>
      <c r="B33" s="331" t="s">
        <v>399</v>
      </c>
      <c r="C33" s="325" t="s">
        <v>400</v>
      </c>
      <c r="D33" s="1054">
        <v>54773</v>
      </c>
      <c r="E33" s="1054">
        <v>51533</v>
      </c>
      <c r="F33" s="1054">
        <v>47358.75954</v>
      </c>
      <c r="G33" s="327">
        <v>91.89986909359051</v>
      </c>
    </row>
    <row r="34" spans="1:7" ht="15.75" thickBot="1">
      <c r="A34" s="326"/>
      <c r="B34" s="331" t="s">
        <v>401</v>
      </c>
      <c r="C34" s="325" t="s">
        <v>402</v>
      </c>
      <c r="D34" s="1054">
        <v>543926</v>
      </c>
      <c r="E34" s="1054">
        <v>539178</v>
      </c>
      <c r="F34" s="1054">
        <v>475415.43504</v>
      </c>
      <c r="G34" s="327">
        <v>88.17411597654207</v>
      </c>
    </row>
    <row r="35" spans="1:7" ht="15.75" thickBot="1">
      <c r="A35" s="326"/>
      <c r="B35" s="331" t="s">
        <v>403</v>
      </c>
      <c r="C35" s="325" t="s">
        <v>404</v>
      </c>
      <c r="D35" s="1055" t="s">
        <v>369</v>
      </c>
      <c r="E35" s="1055" t="s">
        <v>369</v>
      </c>
      <c r="F35" s="1055" t="s">
        <v>369</v>
      </c>
      <c r="G35" s="328" t="s">
        <v>369</v>
      </c>
    </row>
    <row r="36" spans="1:7" ht="24.75" thickBot="1">
      <c r="A36" s="326"/>
      <c r="B36" s="331" t="s">
        <v>462</v>
      </c>
      <c r="C36" s="325" t="s">
        <v>405</v>
      </c>
      <c r="D36" s="1054">
        <v>543926</v>
      </c>
      <c r="E36" s="1054">
        <v>537651</v>
      </c>
      <c r="F36" s="1054">
        <v>473895.13763</v>
      </c>
      <c r="G36" s="327">
        <v>88.14177554398672</v>
      </c>
    </row>
    <row r="37" spans="1:7" ht="17.25" customHeight="1" thickBot="1">
      <c r="A37" s="326"/>
      <c r="B37" s="331" t="s">
        <v>406</v>
      </c>
      <c r="C37" s="325" t="s">
        <v>407</v>
      </c>
      <c r="D37" s="1055" t="s">
        <v>369</v>
      </c>
      <c r="E37" s="1055" t="s">
        <v>369</v>
      </c>
      <c r="F37" s="1055" t="s">
        <v>369</v>
      </c>
      <c r="G37" s="328" t="s">
        <v>369</v>
      </c>
    </row>
    <row r="38" spans="1:7" ht="22.5" customHeight="1" thickBot="1">
      <c r="A38" s="326"/>
      <c r="B38" s="331" t="s">
        <v>463</v>
      </c>
      <c r="C38" s="325" t="s">
        <v>408</v>
      </c>
      <c r="D38" s="1054">
        <v>50002</v>
      </c>
      <c r="E38" s="1054">
        <v>46762</v>
      </c>
      <c r="F38" s="1054">
        <v>44725.759490000004</v>
      </c>
      <c r="G38" s="327">
        <v>95.64552305290623</v>
      </c>
    </row>
    <row r="39" spans="1:7" ht="24.75" thickBot="1">
      <c r="A39" s="326"/>
      <c r="B39" s="331" t="s">
        <v>464</v>
      </c>
      <c r="C39" s="325" t="s">
        <v>409</v>
      </c>
      <c r="D39" s="1055" t="s">
        <v>369</v>
      </c>
      <c r="E39" s="1055" t="s">
        <v>369</v>
      </c>
      <c r="F39" s="1055" t="s">
        <v>369</v>
      </c>
      <c r="G39" s="328" t="s">
        <v>369</v>
      </c>
    </row>
    <row r="40" spans="1:7" ht="15.75" thickBot="1">
      <c r="A40" s="326"/>
      <c r="B40" s="331" t="s">
        <v>410</v>
      </c>
      <c r="C40" s="325" t="s">
        <v>411</v>
      </c>
      <c r="D40" s="1054">
        <v>26582</v>
      </c>
      <c r="E40" s="1054">
        <v>23482</v>
      </c>
      <c r="F40" s="1054">
        <v>10160.40554</v>
      </c>
      <c r="G40" s="327">
        <v>43.2689103994549</v>
      </c>
    </row>
    <row r="41" spans="1:7" ht="15.75" thickBot="1">
      <c r="A41" s="326"/>
      <c r="B41" s="331" t="s">
        <v>412</v>
      </c>
      <c r="C41" s="325" t="s">
        <v>413</v>
      </c>
      <c r="D41" s="1054">
        <v>56256</v>
      </c>
      <c r="E41" s="1054">
        <v>53732</v>
      </c>
      <c r="F41" s="1054">
        <v>50240.91319</v>
      </c>
      <c r="G41" s="327">
        <v>93.50277895853495</v>
      </c>
    </row>
    <row r="42" spans="1:7" ht="24.75" thickBot="1">
      <c r="A42" s="326"/>
      <c r="B42" s="331" t="s">
        <v>414</v>
      </c>
      <c r="C42" s="325" t="s">
        <v>415</v>
      </c>
      <c r="D42" s="1055" t="s">
        <v>369</v>
      </c>
      <c r="E42" s="1054">
        <v>23.999999999999996</v>
      </c>
      <c r="F42" s="1054">
        <v>23.977</v>
      </c>
      <c r="G42" s="327">
        <v>99.90416666666667</v>
      </c>
    </row>
    <row r="43" spans="1:7" ht="22.5" customHeight="1" thickBot="1">
      <c r="A43" s="326"/>
      <c r="B43" s="331" t="s">
        <v>465</v>
      </c>
      <c r="C43" s="325" t="s">
        <v>416</v>
      </c>
      <c r="D43" s="1054">
        <v>1169</v>
      </c>
      <c r="E43" s="1054">
        <v>6169</v>
      </c>
      <c r="F43" s="1054">
        <v>783.3795099999999</v>
      </c>
      <c r="G43" s="327">
        <v>12.698646620197762</v>
      </c>
    </row>
    <row r="44" spans="1:7" ht="24.75" thickBot="1">
      <c r="A44" s="326"/>
      <c r="B44" s="331" t="s">
        <v>466</v>
      </c>
      <c r="C44" s="325" t="s">
        <v>417</v>
      </c>
      <c r="D44" s="1054">
        <v>570894</v>
      </c>
      <c r="E44" s="1054">
        <v>1101872</v>
      </c>
      <c r="F44" s="1054">
        <v>1702892.7102300003</v>
      </c>
      <c r="G44" s="327">
        <v>154.54541999705955</v>
      </c>
    </row>
    <row r="45" spans="1:7" ht="15.75" thickBot="1">
      <c r="A45" s="326"/>
      <c r="B45" s="331" t="s">
        <v>418</v>
      </c>
      <c r="C45" s="325" t="s">
        <v>419</v>
      </c>
      <c r="D45" s="1054">
        <v>244065</v>
      </c>
      <c r="E45" s="1054">
        <v>242168</v>
      </c>
      <c r="F45" s="1054">
        <v>179442.38188</v>
      </c>
      <c r="G45" s="327">
        <v>74.09830443328599</v>
      </c>
    </row>
    <row r="46" spans="1:7" ht="15.75" thickBot="1">
      <c r="A46" s="326"/>
      <c r="B46" s="331" t="s">
        <v>420</v>
      </c>
      <c r="C46" s="325" t="s">
        <v>421</v>
      </c>
      <c r="D46" s="1054">
        <v>326829</v>
      </c>
      <c r="E46" s="1054">
        <v>859704.0000000001</v>
      </c>
      <c r="F46" s="1054">
        <v>1523450.3283499999</v>
      </c>
      <c r="G46" s="327">
        <v>177.20637898043975</v>
      </c>
    </row>
    <row r="47" spans="1:7" ht="22.5" customHeight="1" thickBot="1">
      <c r="A47" s="326"/>
      <c r="B47" s="331" t="s">
        <v>467</v>
      </c>
      <c r="C47" s="325" t="s">
        <v>422</v>
      </c>
      <c r="D47" s="1055" t="s">
        <v>369</v>
      </c>
      <c r="E47" s="1055" t="s">
        <v>369</v>
      </c>
      <c r="F47" s="1054">
        <v>85.294</v>
      </c>
      <c r="G47" s="328" t="s">
        <v>369</v>
      </c>
    </row>
    <row r="48" spans="1:7" ht="15.75" thickBot="1">
      <c r="A48" s="326"/>
      <c r="B48" s="331" t="s">
        <v>418</v>
      </c>
      <c r="C48" s="325" t="s">
        <v>423</v>
      </c>
      <c r="D48" s="1055" t="s">
        <v>369</v>
      </c>
      <c r="E48" s="1055" t="s">
        <v>369</v>
      </c>
      <c r="F48" s="1054">
        <v>13.044100000000002</v>
      </c>
      <c r="G48" s="328" t="s">
        <v>369</v>
      </c>
    </row>
    <row r="49" spans="1:7" ht="15.75" thickBot="1">
      <c r="A49" s="326"/>
      <c r="B49" s="331" t="s">
        <v>424</v>
      </c>
      <c r="C49" s="325" t="s">
        <v>425</v>
      </c>
      <c r="D49" s="1055" t="s">
        <v>369</v>
      </c>
      <c r="E49" s="1055" t="s">
        <v>369</v>
      </c>
      <c r="F49" s="1054">
        <v>72.2499</v>
      </c>
      <c r="G49" s="328" t="s">
        <v>369</v>
      </c>
    </row>
    <row r="50" spans="1:7" ht="22.5" customHeight="1" thickBot="1">
      <c r="A50" s="326"/>
      <c r="B50" s="331" t="s">
        <v>468</v>
      </c>
      <c r="C50" s="325" t="s">
        <v>426</v>
      </c>
      <c r="D50" s="1054">
        <v>1348404</v>
      </c>
      <c r="E50" s="1054">
        <v>2064099</v>
      </c>
      <c r="F50" s="1054">
        <v>2516272.83277</v>
      </c>
      <c r="G50" s="327">
        <v>121.90659618409778</v>
      </c>
    </row>
  </sheetData>
  <sheetProtection/>
  <mergeCells count="4">
    <mergeCell ref="F1:G1"/>
    <mergeCell ref="A2:G2"/>
    <mergeCell ref="A4:B4"/>
    <mergeCell ref="A5:B5"/>
  </mergeCells>
  <printOptions horizontalCentered="1"/>
  <pageMargins left="0.984251968503937" right="0.3937007874015748" top="0.7874015748031497" bottom="0.7874015748031497" header="0.5118110236220472" footer="0.31496062992125984"/>
  <pageSetup fitToHeight="1" fitToWidth="1" horizontalDpi="600" verticalDpi="600" orientation="portrait" paperSize="9" scale="73" r:id="rId1"/>
  <headerFooter alignWithMargins="0">
    <oddFooter>&amp;C&amp;11&amp;P+41&amp;10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zoomScale="75" zoomScaleNormal="75" zoomScaleSheetLayoutView="75" workbookViewId="0" topLeftCell="A1">
      <pane xSplit="1" ySplit="9" topLeftCell="Q49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R74" sqref="R74"/>
    </sheetView>
  </sheetViews>
  <sheetFormatPr defaultColWidth="9.00390625" defaultRowHeight="12.75"/>
  <cols>
    <col min="1" max="1" width="38.00390625" style="34" customWidth="1"/>
    <col min="2" max="2" width="15.125" style="34" customWidth="1"/>
    <col min="3" max="3" width="14.875" style="34" customWidth="1"/>
    <col min="4" max="4" width="16.875" style="34" bestFit="1" customWidth="1"/>
    <col min="5" max="5" width="7.75390625" style="34" customWidth="1"/>
    <col min="6" max="6" width="8.625" style="34" customWidth="1"/>
    <col min="7" max="7" width="15.25390625" style="34" customWidth="1"/>
    <col min="8" max="8" width="14.875" style="34" customWidth="1"/>
    <col min="9" max="9" width="16.875" style="34" bestFit="1" customWidth="1"/>
    <col min="10" max="10" width="8.75390625" style="34" customWidth="1"/>
    <col min="11" max="11" width="11.125" style="34" bestFit="1" customWidth="1"/>
    <col min="12" max="12" width="14.875" style="34" customWidth="1"/>
    <col min="13" max="13" width="13.375" style="34" customWidth="1"/>
    <col min="14" max="14" width="8.75390625" style="34" customWidth="1"/>
    <col min="15" max="15" width="14.875" style="34" customWidth="1"/>
    <col min="16" max="16" width="11.625" style="34" bestFit="1" customWidth="1"/>
    <col min="17" max="17" width="8.75390625" style="34" customWidth="1"/>
    <col min="18" max="18" width="20.875" style="34" bestFit="1" customWidth="1"/>
    <col min="19" max="19" width="14.875" style="34" customWidth="1"/>
    <col min="20" max="20" width="23.25390625" style="34" bestFit="1" customWidth="1"/>
    <col min="21" max="21" width="8.875" style="34" customWidth="1"/>
    <col min="22" max="22" width="12.75390625" style="34" bestFit="1" customWidth="1"/>
    <col min="23" max="23" width="14.875" style="34" customWidth="1"/>
    <col min="24" max="24" width="20.25390625" style="34" customWidth="1"/>
    <col min="25" max="25" width="8.75390625" style="34" customWidth="1"/>
    <col min="26" max="26" width="14.875" style="34" customWidth="1"/>
    <col min="27" max="27" width="17.25390625" style="34" customWidth="1"/>
    <col min="28" max="28" width="8.625" style="34" customWidth="1"/>
    <col min="29" max="29" width="13.625" style="34" customWidth="1"/>
    <col min="30" max="30" width="14.875" style="34" customWidth="1"/>
    <col min="31" max="31" width="15.25390625" style="34" bestFit="1" customWidth="1"/>
    <col min="32" max="32" width="8.75390625" style="34" customWidth="1"/>
    <col min="33" max="33" width="14.875" style="34" customWidth="1"/>
    <col min="34" max="34" width="10.625" style="34" customWidth="1"/>
    <col min="35" max="35" width="8.625" style="34" customWidth="1"/>
    <col min="36" max="36" width="11.625" style="34" customWidth="1"/>
    <col min="37" max="37" width="9.25390625" style="34" bestFit="1" customWidth="1"/>
    <col min="38" max="16384" width="9.125" style="34" customWidth="1"/>
  </cols>
  <sheetData>
    <row r="1" spans="1:37" ht="20.25">
      <c r="A1" s="333"/>
      <c r="B1" s="1367"/>
      <c r="C1" s="1367"/>
      <c r="D1" s="1367"/>
      <c r="E1" s="1367"/>
      <c r="F1" s="1367"/>
      <c r="G1" s="1367"/>
      <c r="H1" s="1367"/>
      <c r="I1" s="1367"/>
      <c r="J1" s="1367"/>
      <c r="K1" s="1367"/>
      <c r="L1" s="1367"/>
      <c r="M1" s="1367"/>
      <c r="N1" s="1367"/>
      <c r="O1" s="1367"/>
      <c r="P1" s="1367"/>
      <c r="Q1" s="1367"/>
      <c r="R1" s="334"/>
      <c r="S1" s="335"/>
      <c r="T1" s="335"/>
      <c r="U1" s="334"/>
      <c r="V1" s="334"/>
      <c r="W1" s="335"/>
      <c r="X1" s="335"/>
      <c r="Y1" s="334"/>
      <c r="Z1" s="334"/>
      <c r="AA1" s="335"/>
      <c r="AB1" s="334"/>
      <c r="AC1" s="334"/>
      <c r="AD1" s="335"/>
      <c r="AE1" s="335"/>
      <c r="AF1" s="334"/>
      <c r="AG1" s="334"/>
      <c r="AH1" s="334"/>
      <c r="AI1" s="334"/>
      <c r="AJ1" s="334"/>
      <c r="AK1" s="336"/>
    </row>
    <row r="2" spans="2:37" ht="6.75" customHeight="1" thickBot="1"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</row>
    <row r="3" spans="1:36" s="387" customFormat="1" ht="83.25" customHeight="1" thickBot="1" thickTop="1">
      <c r="A3" s="379"/>
      <c r="B3" s="380" t="s">
        <v>469</v>
      </c>
      <c r="C3" s="381"/>
      <c r="D3" s="381"/>
      <c r="E3" s="381"/>
      <c r="F3" s="382"/>
      <c r="G3" s="380" t="s">
        <v>470</v>
      </c>
      <c r="H3" s="381"/>
      <c r="I3" s="381"/>
      <c r="J3" s="381"/>
      <c r="K3" s="382"/>
      <c r="L3" s="1369" t="s">
        <v>531</v>
      </c>
      <c r="M3" s="1370"/>
      <c r="N3" s="1366"/>
      <c r="O3" s="1369" t="s">
        <v>532</v>
      </c>
      <c r="P3" s="1370"/>
      <c r="Q3" s="1366"/>
      <c r="R3" s="380" t="s">
        <v>536</v>
      </c>
      <c r="S3" s="381"/>
      <c r="T3" s="381"/>
      <c r="U3" s="381"/>
      <c r="V3" s="382"/>
      <c r="W3" s="1369" t="s">
        <v>533</v>
      </c>
      <c r="X3" s="1370"/>
      <c r="Y3" s="1366"/>
      <c r="Z3" s="1369" t="s">
        <v>534</v>
      </c>
      <c r="AA3" s="1370"/>
      <c r="AB3" s="1366"/>
      <c r="AC3" s="383" t="s">
        <v>471</v>
      </c>
      <c r="AD3" s="384" t="s">
        <v>535</v>
      </c>
      <c r="AE3" s="385"/>
      <c r="AF3" s="385"/>
      <c r="AG3" s="1369" t="s">
        <v>472</v>
      </c>
      <c r="AH3" s="1370"/>
      <c r="AI3" s="1366"/>
      <c r="AJ3" s="386"/>
    </row>
    <row r="4" spans="1:36" s="349" customFormat="1" ht="17.25" customHeight="1">
      <c r="A4" s="338"/>
      <c r="B4" s="339" t="s">
        <v>473</v>
      </c>
      <c r="C4" s="340" t="s">
        <v>474</v>
      </c>
      <c r="D4" s="341"/>
      <c r="E4" s="342"/>
      <c r="F4" s="343"/>
      <c r="G4" s="339" t="s">
        <v>473</v>
      </c>
      <c r="H4" s="340" t="s">
        <v>474</v>
      </c>
      <c r="I4" s="341"/>
      <c r="J4" s="342"/>
      <c r="K4" s="344"/>
      <c r="L4" s="345"/>
      <c r="M4" s="346"/>
      <c r="N4" s="347"/>
      <c r="O4" s="345"/>
      <c r="P4" s="346"/>
      <c r="Q4" s="347"/>
      <c r="R4" s="339" t="s">
        <v>473</v>
      </c>
      <c r="S4" s="340" t="s">
        <v>474</v>
      </c>
      <c r="T4" s="341"/>
      <c r="U4" s="342"/>
      <c r="V4" s="343"/>
      <c r="W4" s="345"/>
      <c r="X4" s="346"/>
      <c r="Y4" s="347"/>
      <c r="Z4" s="345"/>
      <c r="AA4" s="346"/>
      <c r="AB4" s="347"/>
      <c r="AC4" s="1253" t="s">
        <v>475</v>
      </c>
      <c r="AD4" s="346"/>
      <c r="AE4" s="346"/>
      <c r="AF4" s="348"/>
      <c r="AG4" s="345"/>
      <c r="AH4" s="346"/>
      <c r="AI4" s="347"/>
      <c r="AJ4" s="1255" t="s">
        <v>476</v>
      </c>
    </row>
    <row r="5" spans="1:36" s="349" customFormat="1" ht="17.25" customHeight="1">
      <c r="A5" s="338"/>
      <c r="B5" s="339" t="s">
        <v>477</v>
      </c>
      <c r="C5" s="350" t="s">
        <v>478</v>
      </c>
      <c r="D5" s="350" t="s">
        <v>473</v>
      </c>
      <c r="E5" s="350" t="s">
        <v>479</v>
      </c>
      <c r="F5" s="343" t="s">
        <v>480</v>
      </c>
      <c r="G5" s="339" t="s">
        <v>477</v>
      </c>
      <c r="H5" s="350" t="s">
        <v>478</v>
      </c>
      <c r="I5" s="350" t="s">
        <v>473</v>
      </c>
      <c r="J5" s="350" t="s">
        <v>479</v>
      </c>
      <c r="K5" s="343" t="s">
        <v>480</v>
      </c>
      <c r="L5" s="339" t="s">
        <v>478</v>
      </c>
      <c r="M5" s="351" t="s">
        <v>473</v>
      </c>
      <c r="N5" s="352" t="s">
        <v>479</v>
      </c>
      <c r="O5" s="339" t="s">
        <v>478</v>
      </c>
      <c r="P5" s="351" t="s">
        <v>473</v>
      </c>
      <c r="Q5" s="352" t="s">
        <v>479</v>
      </c>
      <c r="R5" s="339" t="s">
        <v>477</v>
      </c>
      <c r="S5" s="350" t="s">
        <v>478</v>
      </c>
      <c r="T5" s="350" t="s">
        <v>473</v>
      </c>
      <c r="U5" s="350" t="s">
        <v>480</v>
      </c>
      <c r="V5" s="343" t="s">
        <v>480</v>
      </c>
      <c r="W5" s="339" t="s">
        <v>478</v>
      </c>
      <c r="X5" s="351" t="s">
        <v>473</v>
      </c>
      <c r="Y5" s="343" t="s">
        <v>480</v>
      </c>
      <c r="Z5" s="339" t="s">
        <v>478</v>
      </c>
      <c r="AA5" s="351" t="s">
        <v>473</v>
      </c>
      <c r="AB5" s="343" t="s">
        <v>480</v>
      </c>
      <c r="AC5" s="1253" t="s">
        <v>481</v>
      </c>
      <c r="AD5" s="351" t="s">
        <v>478</v>
      </c>
      <c r="AE5" s="351" t="s">
        <v>473</v>
      </c>
      <c r="AF5" s="353" t="s">
        <v>480</v>
      </c>
      <c r="AG5" s="339" t="s">
        <v>478</v>
      </c>
      <c r="AH5" s="351" t="s">
        <v>473</v>
      </c>
      <c r="AI5" s="352" t="s">
        <v>480</v>
      </c>
      <c r="AJ5" s="1255" t="s">
        <v>482</v>
      </c>
    </row>
    <row r="6" spans="1:36" s="349" customFormat="1" ht="17.25" customHeight="1">
      <c r="A6" s="338"/>
      <c r="B6" s="339" t="s">
        <v>483</v>
      </c>
      <c r="C6" s="350" t="s">
        <v>484</v>
      </c>
      <c r="D6" s="350" t="s">
        <v>485</v>
      </c>
      <c r="E6" s="350" t="s">
        <v>486</v>
      </c>
      <c r="F6" s="343" t="s">
        <v>487</v>
      </c>
      <c r="G6" s="339" t="s">
        <v>483</v>
      </c>
      <c r="H6" s="350" t="s">
        <v>484</v>
      </c>
      <c r="I6" s="350" t="s">
        <v>485</v>
      </c>
      <c r="J6" s="350" t="s">
        <v>239</v>
      </c>
      <c r="K6" s="343" t="s">
        <v>487</v>
      </c>
      <c r="L6" s="339" t="s">
        <v>484</v>
      </c>
      <c r="M6" s="351" t="s">
        <v>485</v>
      </c>
      <c r="N6" s="352" t="s">
        <v>239</v>
      </c>
      <c r="O6" s="339" t="s">
        <v>484</v>
      </c>
      <c r="P6" s="351" t="s">
        <v>485</v>
      </c>
      <c r="Q6" s="352" t="s">
        <v>239</v>
      </c>
      <c r="R6" s="339" t="s">
        <v>483</v>
      </c>
      <c r="S6" s="350" t="s">
        <v>484</v>
      </c>
      <c r="T6" s="350" t="s">
        <v>485</v>
      </c>
      <c r="U6" s="350" t="s">
        <v>488</v>
      </c>
      <c r="V6" s="343" t="s">
        <v>487</v>
      </c>
      <c r="W6" s="339" t="s">
        <v>484</v>
      </c>
      <c r="X6" s="351" t="s">
        <v>485</v>
      </c>
      <c r="Y6" s="343" t="s">
        <v>488</v>
      </c>
      <c r="Z6" s="339" t="s">
        <v>484</v>
      </c>
      <c r="AA6" s="351" t="s">
        <v>485</v>
      </c>
      <c r="AB6" s="343" t="s">
        <v>488</v>
      </c>
      <c r="AC6" s="1253" t="s">
        <v>489</v>
      </c>
      <c r="AD6" s="351" t="s">
        <v>484</v>
      </c>
      <c r="AE6" s="351" t="s">
        <v>485</v>
      </c>
      <c r="AF6" s="353" t="s">
        <v>488</v>
      </c>
      <c r="AG6" s="339" t="s">
        <v>484</v>
      </c>
      <c r="AH6" s="351" t="s">
        <v>485</v>
      </c>
      <c r="AI6" s="352" t="s">
        <v>488</v>
      </c>
      <c r="AJ6" s="1255" t="s">
        <v>490</v>
      </c>
    </row>
    <row r="7" spans="1:36" s="349" customFormat="1" ht="17.25" customHeight="1">
      <c r="A7" s="338"/>
      <c r="B7" s="339" t="s">
        <v>491</v>
      </c>
      <c r="C7" s="350" t="s">
        <v>492</v>
      </c>
      <c r="D7" s="350"/>
      <c r="E7" s="350" t="s">
        <v>493</v>
      </c>
      <c r="F7" s="343"/>
      <c r="G7" s="339" t="s">
        <v>491</v>
      </c>
      <c r="H7" s="350" t="s">
        <v>492</v>
      </c>
      <c r="I7" s="350"/>
      <c r="J7" s="350" t="s">
        <v>240</v>
      </c>
      <c r="K7" s="343"/>
      <c r="L7" s="339" t="s">
        <v>492</v>
      </c>
      <c r="M7" s="351"/>
      <c r="N7" s="352" t="s">
        <v>240</v>
      </c>
      <c r="O7" s="339" t="s">
        <v>492</v>
      </c>
      <c r="P7" s="351"/>
      <c r="Q7" s="352" t="s">
        <v>240</v>
      </c>
      <c r="R7" s="339" t="s">
        <v>491</v>
      </c>
      <c r="S7" s="350" t="s">
        <v>492</v>
      </c>
      <c r="T7" s="350"/>
      <c r="U7" s="350" t="s">
        <v>494</v>
      </c>
      <c r="V7" s="343"/>
      <c r="W7" s="339" t="s">
        <v>492</v>
      </c>
      <c r="X7" s="351"/>
      <c r="Y7" s="343" t="s">
        <v>494</v>
      </c>
      <c r="Z7" s="339" t="s">
        <v>492</v>
      </c>
      <c r="AA7" s="351"/>
      <c r="AB7" s="343" t="s">
        <v>494</v>
      </c>
      <c r="AC7" s="1253" t="s">
        <v>495</v>
      </c>
      <c r="AD7" s="351" t="s">
        <v>492</v>
      </c>
      <c r="AE7" s="351"/>
      <c r="AF7" s="353" t="s">
        <v>494</v>
      </c>
      <c r="AG7" s="339" t="s">
        <v>492</v>
      </c>
      <c r="AH7" s="351"/>
      <c r="AI7" s="352" t="s">
        <v>494</v>
      </c>
      <c r="AJ7" s="1255" t="s">
        <v>496</v>
      </c>
    </row>
    <row r="8" spans="1:36" s="349" customFormat="1" ht="17.25" customHeight="1" thickBot="1">
      <c r="A8" s="354"/>
      <c r="B8" s="355" t="s">
        <v>497</v>
      </c>
      <c r="C8" s="356" t="s">
        <v>498</v>
      </c>
      <c r="D8" s="356" t="s">
        <v>498</v>
      </c>
      <c r="E8" s="356"/>
      <c r="F8" s="357" t="s">
        <v>499</v>
      </c>
      <c r="G8" s="355" t="s">
        <v>497</v>
      </c>
      <c r="H8" s="356" t="s">
        <v>498</v>
      </c>
      <c r="I8" s="356" t="s">
        <v>498</v>
      </c>
      <c r="J8" s="356" t="s">
        <v>500</v>
      </c>
      <c r="K8" s="357" t="s">
        <v>499</v>
      </c>
      <c r="L8" s="355" t="s">
        <v>498</v>
      </c>
      <c r="M8" s="358" t="s">
        <v>498</v>
      </c>
      <c r="N8" s="359" t="s">
        <v>500</v>
      </c>
      <c r="O8" s="355" t="s">
        <v>498</v>
      </c>
      <c r="P8" s="358" t="s">
        <v>498</v>
      </c>
      <c r="Q8" s="359" t="s">
        <v>500</v>
      </c>
      <c r="R8" s="355" t="s">
        <v>497</v>
      </c>
      <c r="S8" s="356" t="s">
        <v>498</v>
      </c>
      <c r="T8" s="356" t="s">
        <v>498</v>
      </c>
      <c r="U8" s="356" t="s">
        <v>501</v>
      </c>
      <c r="V8" s="357" t="s">
        <v>499</v>
      </c>
      <c r="W8" s="355" t="s">
        <v>498</v>
      </c>
      <c r="X8" s="358" t="s">
        <v>498</v>
      </c>
      <c r="Y8" s="357" t="s">
        <v>501</v>
      </c>
      <c r="Z8" s="355" t="s">
        <v>498</v>
      </c>
      <c r="AA8" s="358" t="s">
        <v>498</v>
      </c>
      <c r="AB8" s="357" t="s">
        <v>501</v>
      </c>
      <c r="AC8" s="1254" t="s">
        <v>498</v>
      </c>
      <c r="AD8" s="358" t="s">
        <v>498</v>
      </c>
      <c r="AE8" s="358" t="s">
        <v>498</v>
      </c>
      <c r="AF8" s="360" t="s">
        <v>501</v>
      </c>
      <c r="AG8" s="355" t="s">
        <v>498</v>
      </c>
      <c r="AH8" s="358" t="s">
        <v>498</v>
      </c>
      <c r="AI8" s="359" t="s">
        <v>501</v>
      </c>
      <c r="AJ8" s="1256">
        <v>2012</v>
      </c>
    </row>
    <row r="9" spans="1:36" ht="17.25" customHeight="1" thickBot="1">
      <c r="A9" s="361" t="s">
        <v>489</v>
      </c>
      <c r="B9" s="362">
        <v>1</v>
      </c>
      <c r="C9" s="363">
        <v>2</v>
      </c>
      <c r="D9" s="363">
        <v>3</v>
      </c>
      <c r="E9" s="363">
        <v>4</v>
      </c>
      <c r="F9" s="363">
        <v>5</v>
      </c>
      <c r="G9" s="362">
        <v>6</v>
      </c>
      <c r="H9" s="363">
        <v>7</v>
      </c>
      <c r="I9" s="363">
        <v>8</v>
      </c>
      <c r="J9" s="363">
        <v>9</v>
      </c>
      <c r="K9" s="364">
        <v>10</v>
      </c>
      <c r="L9" s="362">
        <v>11</v>
      </c>
      <c r="M9" s="363">
        <v>12</v>
      </c>
      <c r="N9" s="364">
        <v>13</v>
      </c>
      <c r="O9" s="362">
        <v>14</v>
      </c>
      <c r="P9" s="363">
        <v>15</v>
      </c>
      <c r="Q9" s="364">
        <v>16</v>
      </c>
      <c r="R9" s="362">
        <v>17</v>
      </c>
      <c r="S9" s="363">
        <v>18</v>
      </c>
      <c r="T9" s="363">
        <v>19</v>
      </c>
      <c r="U9" s="363">
        <v>20</v>
      </c>
      <c r="V9" s="364">
        <v>21</v>
      </c>
      <c r="W9" s="362">
        <v>22</v>
      </c>
      <c r="X9" s="363">
        <v>23</v>
      </c>
      <c r="Y9" s="364">
        <v>24</v>
      </c>
      <c r="Z9" s="362">
        <v>25</v>
      </c>
      <c r="AA9" s="363">
        <v>26</v>
      </c>
      <c r="AB9" s="364">
        <v>27</v>
      </c>
      <c r="AC9" s="365">
        <v>28</v>
      </c>
      <c r="AD9" s="362">
        <v>29</v>
      </c>
      <c r="AE9" s="366">
        <v>30</v>
      </c>
      <c r="AF9" s="367">
        <v>31</v>
      </c>
      <c r="AG9" s="362">
        <v>32</v>
      </c>
      <c r="AH9" s="366">
        <v>33</v>
      </c>
      <c r="AI9" s="368">
        <v>34</v>
      </c>
      <c r="AJ9" s="369">
        <v>35</v>
      </c>
    </row>
    <row r="10" spans="1:36" s="370" customFormat="1" ht="17.25" customHeight="1">
      <c r="A10" s="1088" t="s">
        <v>502</v>
      </c>
      <c r="B10" s="1089"/>
      <c r="C10" s="1090"/>
      <c r="D10" s="1090"/>
      <c r="E10" s="1091"/>
      <c r="F10" s="1092"/>
      <c r="G10" s="1089"/>
      <c r="H10" s="1090"/>
      <c r="I10" s="1090"/>
      <c r="J10" s="1091"/>
      <c r="K10" s="1092"/>
      <c r="L10" s="1093"/>
      <c r="M10" s="1094"/>
      <c r="N10" s="1092"/>
      <c r="O10" s="1089"/>
      <c r="P10" s="1090"/>
      <c r="Q10" s="1092"/>
      <c r="R10" s="1093"/>
      <c r="S10" s="1094"/>
      <c r="T10" s="1094"/>
      <c r="U10" s="1091"/>
      <c r="V10" s="1092"/>
      <c r="W10" s="1093"/>
      <c r="X10" s="1094"/>
      <c r="Y10" s="1092"/>
      <c r="Z10" s="1094"/>
      <c r="AA10" s="1095"/>
      <c r="AB10" s="1096"/>
      <c r="AC10" s="1097"/>
      <c r="AD10" s="1093"/>
      <c r="AE10" s="1094"/>
      <c r="AF10" s="1092"/>
      <c r="AG10" s="1098"/>
      <c r="AH10" s="1099"/>
      <c r="AI10" s="1100"/>
      <c r="AJ10" s="1101"/>
    </row>
    <row r="11" spans="1:36" s="370" customFormat="1" ht="17.25" customHeight="1">
      <c r="A11" s="1102" t="s">
        <v>503</v>
      </c>
      <c r="B11" s="1103">
        <f>IF(C11+D11=B16+B47,B47+B16,"chyba")</f>
        <v>22389548</v>
      </c>
      <c r="C11" s="1104">
        <f>C16+C47</f>
        <v>342432</v>
      </c>
      <c r="D11" s="1104">
        <f>D16+D47</f>
        <v>22047116</v>
      </c>
      <c r="E11" s="1105">
        <f>E16+E47</f>
        <v>66631</v>
      </c>
      <c r="F11" s="1106">
        <f>IF(E11=0,0,ROUND(D11/E11/12*1000,0))</f>
        <v>27574</v>
      </c>
      <c r="G11" s="1103">
        <f>IF(H11+I11=G16+G47,G47+G16,"chyba")</f>
        <v>22436490</v>
      </c>
      <c r="H11" s="1104">
        <f>H16+H47</f>
        <v>379561</v>
      </c>
      <c r="I11" s="1104">
        <f>I16+I47</f>
        <v>22056929</v>
      </c>
      <c r="J11" s="1105">
        <f>J16+J47</f>
        <v>66636</v>
      </c>
      <c r="K11" s="1106">
        <f>IF(J11=0,0,ROUND(I11/J11/12*1000,0))</f>
        <v>27584</v>
      </c>
      <c r="L11" s="1103">
        <f aca="true" t="shared" si="0" ref="L11:Q11">L16+L47</f>
        <v>43986.248</v>
      </c>
      <c r="M11" s="1107">
        <f t="shared" si="0"/>
        <v>229403.624</v>
      </c>
      <c r="N11" s="1108">
        <f t="shared" si="0"/>
        <v>21</v>
      </c>
      <c r="O11" s="1103">
        <f t="shared" si="0"/>
        <v>21101</v>
      </c>
      <c r="P11" s="1107">
        <f t="shared" si="0"/>
        <v>70848</v>
      </c>
      <c r="Q11" s="1108">
        <f t="shared" si="0"/>
        <v>0</v>
      </c>
      <c r="R11" s="1103">
        <f>IF(S11+T11=R16+R47,R47+R16,"chyba")</f>
        <v>22539153.925</v>
      </c>
      <c r="S11" s="1104">
        <f>S16+S47</f>
        <v>350023.609</v>
      </c>
      <c r="T11" s="1104">
        <f>T16+T47</f>
        <v>22189130.316</v>
      </c>
      <c r="U11" s="1105">
        <f>U16+U47</f>
        <v>62978</v>
      </c>
      <c r="V11" s="1106">
        <f>IF(U11=0,0,ROUND(T11/U11/12*1000,0))</f>
        <v>29361</v>
      </c>
      <c r="W11" s="1103">
        <f aca="true" t="shared" si="1" ref="W11:AJ11">W16+W47</f>
        <v>17017.421</v>
      </c>
      <c r="X11" s="1107">
        <f t="shared" si="1"/>
        <v>197303.533</v>
      </c>
      <c r="Y11" s="1108">
        <f t="shared" si="1"/>
        <v>21</v>
      </c>
      <c r="Z11" s="1103">
        <f t="shared" si="1"/>
        <v>2515.046</v>
      </c>
      <c r="AA11" s="1107">
        <f t="shared" si="1"/>
        <v>13943.504</v>
      </c>
      <c r="AB11" s="1108">
        <f t="shared" si="1"/>
        <v>0</v>
      </c>
      <c r="AC11" s="1109">
        <f t="shared" si="1"/>
        <v>0</v>
      </c>
      <c r="AD11" s="1103">
        <f t="shared" si="1"/>
        <v>335.575</v>
      </c>
      <c r="AE11" s="1107">
        <f t="shared" si="1"/>
        <v>2927.866</v>
      </c>
      <c r="AF11" s="1108">
        <f t="shared" si="1"/>
        <v>0</v>
      </c>
      <c r="AG11" s="1103">
        <f t="shared" si="1"/>
        <v>0</v>
      </c>
      <c r="AH11" s="1107">
        <f t="shared" si="1"/>
        <v>0</v>
      </c>
      <c r="AI11" s="1108">
        <f t="shared" si="1"/>
        <v>0</v>
      </c>
      <c r="AJ11" s="1110">
        <f t="shared" si="1"/>
        <v>0</v>
      </c>
    </row>
    <row r="12" spans="1:36" s="370" customFormat="1" ht="17.25" customHeight="1">
      <c r="A12" s="1111" t="s">
        <v>504</v>
      </c>
      <c r="B12" s="1112"/>
      <c r="C12" s="1113"/>
      <c r="D12" s="1113"/>
      <c r="E12" s="1114"/>
      <c r="F12" s="1115"/>
      <c r="G12" s="1112"/>
      <c r="H12" s="1113"/>
      <c r="I12" s="1113"/>
      <c r="J12" s="1114"/>
      <c r="K12" s="1115"/>
      <c r="L12" s="1112"/>
      <c r="M12" s="1116"/>
      <c r="N12" s="1117"/>
      <c r="O12" s="1112"/>
      <c r="P12" s="1116"/>
      <c r="Q12" s="1117"/>
      <c r="R12" s="1112"/>
      <c r="S12" s="1113"/>
      <c r="T12" s="1113"/>
      <c r="U12" s="1114"/>
      <c r="V12" s="1115"/>
      <c r="W12" s="1112"/>
      <c r="X12" s="1116"/>
      <c r="Y12" s="1117"/>
      <c r="Z12" s="1112"/>
      <c r="AA12" s="1116"/>
      <c r="AB12" s="1117"/>
      <c r="AC12" s="1118"/>
      <c r="AD12" s="1112"/>
      <c r="AE12" s="1116"/>
      <c r="AF12" s="1117"/>
      <c r="AG12" s="1112"/>
      <c r="AH12" s="1116"/>
      <c r="AI12" s="1117"/>
      <c r="AJ12" s="1119"/>
    </row>
    <row r="13" spans="1:36" s="371" customFormat="1" ht="17.25" customHeight="1">
      <c r="A13" s="1111" t="s">
        <v>505</v>
      </c>
      <c r="B13" s="1120">
        <f>C13+D13</f>
        <v>0</v>
      </c>
      <c r="C13" s="1121"/>
      <c r="D13" s="1121"/>
      <c r="E13" s="1122"/>
      <c r="F13" s="1123">
        <f>IF(E13=0,0,ROUND(D13/E13/12*1000,0))</f>
        <v>0</v>
      </c>
      <c r="G13" s="1120">
        <f>H13+I13</f>
        <v>7756</v>
      </c>
      <c r="H13" s="1121">
        <f>1849+2624+810</f>
        <v>5283</v>
      </c>
      <c r="I13" s="1121">
        <f>1661+812</f>
        <v>2473</v>
      </c>
      <c r="J13" s="1122">
        <v>0</v>
      </c>
      <c r="K13" s="1123">
        <f>IF(J13=0,0,ROUND(I13/J13/12*1000,0))</f>
        <v>0</v>
      </c>
      <c r="L13" s="1124">
        <f>2491.515+19.1</f>
        <v>2510.615</v>
      </c>
      <c r="M13" s="1125">
        <f>335</f>
        <v>335</v>
      </c>
      <c r="N13" s="1126"/>
      <c r="O13" s="1124">
        <v>0</v>
      </c>
      <c r="P13" s="1125">
        <v>0</v>
      </c>
      <c r="Q13" s="1126"/>
      <c r="R13" s="1120">
        <f>S13+T13</f>
        <v>8542.884</v>
      </c>
      <c r="S13" s="1121">
        <v>6494.072</v>
      </c>
      <c r="T13" s="1121">
        <f>335+1713.812</f>
        <v>2048.812</v>
      </c>
      <c r="U13" s="1122">
        <v>0</v>
      </c>
      <c r="V13" s="1123">
        <f>IF(U13=0,0,ROUND(T13/U13/12*1000,0))</f>
        <v>0</v>
      </c>
      <c r="W13" s="1124">
        <f>1726.5+131.36+19.1</f>
        <v>1876.96</v>
      </c>
      <c r="X13" s="1125">
        <f>335</f>
        <v>335</v>
      </c>
      <c r="Y13" s="1126">
        <v>0</v>
      </c>
      <c r="Z13" s="1124">
        <v>0</v>
      </c>
      <c r="AA13" s="1125">
        <v>0</v>
      </c>
      <c r="AB13" s="1126">
        <v>0</v>
      </c>
      <c r="AC13" s="1127"/>
      <c r="AD13" s="1124">
        <v>0</v>
      </c>
      <c r="AE13" s="1125">
        <v>0</v>
      </c>
      <c r="AF13" s="1126">
        <v>0</v>
      </c>
      <c r="AG13" s="1124"/>
      <c r="AH13" s="1125"/>
      <c r="AI13" s="1126"/>
      <c r="AJ13" s="1128"/>
    </row>
    <row r="14" spans="1:36" s="370" customFormat="1" ht="17.25" customHeight="1" thickBot="1">
      <c r="A14" s="1129" t="s">
        <v>506</v>
      </c>
      <c r="B14" s="1130"/>
      <c r="C14" s="1131"/>
      <c r="D14" s="1131">
        <f>D19+D49</f>
        <v>18088519</v>
      </c>
      <c r="E14" s="1132">
        <f>E19+E49</f>
        <v>50452</v>
      </c>
      <c r="F14" s="1133">
        <f>IF(E14=0,0,ROUND(D14/E14/12*1000,0))</f>
        <v>29877</v>
      </c>
      <c r="G14" s="1130"/>
      <c r="H14" s="1131"/>
      <c r="I14" s="1131">
        <f>I19+I49</f>
        <v>17985700</v>
      </c>
      <c r="J14" s="1132">
        <f>J19+J49</f>
        <v>50108</v>
      </c>
      <c r="K14" s="1133">
        <f>IF(J14=0,0,ROUND(I14/J14/12*1000,0))</f>
        <v>29912</v>
      </c>
      <c r="L14" s="1130"/>
      <c r="M14" s="1134">
        <f>M19+M49</f>
        <v>140197.222</v>
      </c>
      <c r="N14" s="1135">
        <f>N19+N49</f>
        <v>0</v>
      </c>
      <c r="O14" s="1130"/>
      <c r="P14" s="1134">
        <f>P19+P49</f>
        <v>6051</v>
      </c>
      <c r="Q14" s="1135">
        <f>Q19+Q49</f>
        <v>0</v>
      </c>
      <c r="R14" s="1130"/>
      <c r="S14" s="1131"/>
      <c r="T14" s="1134">
        <f>T19+T49</f>
        <v>18112350.472</v>
      </c>
      <c r="U14" s="1135">
        <f>U19+U49</f>
        <v>47929</v>
      </c>
      <c r="V14" s="1133">
        <f>IF(U14=0,0,ROUND(T14/U14/12*1000,0))</f>
        <v>31492</v>
      </c>
      <c r="W14" s="1130"/>
      <c r="X14" s="1134">
        <f>X19+X49</f>
        <v>126253.718</v>
      </c>
      <c r="Y14" s="1135">
        <f>Y19+Y49</f>
        <v>0</v>
      </c>
      <c r="Z14" s="1130"/>
      <c r="AA14" s="1134">
        <f>AA19+AA49</f>
        <v>13943.504</v>
      </c>
      <c r="AB14" s="1135">
        <f>AB19+AB49</f>
        <v>0</v>
      </c>
      <c r="AC14" s="1136"/>
      <c r="AD14" s="1130"/>
      <c r="AE14" s="1134"/>
      <c r="AF14" s="1135">
        <f>AF19+AF49</f>
        <v>0</v>
      </c>
      <c r="AG14" s="1130"/>
      <c r="AH14" s="1134">
        <f>AH19+AH49</f>
        <v>0</v>
      </c>
      <c r="AI14" s="1135">
        <f>AI19+AI49</f>
        <v>0</v>
      </c>
      <c r="AJ14" s="1137"/>
    </row>
    <row r="15" spans="1:36" s="370" customFormat="1" ht="17.25" customHeight="1">
      <c r="A15" s="1138" t="s">
        <v>507</v>
      </c>
      <c r="B15" s="1139"/>
      <c r="C15" s="1140"/>
      <c r="D15" s="1140"/>
      <c r="E15" s="1141"/>
      <c r="F15" s="1142"/>
      <c r="G15" s="1139"/>
      <c r="H15" s="1140"/>
      <c r="I15" s="1140"/>
      <c r="J15" s="1141"/>
      <c r="K15" s="1142"/>
      <c r="L15" s="1139"/>
      <c r="M15" s="1143"/>
      <c r="N15" s="1144"/>
      <c r="O15" s="1139"/>
      <c r="P15" s="1143"/>
      <c r="Q15" s="1144"/>
      <c r="R15" s="1139"/>
      <c r="S15" s="1140"/>
      <c r="T15" s="1140"/>
      <c r="U15" s="1141"/>
      <c r="V15" s="1142"/>
      <c r="W15" s="1139"/>
      <c r="X15" s="1143"/>
      <c r="Y15" s="1144"/>
      <c r="Z15" s="1139"/>
      <c r="AA15" s="1143"/>
      <c r="AB15" s="1144"/>
      <c r="AC15" s="1145"/>
      <c r="AD15" s="1139"/>
      <c r="AE15" s="1143"/>
      <c r="AF15" s="1144"/>
      <c r="AG15" s="1139"/>
      <c r="AH15" s="1143"/>
      <c r="AI15" s="1144"/>
      <c r="AJ15" s="1146"/>
    </row>
    <row r="16" spans="1:36" s="370" customFormat="1" ht="17.25" customHeight="1">
      <c r="A16" s="1147" t="s">
        <v>508</v>
      </c>
      <c r="B16" s="1103">
        <f>C16+D16</f>
        <v>21655968</v>
      </c>
      <c r="C16" s="1104">
        <f>C21+C32+C43</f>
        <v>322558</v>
      </c>
      <c r="D16" s="1104">
        <f>D21+D32+D43</f>
        <v>21333410</v>
      </c>
      <c r="E16" s="1105">
        <f>E21+E32+E43</f>
        <v>64136</v>
      </c>
      <c r="F16" s="1106">
        <f>IF(E16=0,0,ROUND(D16/E16/12*1000,0))</f>
        <v>27719</v>
      </c>
      <c r="G16" s="1103">
        <f>H16+I16</f>
        <v>21627526</v>
      </c>
      <c r="H16" s="1104">
        <f>H21+H32+H43</f>
        <v>338771</v>
      </c>
      <c r="I16" s="1104">
        <f>I21+I32+I43</f>
        <v>21288755</v>
      </c>
      <c r="J16" s="1105">
        <f>J21+J32+J43</f>
        <v>63946</v>
      </c>
      <c r="K16" s="1106">
        <f>IF(J16=0,0,ROUND(I16/J16/12*1000,0))</f>
        <v>27743</v>
      </c>
      <c r="L16" s="1103">
        <f aca="true" t="shared" si="2" ref="L16:Q16">L21+L32+L43</f>
        <v>40675.92</v>
      </c>
      <c r="M16" s="1107">
        <f t="shared" si="2"/>
        <v>228003.624</v>
      </c>
      <c r="N16" s="1108">
        <f t="shared" si="2"/>
        <v>21</v>
      </c>
      <c r="O16" s="1103">
        <f t="shared" si="2"/>
        <v>20040</v>
      </c>
      <c r="P16" s="1107">
        <f t="shared" si="2"/>
        <v>60830</v>
      </c>
      <c r="Q16" s="1108">
        <f t="shared" si="2"/>
        <v>0</v>
      </c>
      <c r="R16" s="1103">
        <f>S16+T16</f>
        <v>21742696.236</v>
      </c>
      <c r="S16" s="1104">
        <f>S21+S32+S43</f>
        <v>312474.739</v>
      </c>
      <c r="T16" s="1104">
        <f>T21+T32+T43</f>
        <v>21430221.497</v>
      </c>
      <c r="U16" s="1105">
        <f>U21+U32+U43</f>
        <v>60738</v>
      </c>
      <c r="V16" s="1106">
        <f>IF(U16=0,0,ROUND(T16/U16/12*1000,0))</f>
        <v>29403</v>
      </c>
      <c r="W16" s="1103">
        <f aca="true" t="shared" si="3" ref="W16:AJ16">W21+W32+W43</f>
        <v>13746.253</v>
      </c>
      <c r="X16" s="1107">
        <f t="shared" si="3"/>
        <v>195903.533</v>
      </c>
      <c r="Y16" s="1108">
        <f t="shared" si="3"/>
        <v>21</v>
      </c>
      <c r="Z16" s="1103">
        <f t="shared" si="3"/>
        <v>2515.046</v>
      </c>
      <c r="AA16" s="1107">
        <f t="shared" si="3"/>
        <v>13943.504</v>
      </c>
      <c r="AB16" s="1108">
        <f t="shared" si="3"/>
        <v>0</v>
      </c>
      <c r="AC16" s="1109">
        <f t="shared" si="3"/>
        <v>0</v>
      </c>
      <c r="AD16" s="1103">
        <f t="shared" si="3"/>
        <v>335.575</v>
      </c>
      <c r="AE16" s="1107">
        <f t="shared" si="3"/>
        <v>2927.866</v>
      </c>
      <c r="AF16" s="1108">
        <f t="shared" si="3"/>
        <v>0</v>
      </c>
      <c r="AG16" s="1103">
        <f t="shared" si="3"/>
        <v>0</v>
      </c>
      <c r="AH16" s="1107">
        <f t="shared" si="3"/>
        <v>0</v>
      </c>
      <c r="AI16" s="1108">
        <f t="shared" si="3"/>
        <v>0</v>
      </c>
      <c r="AJ16" s="1110">
        <f t="shared" si="3"/>
        <v>0</v>
      </c>
    </row>
    <row r="17" spans="1:36" s="370" customFormat="1" ht="17.25" customHeight="1">
      <c r="A17" s="1111" t="s">
        <v>504</v>
      </c>
      <c r="B17" s="1112"/>
      <c r="C17" s="1113"/>
      <c r="D17" s="1113"/>
      <c r="E17" s="1114"/>
      <c r="F17" s="1115"/>
      <c r="G17" s="1112"/>
      <c r="H17" s="1113"/>
      <c r="I17" s="1113"/>
      <c r="J17" s="1114"/>
      <c r="K17" s="1115"/>
      <c r="L17" s="1112"/>
      <c r="M17" s="1116"/>
      <c r="N17" s="1117"/>
      <c r="O17" s="1112"/>
      <c r="P17" s="1116"/>
      <c r="Q17" s="1117"/>
      <c r="R17" s="1112"/>
      <c r="S17" s="1113"/>
      <c r="T17" s="1113"/>
      <c r="U17" s="1114"/>
      <c r="V17" s="1115"/>
      <c r="W17" s="1112"/>
      <c r="X17" s="1116"/>
      <c r="Y17" s="1117"/>
      <c r="Z17" s="1112"/>
      <c r="AA17" s="1116"/>
      <c r="AB17" s="1117"/>
      <c r="AC17" s="1118"/>
      <c r="AD17" s="1112"/>
      <c r="AE17" s="1116"/>
      <c r="AF17" s="1117"/>
      <c r="AG17" s="1112"/>
      <c r="AH17" s="1116"/>
      <c r="AI17" s="1117"/>
      <c r="AJ17" s="1119"/>
    </row>
    <row r="18" spans="1:36" s="371" customFormat="1" ht="17.25" customHeight="1">
      <c r="A18" s="1111" t="s">
        <v>505</v>
      </c>
      <c r="B18" s="1120">
        <f>C18+D18</f>
        <v>0</v>
      </c>
      <c r="C18" s="1121"/>
      <c r="D18" s="1121"/>
      <c r="E18" s="1122"/>
      <c r="F18" s="1123">
        <f>IF(E18=0,0,ROUND(D18/E18/12*1000,0))</f>
        <v>0</v>
      </c>
      <c r="G18" s="1120">
        <f>H18+I18</f>
        <v>6946</v>
      </c>
      <c r="H18" s="1121">
        <f>1849+2624</f>
        <v>4473</v>
      </c>
      <c r="I18" s="1121">
        <f>1661+812</f>
        <v>2473</v>
      </c>
      <c r="J18" s="1122">
        <v>0</v>
      </c>
      <c r="K18" s="1123">
        <f>IF(J18=0,0,ROUND(I18/J18/12*1000,0))</f>
        <v>0</v>
      </c>
      <c r="L18" s="1124">
        <v>2491.515</v>
      </c>
      <c r="M18" s="1125">
        <v>335</v>
      </c>
      <c r="N18" s="1126"/>
      <c r="O18" s="1124">
        <v>0</v>
      </c>
      <c r="P18" s="1125">
        <v>0</v>
      </c>
      <c r="Q18" s="1126"/>
      <c r="R18" s="1120">
        <f>S18+T18</f>
        <v>8004.834</v>
      </c>
      <c r="S18" s="1121">
        <f>5956.022</f>
        <v>5956.022</v>
      </c>
      <c r="T18" s="1121">
        <f>335+1713.812</f>
        <v>2048.812</v>
      </c>
      <c r="U18" s="1122">
        <v>0</v>
      </c>
      <c r="V18" s="1123">
        <f>IF(U18=0,0,ROUND(T18/U18/12*1000,0))</f>
        <v>0</v>
      </c>
      <c r="W18" s="1124">
        <v>1857.86</v>
      </c>
      <c r="X18" s="1125">
        <f>335</f>
        <v>335</v>
      </c>
      <c r="Y18" s="1126">
        <v>0</v>
      </c>
      <c r="Z18" s="1124">
        <v>0</v>
      </c>
      <c r="AA18" s="1125">
        <v>0</v>
      </c>
      <c r="AB18" s="1126">
        <v>0</v>
      </c>
      <c r="AC18" s="1127"/>
      <c r="AD18" s="1124">
        <v>0</v>
      </c>
      <c r="AE18" s="1125">
        <v>0</v>
      </c>
      <c r="AF18" s="1126">
        <v>0</v>
      </c>
      <c r="AG18" s="1124"/>
      <c r="AH18" s="1125"/>
      <c r="AI18" s="1126"/>
      <c r="AJ18" s="1128"/>
    </row>
    <row r="19" spans="1:36" s="370" customFormat="1" ht="17.25" customHeight="1" thickBot="1">
      <c r="A19" s="1129" t="s">
        <v>506</v>
      </c>
      <c r="B19" s="1130"/>
      <c r="C19" s="1131"/>
      <c r="D19" s="1131">
        <f>D23+D45</f>
        <v>17919140</v>
      </c>
      <c r="E19" s="1132">
        <f>E23+E45</f>
        <v>50034</v>
      </c>
      <c r="F19" s="1133">
        <f>IF(E19=0,0,ROUND(D19/E19/12*1000,0))</f>
        <v>29845</v>
      </c>
      <c r="G19" s="1130"/>
      <c r="H19" s="1131"/>
      <c r="I19" s="1131">
        <f>I23+I45</f>
        <v>17821215</v>
      </c>
      <c r="J19" s="1132">
        <f>J23+J45</f>
        <v>49693</v>
      </c>
      <c r="K19" s="1133">
        <f>IF(J19=0,0,ROUND(I19/J19/12*1000,0))</f>
        <v>29886</v>
      </c>
      <c r="L19" s="1130"/>
      <c r="M19" s="1134">
        <f>M23+M45</f>
        <v>140197.222</v>
      </c>
      <c r="N19" s="1135">
        <f>N23+N45</f>
        <v>0</v>
      </c>
      <c r="O19" s="1130"/>
      <c r="P19" s="1134">
        <f>P23+P45</f>
        <v>0</v>
      </c>
      <c r="Q19" s="1135">
        <f>Q23+Q45</f>
        <v>0</v>
      </c>
      <c r="R19" s="1130"/>
      <c r="S19" s="1131"/>
      <c r="T19" s="1134">
        <f>T23+T45</f>
        <v>17954154.201</v>
      </c>
      <c r="U19" s="1135">
        <f>U23+U45</f>
        <v>47588</v>
      </c>
      <c r="V19" s="1133">
        <f>IF(U19=0,0,ROUND(T19/U19/12*1000,0))</f>
        <v>31440</v>
      </c>
      <c r="W19" s="1130"/>
      <c r="X19" s="1134">
        <f>X23+X45</f>
        <v>126253.718</v>
      </c>
      <c r="Y19" s="1135">
        <f>Y23+Y45</f>
        <v>0</v>
      </c>
      <c r="Z19" s="1130"/>
      <c r="AA19" s="1134">
        <f>AA23+AA45</f>
        <v>13943.504</v>
      </c>
      <c r="AB19" s="1135">
        <f>AB23+AB45</f>
        <v>0</v>
      </c>
      <c r="AC19" s="1136"/>
      <c r="AD19" s="1130"/>
      <c r="AE19" s="1134">
        <f>AE23+AE45</f>
        <v>0</v>
      </c>
      <c r="AF19" s="1135">
        <f>AF23+AF45</f>
        <v>0</v>
      </c>
      <c r="AG19" s="1130"/>
      <c r="AH19" s="1134">
        <f>AH23+AH45</f>
        <v>0</v>
      </c>
      <c r="AI19" s="1135">
        <f>AI23+AI45</f>
        <v>0</v>
      </c>
      <c r="AJ19" s="1137"/>
    </row>
    <row r="20" spans="1:36" s="370" customFormat="1" ht="17.25" customHeight="1" thickBot="1">
      <c r="A20" s="1148" t="s">
        <v>509</v>
      </c>
      <c r="B20" s="1139"/>
      <c r="C20" s="1140"/>
      <c r="D20" s="1140"/>
      <c r="E20" s="1141"/>
      <c r="F20" s="1142"/>
      <c r="G20" s="1139"/>
      <c r="H20" s="1140"/>
      <c r="I20" s="1140"/>
      <c r="J20" s="1141"/>
      <c r="K20" s="1142"/>
      <c r="L20" s="1139"/>
      <c r="M20" s="1143"/>
      <c r="N20" s="1144"/>
      <c r="O20" s="1139"/>
      <c r="P20" s="1143"/>
      <c r="Q20" s="1144"/>
      <c r="R20" s="1139"/>
      <c r="S20" s="1140"/>
      <c r="T20" s="1140"/>
      <c r="U20" s="1141"/>
      <c r="V20" s="1142"/>
      <c r="W20" s="1139"/>
      <c r="X20" s="1143"/>
      <c r="Y20" s="1144"/>
      <c r="Z20" s="1139"/>
      <c r="AA20" s="1143"/>
      <c r="AB20" s="1144"/>
      <c r="AC20" s="1145"/>
      <c r="AD20" s="1139"/>
      <c r="AE20" s="1143"/>
      <c r="AF20" s="1144"/>
      <c r="AG20" s="1139"/>
      <c r="AH20" s="1143"/>
      <c r="AI20" s="1144"/>
      <c r="AJ20" s="1146"/>
    </row>
    <row r="21" spans="1:36" s="370" customFormat="1" ht="17.25" customHeight="1" thickBot="1">
      <c r="A21" s="1149" t="s">
        <v>510</v>
      </c>
      <c r="B21" s="1150">
        <f>C21+D21</f>
        <v>3846469</v>
      </c>
      <c r="C21" s="1151">
        <f>'[5]314MV'!DF13</f>
        <v>161961</v>
      </c>
      <c r="D21" s="1151">
        <f>'[5]314MV'!DG13</f>
        <v>3684508</v>
      </c>
      <c r="E21" s="1152">
        <f>'[5]314MV'!DH13</f>
        <v>10014</v>
      </c>
      <c r="F21" s="1153">
        <f>IF(E21=0,0,ROUND(D21/E21/12*1000,0))</f>
        <v>30661</v>
      </c>
      <c r="G21" s="1150">
        <f>H21+I21</f>
        <v>3603947</v>
      </c>
      <c r="H21" s="1151">
        <f>'[6]SUMSchv.o.'!AC20</f>
        <v>157696</v>
      </c>
      <c r="I21" s="1151">
        <f>'[6]SUMSchv.o.'!AD20</f>
        <v>3446251</v>
      </c>
      <c r="J21" s="1152">
        <f>'[6]SUMSchv.o.'!$AF$20</f>
        <v>9551</v>
      </c>
      <c r="K21" s="1153">
        <f>IF(J21=0,0,ROUND(I21/J21/12*1000,0))</f>
        <v>30069</v>
      </c>
      <c r="L21" s="1154">
        <v>33302.93958</v>
      </c>
      <c r="M21" s="1155">
        <f>84302.124+3102.277</f>
        <v>87404.401</v>
      </c>
      <c r="N21" s="1156">
        <v>21</v>
      </c>
      <c r="O21" s="1154">
        <v>18000</v>
      </c>
      <c r="P21" s="1157">
        <v>46062</v>
      </c>
      <c r="Q21" s="1156"/>
      <c r="R21" s="1150">
        <f>S21+T21</f>
        <v>3595488.461</v>
      </c>
      <c r="S21" s="1151">
        <v>132625.383</v>
      </c>
      <c r="T21" s="1151">
        <v>3462863.07842</v>
      </c>
      <c r="U21" s="1152">
        <v>8824</v>
      </c>
      <c r="V21" s="1153">
        <f>IF(U21=0,0,ROUND(T21/U21/12*1000,0))</f>
        <v>32703</v>
      </c>
      <c r="W21" s="1154">
        <v>13132.353</v>
      </c>
      <c r="X21" s="1157">
        <f>3551.2+66493.034</f>
        <v>70044.234</v>
      </c>
      <c r="Y21" s="1156">
        <v>21</v>
      </c>
      <c r="Z21" s="1154">
        <v>0</v>
      </c>
      <c r="AA21" s="1157">
        <v>0</v>
      </c>
      <c r="AB21" s="1156">
        <v>0</v>
      </c>
      <c r="AC21" s="1158"/>
      <c r="AD21" s="1154">
        <v>0</v>
      </c>
      <c r="AE21" s="1157">
        <v>2927.866</v>
      </c>
      <c r="AF21" s="1156">
        <v>0</v>
      </c>
      <c r="AG21" s="1154"/>
      <c r="AH21" s="1157"/>
      <c r="AI21" s="1156"/>
      <c r="AJ21" s="1159"/>
    </row>
    <row r="22" spans="1:36" s="370" customFormat="1" ht="17.25" customHeight="1">
      <c r="A22" s="1111" t="s">
        <v>504</v>
      </c>
      <c r="B22" s="1112"/>
      <c r="C22" s="1113"/>
      <c r="D22" s="1113"/>
      <c r="E22" s="1114"/>
      <c r="F22" s="1115"/>
      <c r="G22" s="1112"/>
      <c r="H22" s="1113"/>
      <c r="I22" s="1113"/>
      <c r="J22" s="1114"/>
      <c r="K22" s="1115"/>
      <c r="L22" s="1112"/>
      <c r="M22" s="1116"/>
      <c r="N22" s="1117"/>
      <c r="O22" s="1112"/>
      <c r="P22" s="1116"/>
      <c r="Q22" s="1117"/>
      <c r="R22" s="1112"/>
      <c r="S22" s="1113"/>
      <c r="T22" s="1113"/>
      <c r="U22" s="1114"/>
      <c r="V22" s="1115"/>
      <c r="W22" s="1112"/>
      <c r="X22" s="1116"/>
      <c r="Y22" s="1117"/>
      <c r="Z22" s="1112"/>
      <c r="AA22" s="1116"/>
      <c r="AB22" s="1117"/>
      <c r="AC22" s="1118"/>
      <c r="AD22" s="1112"/>
      <c r="AE22" s="1116"/>
      <c r="AF22" s="1117"/>
      <c r="AG22" s="1112"/>
      <c r="AH22" s="1116"/>
      <c r="AI22" s="1117"/>
      <c r="AJ22" s="1119"/>
    </row>
    <row r="23" spans="1:36" s="370" customFormat="1" ht="17.25" customHeight="1" thickBot="1">
      <c r="A23" s="1129" t="s">
        <v>506</v>
      </c>
      <c r="B23" s="1160"/>
      <c r="C23" s="1161"/>
      <c r="D23" s="1162">
        <f>'[5]314MV'!DG14</f>
        <v>2439197</v>
      </c>
      <c r="E23" s="1163">
        <f>'[5]314MV'!DH14</f>
        <v>5525</v>
      </c>
      <c r="F23" s="1164">
        <f>IF(E23=0,0,ROUND(D23/E23/12*1000,0))</f>
        <v>36790</v>
      </c>
      <c r="G23" s="1160"/>
      <c r="H23" s="1161"/>
      <c r="I23" s="1162">
        <f>'[6]SUMSchv.o.'!AI20</f>
        <v>2163960</v>
      </c>
      <c r="J23" s="1163">
        <f>'[6]SUMSchv.o.'!AJ20</f>
        <v>4924</v>
      </c>
      <c r="K23" s="1164">
        <f>IF(J23=0,0,ROUND(I23/J23/12*1000,0))</f>
        <v>36623</v>
      </c>
      <c r="L23" s="1160"/>
      <c r="M23" s="1155">
        <v>3551.2</v>
      </c>
      <c r="N23" s="1165"/>
      <c r="O23" s="1160"/>
      <c r="P23" s="1155">
        <v>0</v>
      </c>
      <c r="Q23" s="1165"/>
      <c r="R23" s="1160"/>
      <c r="S23" s="1161"/>
      <c r="T23" s="1162">
        <v>2160255.127</v>
      </c>
      <c r="U23" s="1163">
        <v>4861</v>
      </c>
      <c r="V23" s="1164">
        <f>IF(U23=0,0,ROUND(T23/U23/12*1000,0))</f>
        <v>37034</v>
      </c>
      <c r="W23" s="1160"/>
      <c r="X23" s="1155">
        <f>571.57+2979.63</f>
        <v>3551.2</v>
      </c>
      <c r="Y23" s="1165">
        <v>0</v>
      </c>
      <c r="Z23" s="1160"/>
      <c r="AA23" s="1155">
        <v>0</v>
      </c>
      <c r="AB23" s="1165">
        <v>0</v>
      </c>
      <c r="AC23" s="1166"/>
      <c r="AD23" s="1160"/>
      <c r="AE23" s="1155">
        <v>0</v>
      </c>
      <c r="AF23" s="1165">
        <v>0</v>
      </c>
      <c r="AG23" s="1160"/>
      <c r="AH23" s="1155"/>
      <c r="AI23" s="1165"/>
      <c r="AJ23" s="1167"/>
    </row>
    <row r="24" spans="1:36" s="370" customFormat="1" ht="17.25" customHeight="1">
      <c r="A24" s="1168"/>
      <c r="B24" s="1103"/>
      <c r="C24" s="1104"/>
      <c r="D24" s="1104"/>
      <c r="E24" s="1105"/>
      <c r="F24" s="1106"/>
      <c r="G24" s="1103"/>
      <c r="H24" s="1104"/>
      <c r="I24" s="1104"/>
      <c r="J24" s="1105"/>
      <c r="K24" s="1106"/>
      <c r="L24" s="1103"/>
      <c r="M24" s="1107"/>
      <c r="N24" s="1108"/>
      <c r="O24" s="1103"/>
      <c r="P24" s="1107"/>
      <c r="Q24" s="1108"/>
      <c r="R24" s="1103"/>
      <c r="S24" s="1104"/>
      <c r="T24" s="1104"/>
      <c r="U24" s="1105"/>
      <c r="V24" s="1106"/>
      <c r="W24" s="1103"/>
      <c r="X24" s="1107"/>
      <c r="Y24" s="1108"/>
      <c r="Z24" s="1103"/>
      <c r="AA24" s="1107"/>
      <c r="AB24" s="1108"/>
      <c r="AC24" s="1109"/>
      <c r="AD24" s="1103"/>
      <c r="AE24" s="1107"/>
      <c r="AF24" s="1108"/>
      <c r="AG24" s="1103"/>
      <c r="AH24" s="1107"/>
      <c r="AI24" s="1108"/>
      <c r="AJ24" s="1110"/>
    </row>
    <row r="25" spans="1:36" s="371" customFormat="1" ht="17.25" customHeight="1">
      <c r="A25" s="1169" t="s">
        <v>511</v>
      </c>
      <c r="B25" s="1120">
        <f aca="true" t="shared" si="4" ref="B25:B32">C25+D25</f>
        <v>302175</v>
      </c>
      <c r="C25" s="1121">
        <f>'[5]314MV'!DF19</f>
        <v>9448</v>
      </c>
      <c r="D25" s="1121">
        <f>'[5]314MV'!DG19</f>
        <v>292727</v>
      </c>
      <c r="E25" s="1122">
        <f>'[5]314MV'!DH19</f>
        <v>1133</v>
      </c>
      <c r="F25" s="1123">
        <f aca="true" t="shared" si="5" ref="F25:F32">IF(E25=0,0,ROUND(D25/E25/12*1000,0))</f>
        <v>21530</v>
      </c>
      <c r="G25" s="1120">
        <f aca="true" t="shared" si="6" ref="G25:G32">H25+I25</f>
        <v>312010</v>
      </c>
      <c r="H25" s="1121">
        <f>'[6]SUMSchv.o.'!AU20</f>
        <v>16086</v>
      </c>
      <c r="I25" s="1121">
        <f>'[6]SUMSchv.o.'!AV20</f>
        <v>295924</v>
      </c>
      <c r="J25" s="1122">
        <f>'[6]SUMSchv.o.'!$AX$20</f>
        <v>1144</v>
      </c>
      <c r="K25" s="1123">
        <f aca="true" t="shared" si="7" ref="K25:K32">IF(J25=0,0,ROUND(I25/J25/12*1000,0))</f>
        <v>21556</v>
      </c>
      <c r="L25" s="1124">
        <f>318.775+768.839</f>
        <v>1087.614</v>
      </c>
      <c r="M25" s="1125">
        <f>1855.552</f>
        <v>1855.552</v>
      </c>
      <c r="N25" s="1126"/>
      <c r="O25" s="1124">
        <v>400</v>
      </c>
      <c r="P25" s="1125">
        <v>1100</v>
      </c>
      <c r="Q25" s="1126"/>
      <c r="R25" s="1120">
        <f aca="true" t="shared" si="8" ref="R25:R32">S25+T25</f>
        <v>311456.566</v>
      </c>
      <c r="S25" s="1121">
        <v>15744.674</v>
      </c>
      <c r="T25" s="1121">
        <v>295711.89155</v>
      </c>
      <c r="U25" s="1122">
        <v>1104</v>
      </c>
      <c r="V25" s="1123">
        <f aca="true" t="shared" si="9" ref="V25:V32">IF(U25=0,0,ROUND(T25/U25/12*1000,0))</f>
        <v>22321</v>
      </c>
      <c r="W25" s="1124">
        <v>380.959</v>
      </c>
      <c r="X25" s="1125">
        <f>940.31927+118.81272</f>
        <v>1059.132</v>
      </c>
      <c r="Y25" s="1126">
        <v>0</v>
      </c>
      <c r="Z25" s="1124">
        <v>0</v>
      </c>
      <c r="AA25" s="1125">
        <v>0</v>
      </c>
      <c r="AB25" s="1126">
        <v>0</v>
      </c>
      <c r="AC25" s="1127"/>
      <c r="AD25" s="1124">
        <f>137.3+181.475</f>
        <v>318.775</v>
      </c>
      <c r="AE25" s="1125">
        <v>0</v>
      </c>
      <c r="AF25" s="1126">
        <v>0</v>
      </c>
      <c r="AG25" s="1124"/>
      <c r="AH25" s="1125"/>
      <c r="AI25" s="1126"/>
      <c r="AJ25" s="1128"/>
    </row>
    <row r="26" spans="1:36" s="370" customFormat="1" ht="15" hidden="1">
      <c r="A26" s="1170" t="s">
        <v>512</v>
      </c>
      <c r="B26" s="1103">
        <f t="shared" si="4"/>
        <v>0</v>
      </c>
      <c r="C26" s="1104"/>
      <c r="D26" s="1104"/>
      <c r="E26" s="1105"/>
      <c r="F26" s="1106">
        <f t="shared" si="5"/>
        <v>0</v>
      </c>
      <c r="G26" s="1103">
        <f t="shared" si="6"/>
        <v>0</v>
      </c>
      <c r="H26" s="1104"/>
      <c r="I26" s="1104"/>
      <c r="J26" s="1105"/>
      <c r="K26" s="1106">
        <f t="shared" si="7"/>
        <v>0</v>
      </c>
      <c r="L26" s="1103"/>
      <c r="M26" s="1107"/>
      <c r="N26" s="1108"/>
      <c r="O26" s="1103"/>
      <c r="P26" s="1107"/>
      <c r="Q26" s="1108"/>
      <c r="R26" s="1103">
        <f t="shared" si="8"/>
        <v>0</v>
      </c>
      <c r="S26" s="1104"/>
      <c r="T26" s="1104"/>
      <c r="U26" s="1105"/>
      <c r="V26" s="1106">
        <f t="shared" si="9"/>
        <v>0</v>
      </c>
      <c r="W26" s="1103"/>
      <c r="X26" s="1107"/>
      <c r="Y26" s="1108"/>
      <c r="Z26" s="1103"/>
      <c r="AA26" s="1107"/>
      <c r="AB26" s="1108"/>
      <c r="AC26" s="1109"/>
      <c r="AD26" s="1103"/>
      <c r="AE26" s="1107"/>
      <c r="AF26" s="1108"/>
      <c r="AG26" s="1103"/>
      <c r="AH26" s="1107"/>
      <c r="AI26" s="1108"/>
      <c r="AJ26" s="1110"/>
    </row>
    <row r="27" spans="1:36" s="370" customFormat="1" ht="15" hidden="1">
      <c r="A27" s="1170" t="s">
        <v>512</v>
      </c>
      <c r="B27" s="1103">
        <f t="shared" si="4"/>
        <v>0</v>
      </c>
      <c r="C27" s="1104"/>
      <c r="D27" s="1104"/>
      <c r="E27" s="1105"/>
      <c r="F27" s="1106">
        <f t="shared" si="5"/>
        <v>0</v>
      </c>
      <c r="G27" s="1103">
        <f t="shared" si="6"/>
        <v>0</v>
      </c>
      <c r="H27" s="1104"/>
      <c r="I27" s="1104"/>
      <c r="J27" s="1105"/>
      <c r="K27" s="1106">
        <f t="shared" si="7"/>
        <v>0</v>
      </c>
      <c r="L27" s="1103"/>
      <c r="M27" s="1107"/>
      <c r="N27" s="1108"/>
      <c r="O27" s="1103"/>
      <c r="P27" s="1107"/>
      <c r="Q27" s="1108"/>
      <c r="R27" s="1103">
        <f t="shared" si="8"/>
        <v>0</v>
      </c>
      <c r="S27" s="1104"/>
      <c r="T27" s="1104"/>
      <c r="U27" s="1105"/>
      <c r="V27" s="1106">
        <f t="shared" si="9"/>
        <v>0</v>
      </c>
      <c r="W27" s="1103"/>
      <c r="X27" s="1107"/>
      <c r="Y27" s="1108"/>
      <c r="Z27" s="1103"/>
      <c r="AA27" s="1107"/>
      <c r="AB27" s="1108"/>
      <c r="AC27" s="1109"/>
      <c r="AD27" s="1103"/>
      <c r="AE27" s="1107"/>
      <c r="AF27" s="1108"/>
      <c r="AG27" s="1103"/>
      <c r="AH27" s="1107"/>
      <c r="AI27" s="1108"/>
      <c r="AJ27" s="1110"/>
    </row>
    <row r="28" spans="1:36" s="370" customFormat="1" ht="15" hidden="1">
      <c r="A28" s="1170" t="s">
        <v>512</v>
      </c>
      <c r="B28" s="1103">
        <f t="shared" si="4"/>
        <v>0</v>
      </c>
      <c r="C28" s="1104"/>
      <c r="D28" s="1104"/>
      <c r="E28" s="1105"/>
      <c r="F28" s="1106">
        <f t="shared" si="5"/>
        <v>0</v>
      </c>
      <c r="G28" s="1103">
        <f t="shared" si="6"/>
        <v>0</v>
      </c>
      <c r="H28" s="1104"/>
      <c r="I28" s="1104"/>
      <c r="J28" s="1105"/>
      <c r="K28" s="1106">
        <f t="shared" si="7"/>
        <v>0</v>
      </c>
      <c r="L28" s="1103"/>
      <c r="M28" s="1107"/>
      <c r="N28" s="1108"/>
      <c r="O28" s="1103"/>
      <c r="P28" s="1107"/>
      <c r="Q28" s="1108"/>
      <c r="R28" s="1103">
        <f t="shared" si="8"/>
        <v>0</v>
      </c>
      <c r="S28" s="1104"/>
      <c r="T28" s="1104"/>
      <c r="U28" s="1105"/>
      <c r="V28" s="1106">
        <f t="shared" si="9"/>
        <v>0</v>
      </c>
      <c r="W28" s="1103"/>
      <c r="X28" s="1107"/>
      <c r="Y28" s="1108"/>
      <c r="Z28" s="1103"/>
      <c r="AA28" s="1107"/>
      <c r="AB28" s="1108"/>
      <c r="AC28" s="1109"/>
      <c r="AD28" s="1103"/>
      <c r="AE28" s="1107"/>
      <c r="AF28" s="1108"/>
      <c r="AG28" s="1103"/>
      <c r="AH28" s="1107"/>
      <c r="AI28" s="1108"/>
      <c r="AJ28" s="1110"/>
    </row>
    <row r="29" spans="1:36" s="370" customFormat="1" ht="15" hidden="1">
      <c r="A29" s="1170" t="s">
        <v>512</v>
      </c>
      <c r="B29" s="1103">
        <f t="shared" si="4"/>
        <v>0</v>
      </c>
      <c r="C29" s="1104"/>
      <c r="D29" s="1104"/>
      <c r="E29" s="1105"/>
      <c r="F29" s="1106">
        <f t="shared" si="5"/>
        <v>0</v>
      </c>
      <c r="G29" s="1103">
        <f t="shared" si="6"/>
        <v>0</v>
      </c>
      <c r="H29" s="1104"/>
      <c r="I29" s="1104"/>
      <c r="J29" s="1105"/>
      <c r="K29" s="1106">
        <f t="shared" si="7"/>
        <v>0</v>
      </c>
      <c r="L29" s="1103"/>
      <c r="M29" s="1107"/>
      <c r="N29" s="1108"/>
      <c r="O29" s="1103"/>
      <c r="P29" s="1107"/>
      <c r="Q29" s="1108"/>
      <c r="R29" s="1103">
        <f t="shared" si="8"/>
        <v>0</v>
      </c>
      <c r="S29" s="1104"/>
      <c r="T29" s="1104"/>
      <c r="U29" s="1105"/>
      <c r="V29" s="1106">
        <f t="shared" si="9"/>
        <v>0</v>
      </c>
      <c r="W29" s="1103"/>
      <c r="X29" s="1107"/>
      <c r="Y29" s="1108"/>
      <c r="Z29" s="1103"/>
      <c r="AA29" s="1107"/>
      <c r="AB29" s="1108"/>
      <c r="AC29" s="1109"/>
      <c r="AD29" s="1103"/>
      <c r="AE29" s="1107"/>
      <c r="AF29" s="1108"/>
      <c r="AG29" s="1103"/>
      <c r="AH29" s="1107"/>
      <c r="AI29" s="1108"/>
      <c r="AJ29" s="1110"/>
    </row>
    <row r="30" spans="1:36" s="370" customFormat="1" ht="15" hidden="1">
      <c r="A30" s="1170" t="s">
        <v>512</v>
      </c>
      <c r="B30" s="1103">
        <f t="shared" si="4"/>
        <v>0</v>
      </c>
      <c r="C30" s="1104"/>
      <c r="D30" s="1104"/>
      <c r="E30" s="1105"/>
      <c r="F30" s="1106">
        <f t="shared" si="5"/>
        <v>0</v>
      </c>
      <c r="G30" s="1103">
        <f t="shared" si="6"/>
        <v>0</v>
      </c>
      <c r="H30" s="1104"/>
      <c r="I30" s="1104"/>
      <c r="J30" s="1105"/>
      <c r="K30" s="1106">
        <f t="shared" si="7"/>
        <v>0</v>
      </c>
      <c r="L30" s="1103"/>
      <c r="M30" s="1107"/>
      <c r="N30" s="1108"/>
      <c r="O30" s="1103"/>
      <c r="P30" s="1107"/>
      <c r="Q30" s="1108"/>
      <c r="R30" s="1103">
        <f t="shared" si="8"/>
        <v>0</v>
      </c>
      <c r="S30" s="1104"/>
      <c r="T30" s="1104"/>
      <c r="U30" s="1105"/>
      <c r="V30" s="1106">
        <f t="shared" si="9"/>
        <v>0</v>
      </c>
      <c r="W30" s="1103"/>
      <c r="X30" s="1107"/>
      <c r="Y30" s="1108"/>
      <c r="Z30" s="1103"/>
      <c r="AA30" s="1107"/>
      <c r="AB30" s="1108"/>
      <c r="AC30" s="1109"/>
      <c r="AD30" s="1103"/>
      <c r="AE30" s="1107"/>
      <c r="AF30" s="1108"/>
      <c r="AG30" s="1103"/>
      <c r="AH30" s="1107"/>
      <c r="AI30" s="1108"/>
      <c r="AJ30" s="1110"/>
    </row>
    <row r="31" spans="1:36" s="370" customFormat="1" ht="15" hidden="1">
      <c r="A31" s="1170" t="s">
        <v>512</v>
      </c>
      <c r="B31" s="1103">
        <f t="shared" si="4"/>
        <v>0</v>
      </c>
      <c r="C31" s="1104"/>
      <c r="D31" s="1104"/>
      <c r="E31" s="1105"/>
      <c r="F31" s="1106">
        <f t="shared" si="5"/>
        <v>0</v>
      </c>
      <c r="G31" s="1103">
        <f t="shared" si="6"/>
        <v>0</v>
      </c>
      <c r="H31" s="1104"/>
      <c r="I31" s="1104"/>
      <c r="J31" s="1105"/>
      <c r="K31" s="1106">
        <f t="shared" si="7"/>
        <v>0</v>
      </c>
      <c r="L31" s="1103"/>
      <c r="M31" s="1107"/>
      <c r="N31" s="1108"/>
      <c r="O31" s="1103"/>
      <c r="P31" s="1107"/>
      <c r="Q31" s="1108"/>
      <c r="R31" s="1103">
        <f t="shared" si="8"/>
        <v>0</v>
      </c>
      <c r="S31" s="1104"/>
      <c r="T31" s="1104"/>
      <c r="U31" s="1105"/>
      <c r="V31" s="1106">
        <f t="shared" si="9"/>
        <v>0</v>
      </c>
      <c r="W31" s="1103"/>
      <c r="X31" s="1107"/>
      <c r="Y31" s="1108"/>
      <c r="Z31" s="1103"/>
      <c r="AA31" s="1107"/>
      <c r="AB31" s="1108"/>
      <c r="AC31" s="1109"/>
      <c r="AD31" s="1103"/>
      <c r="AE31" s="1107"/>
      <c r="AF31" s="1108"/>
      <c r="AG31" s="1103"/>
      <c r="AH31" s="1107"/>
      <c r="AI31" s="1108"/>
      <c r="AJ31" s="1110"/>
    </row>
    <row r="32" spans="1:36" s="370" customFormat="1" ht="18" customHeight="1" thickBot="1">
      <c r="A32" s="1171" t="s">
        <v>513</v>
      </c>
      <c r="B32" s="1160">
        <f t="shared" si="4"/>
        <v>302175</v>
      </c>
      <c r="C32" s="1161">
        <f>SUM(C25:C31)</f>
        <v>9448</v>
      </c>
      <c r="D32" s="1161">
        <f>SUM(D25:D31)</f>
        <v>292727</v>
      </c>
      <c r="E32" s="1172">
        <f>SUM(E25:E31)</f>
        <v>1133</v>
      </c>
      <c r="F32" s="1164">
        <f t="shared" si="5"/>
        <v>21530</v>
      </c>
      <c r="G32" s="1160">
        <f t="shared" si="6"/>
        <v>312010</v>
      </c>
      <c r="H32" s="1161">
        <f>SUM(H25:H31)</f>
        <v>16086</v>
      </c>
      <c r="I32" s="1161">
        <f>SUM(I25:I31)</f>
        <v>295924</v>
      </c>
      <c r="J32" s="1172">
        <f>SUM(J25:J31)</f>
        <v>1144</v>
      </c>
      <c r="K32" s="1164">
        <f t="shared" si="7"/>
        <v>21556</v>
      </c>
      <c r="L32" s="1160">
        <f aca="true" t="shared" si="10" ref="L32:Q32">SUM(L25:L31)</f>
        <v>1087.614</v>
      </c>
      <c r="M32" s="1173">
        <f t="shared" si="10"/>
        <v>1855.552</v>
      </c>
      <c r="N32" s="1174">
        <f t="shared" si="10"/>
        <v>0</v>
      </c>
      <c r="O32" s="1160">
        <f t="shared" si="10"/>
        <v>400</v>
      </c>
      <c r="P32" s="1173">
        <f t="shared" si="10"/>
        <v>1100</v>
      </c>
      <c r="Q32" s="1174">
        <f t="shared" si="10"/>
        <v>0</v>
      </c>
      <c r="R32" s="1160">
        <f t="shared" si="8"/>
        <v>311456.566</v>
      </c>
      <c r="S32" s="1161">
        <f>SUM(S25:S31)</f>
        <v>15744.674</v>
      </c>
      <c r="T32" s="1161">
        <f>SUM(T25:T31)</f>
        <v>295711.892</v>
      </c>
      <c r="U32" s="1172">
        <f>SUM(U25:U31)</f>
        <v>1104</v>
      </c>
      <c r="V32" s="1164">
        <f t="shared" si="9"/>
        <v>22321</v>
      </c>
      <c r="W32" s="1160">
        <f aca="true" t="shared" si="11" ref="W32:AJ32">SUM(W25:W31)</f>
        <v>380.959</v>
      </c>
      <c r="X32" s="1173">
        <f t="shared" si="11"/>
        <v>1059.132</v>
      </c>
      <c r="Y32" s="1174">
        <f t="shared" si="11"/>
        <v>0</v>
      </c>
      <c r="Z32" s="1160">
        <f t="shared" si="11"/>
        <v>0</v>
      </c>
      <c r="AA32" s="1173">
        <f t="shared" si="11"/>
        <v>0</v>
      </c>
      <c r="AB32" s="1174">
        <f t="shared" si="11"/>
        <v>0</v>
      </c>
      <c r="AC32" s="1166">
        <f t="shared" si="11"/>
        <v>0</v>
      </c>
      <c r="AD32" s="1160">
        <f t="shared" si="11"/>
        <v>318.775</v>
      </c>
      <c r="AE32" s="1173">
        <f t="shared" si="11"/>
        <v>0</v>
      </c>
      <c r="AF32" s="1174">
        <f t="shared" si="11"/>
        <v>0</v>
      </c>
      <c r="AG32" s="1160">
        <f t="shared" si="11"/>
        <v>0</v>
      </c>
      <c r="AH32" s="1173">
        <f t="shared" si="11"/>
        <v>0</v>
      </c>
      <c r="AI32" s="1174">
        <f t="shared" si="11"/>
        <v>0</v>
      </c>
      <c r="AJ32" s="1167">
        <f t="shared" si="11"/>
        <v>0</v>
      </c>
    </row>
    <row r="33" spans="1:36" s="370" customFormat="1" ht="18" customHeight="1">
      <c r="A33" s="1175"/>
      <c r="B33" s="1103"/>
      <c r="C33" s="1104"/>
      <c r="D33" s="1104"/>
      <c r="E33" s="1105"/>
      <c r="F33" s="1106"/>
      <c r="G33" s="1103"/>
      <c r="H33" s="1104"/>
      <c r="I33" s="1104"/>
      <c r="J33" s="1105"/>
      <c r="K33" s="1106"/>
      <c r="L33" s="1103"/>
      <c r="M33" s="1107"/>
      <c r="N33" s="1108"/>
      <c r="O33" s="1103"/>
      <c r="P33" s="1107"/>
      <c r="Q33" s="1108"/>
      <c r="R33" s="1103"/>
      <c r="S33" s="1104"/>
      <c r="T33" s="1104"/>
      <c r="U33" s="1105"/>
      <c r="V33" s="1106"/>
      <c r="W33" s="1103"/>
      <c r="X33" s="1107"/>
      <c r="Y33" s="1108"/>
      <c r="Z33" s="1103"/>
      <c r="AA33" s="1107"/>
      <c r="AB33" s="1108"/>
      <c r="AC33" s="1109"/>
      <c r="AD33" s="1103"/>
      <c r="AE33" s="1107"/>
      <c r="AF33" s="1108"/>
      <c r="AG33" s="1103"/>
      <c r="AH33" s="1107"/>
      <c r="AI33" s="1108"/>
      <c r="AJ33" s="1110"/>
    </row>
    <row r="34" spans="1:36" s="371" customFormat="1" ht="18" customHeight="1">
      <c r="A34" s="1169" t="s">
        <v>514</v>
      </c>
      <c r="B34" s="1120">
        <f>C34+D34</f>
        <v>13936186</v>
      </c>
      <c r="C34" s="1121">
        <f>'[5]314MV'!DF27</f>
        <v>87366</v>
      </c>
      <c r="D34" s="1121">
        <f>'[5]314MV'!DG27</f>
        <v>13848820</v>
      </c>
      <c r="E34" s="1122">
        <f>'[5]314MV'!DH27</f>
        <v>43303</v>
      </c>
      <c r="F34" s="1123">
        <f>IF(E34=0,0,ROUND(D34/E34/12*1000,0))</f>
        <v>26651</v>
      </c>
      <c r="G34" s="1120">
        <f>H34+I34</f>
        <v>14140691</v>
      </c>
      <c r="H34" s="1121">
        <f>'[6]SUMSchv.o.'!CV20</f>
        <v>109374</v>
      </c>
      <c r="I34" s="1121">
        <f>'[6]SUMSchv.o.'!CW20</f>
        <v>14031317</v>
      </c>
      <c r="J34" s="1122">
        <f>'[6]SUMSchv.o.'!$CY$20</f>
        <v>43546</v>
      </c>
      <c r="K34" s="1123">
        <f>IF(J34=0,0,ROUND(I34/J34/12*1000,0))</f>
        <v>26852</v>
      </c>
      <c r="L34" s="1124">
        <f>16.8+3753.52</f>
        <v>3770.32</v>
      </c>
      <c r="M34" s="1125">
        <f>124800.167</f>
        <v>124800.167</v>
      </c>
      <c r="N34" s="1126"/>
      <c r="O34" s="1124">
        <v>1640</v>
      </c>
      <c r="P34" s="1125">
        <v>13668</v>
      </c>
      <c r="Q34" s="1126"/>
      <c r="R34" s="1120">
        <f>S34+T34</f>
        <v>14248791.672</v>
      </c>
      <c r="S34" s="1121">
        <v>106351.536</v>
      </c>
      <c r="T34" s="1121">
        <v>14142440.13556</v>
      </c>
      <c r="U34" s="1122">
        <v>41392</v>
      </c>
      <c r="V34" s="1123">
        <f>IF(U34=0,0,ROUND(T34/U34/12*1000,0))</f>
        <v>28473</v>
      </c>
      <c r="W34" s="1124">
        <v>232.941</v>
      </c>
      <c r="X34" s="1125">
        <f>122702.518+2097.649</f>
        <v>124800.167</v>
      </c>
      <c r="Y34" s="1126">
        <v>0</v>
      </c>
      <c r="Z34" s="1124">
        <v>0</v>
      </c>
      <c r="AA34" s="1125">
        <v>0</v>
      </c>
      <c r="AB34" s="1126">
        <v>0</v>
      </c>
      <c r="AC34" s="1127"/>
      <c r="AD34" s="1124">
        <v>16.8</v>
      </c>
      <c r="AE34" s="1125">
        <v>0</v>
      </c>
      <c r="AF34" s="1126">
        <v>0</v>
      </c>
      <c r="AG34" s="1124"/>
      <c r="AH34" s="1125"/>
      <c r="AI34" s="1126"/>
      <c r="AJ34" s="1128"/>
    </row>
    <row r="35" spans="1:36" s="370" customFormat="1" ht="18" customHeight="1">
      <c r="A35" s="1111" t="s">
        <v>504</v>
      </c>
      <c r="B35" s="1112"/>
      <c r="C35" s="1113"/>
      <c r="D35" s="1113"/>
      <c r="E35" s="1114"/>
      <c r="F35" s="1115"/>
      <c r="G35" s="1112"/>
      <c r="H35" s="1113"/>
      <c r="I35" s="1113"/>
      <c r="J35" s="1114"/>
      <c r="K35" s="1115"/>
      <c r="L35" s="1112"/>
      <c r="M35" s="1116"/>
      <c r="N35" s="1117"/>
      <c r="O35" s="1112"/>
      <c r="P35" s="1116"/>
      <c r="Q35" s="1117"/>
      <c r="R35" s="1112"/>
      <c r="S35" s="1113"/>
      <c r="T35" s="1113"/>
      <c r="U35" s="1114"/>
      <c r="V35" s="1115"/>
      <c r="W35" s="1112"/>
      <c r="X35" s="1116"/>
      <c r="Y35" s="1117"/>
      <c r="Z35" s="1112"/>
      <c r="AA35" s="1116"/>
      <c r="AB35" s="1117"/>
      <c r="AC35" s="1118"/>
      <c r="AD35" s="1112"/>
      <c r="AE35" s="1116"/>
      <c r="AF35" s="1117"/>
      <c r="AG35" s="1112"/>
      <c r="AH35" s="1116"/>
      <c r="AI35" s="1117"/>
      <c r="AJ35" s="1119"/>
    </row>
    <row r="36" spans="1:36" s="371" customFormat="1" ht="18" customHeight="1" thickBot="1">
      <c r="A36" s="1129" t="s">
        <v>506</v>
      </c>
      <c r="B36" s="1130"/>
      <c r="C36" s="1131"/>
      <c r="D36" s="1176">
        <f>'[5]314MV'!DG29</f>
        <v>12142021</v>
      </c>
      <c r="E36" s="1177">
        <f>'[5]314MV'!DH29</f>
        <v>35449</v>
      </c>
      <c r="F36" s="1133">
        <f>IF(E36=0,0,ROUND(D36/E36/12*1000,0))</f>
        <v>28543</v>
      </c>
      <c r="G36" s="1130"/>
      <c r="H36" s="1131"/>
      <c r="I36" s="1176">
        <f>'[6]SUMSchv.o.'!$DB$20</f>
        <v>12312005</v>
      </c>
      <c r="J36" s="1177">
        <f>'[6]SUMSchv.o.'!$DD$20</f>
        <v>35692</v>
      </c>
      <c r="K36" s="1133">
        <f>IF(J36=0,0,ROUND(I36/J36/12*1000,0))</f>
        <v>28746</v>
      </c>
      <c r="L36" s="1130"/>
      <c r="M36" s="1178">
        <v>122702.518</v>
      </c>
      <c r="N36" s="1179"/>
      <c r="O36" s="1130"/>
      <c r="P36" s="1178">
        <v>0</v>
      </c>
      <c r="Q36" s="1179"/>
      <c r="R36" s="1130"/>
      <c r="S36" s="1131"/>
      <c r="T36" s="1176">
        <v>12434705.683</v>
      </c>
      <c r="U36" s="1177">
        <v>33921</v>
      </c>
      <c r="V36" s="1133">
        <f>IF(U36=0,0,ROUND(T36/U36/12*1000,0))</f>
        <v>30548</v>
      </c>
      <c r="W36" s="1130"/>
      <c r="X36" s="1178">
        <v>122702.518</v>
      </c>
      <c r="Y36" s="1179">
        <v>0</v>
      </c>
      <c r="Z36" s="1130"/>
      <c r="AA36" s="1178">
        <v>0</v>
      </c>
      <c r="AB36" s="1179">
        <v>0</v>
      </c>
      <c r="AC36" s="1136"/>
      <c r="AD36" s="1130"/>
      <c r="AE36" s="1178">
        <v>0</v>
      </c>
      <c r="AF36" s="1179">
        <v>0</v>
      </c>
      <c r="AG36" s="1130"/>
      <c r="AH36" s="1178"/>
      <c r="AI36" s="1179"/>
      <c r="AJ36" s="1137"/>
    </row>
    <row r="37" spans="1:36" s="371" customFormat="1" ht="18" customHeight="1">
      <c r="A37" s="1169" t="s">
        <v>515</v>
      </c>
      <c r="B37" s="1120">
        <f>C37+D37</f>
        <v>3571138</v>
      </c>
      <c r="C37" s="1121">
        <f>'[5]314MV'!DF31</f>
        <v>63783</v>
      </c>
      <c r="D37" s="1121">
        <f>'[5]314MV'!DG31</f>
        <v>3507355</v>
      </c>
      <c r="E37" s="1122">
        <f>'[5]314MV'!DH31</f>
        <v>9686</v>
      </c>
      <c r="F37" s="1123">
        <f>IF(E37=0,0,ROUND(D37/E37/12*1000,0))</f>
        <v>30175</v>
      </c>
      <c r="G37" s="1120">
        <f>H37+I37</f>
        <v>3570878</v>
      </c>
      <c r="H37" s="1121">
        <f>'[6]SUMSchv.o.'!DG20</f>
        <v>55615</v>
      </c>
      <c r="I37" s="1121">
        <f>'[6]SUMSchv.o.'!DH20</f>
        <v>3515263</v>
      </c>
      <c r="J37" s="1122">
        <f>'[6]SUMSchv.o.'!DI20</f>
        <v>9705</v>
      </c>
      <c r="K37" s="1123">
        <f>IF(J37=0,0,ROUND(I37/J37/12*1000,0))</f>
        <v>30184</v>
      </c>
      <c r="L37" s="1124">
        <v>2515.046</v>
      </c>
      <c r="M37" s="1125">
        <v>13943.504</v>
      </c>
      <c r="N37" s="1126"/>
      <c r="O37" s="1124">
        <v>0</v>
      </c>
      <c r="P37" s="1125">
        <v>0</v>
      </c>
      <c r="Q37" s="1126"/>
      <c r="R37" s="1120">
        <f>S37+T37</f>
        <v>3586959.537</v>
      </c>
      <c r="S37" s="1121">
        <v>57753.146</v>
      </c>
      <c r="T37" s="1121">
        <v>3529206.391</v>
      </c>
      <c r="U37" s="1122">
        <v>9418</v>
      </c>
      <c r="V37" s="1123">
        <f>IF(U37=0,0,ROUND(T37/U37/12*1000,0))</f>
        <v>31227</v>
      </c>
      <c r="W37" s="1124">
        <v>0</v>
      </c>
      <c r="X37" s="1125">
        <v>0</v>
      </c>
      <c r="Y37" s="1126">
        <v>0</v>
      </c>
      <c r="Z37" s="1124">
        <v>2515.046</v>
      </c>
      <c r="AA37" s="1125">
        <v>13943.504</v>
      </c>
      <c r="AB37" s="1126"/>
      <c r="AC37" s="1127"/>
      <c r="AD37" s="1124">
        <v>0</v>
      </c>
      <c r="AE37" s="1125">
        <v>0</v>
      </c>
      <c r="AF37" s="1126">
        <v>0</v>
      </c>
      <c r="AG37" s="1124"/>
      <c r="AH37" s="1125"/>
      <c r="AI37" s="1126"/>
      <c r="AJ37" s="1128"/>
    </row>
    <row r="38" spans="1:36" s="370" customFormat="1" ht="18" customHeight="1">
      <c r="A38" s="1111" t="s">
        <v>504</v>
      </c>
      <c r="B38" s="1112"/>
      <c r="C38" s="1113"/>
      <c r="D38" s="1113"/>
      <c r="E38" s="1114"/>
      <c r="F38" s="1115"/>
      <c r="G38" s="1112"/>
      <c r="H38" s="1113"/>
      <c r="I38" s="1113"/>
      <c r="J38" s="1114"/>
      <c r="K38" s="1115"/>
      <c r="L38" s="1112"/>
      <c r="M38" s="1116"/>
      <c r="N38" s="1117"/>
      <c r="O38" s="1112"/>
      <c r="P38" s="1116"/>
      <c r="Q38" s="1117"/>
      <c r="R38" s="1112"/>
      <c r="S38" s="1113"/>
      <c r="T38" s="1113"/>
      <c r="U38" s="1114"/>
      <c r="V38" s="1115"/>
      <c r="W38" s="1112"/>
      <c r="X38" s="1116"/>
      <c r="Y38" s="1117"/>
      <c r="Z38" s="1112"/>
      <c r="AA38" s="1116"/>
      <c r="AB38" s="1117"/>
      <c r="AC38" s="1118"/>
      <c r="AD38" s="1112"/>
      <c r="AE38" s="1116"/>
      <c r="AF38" s="1117"/>
      <c r="AG38" s="1112"/>
      <c r="AH38" s="1116"/>
      <c r="AI38" s="1117"/>
      <c r="AJ38" s="1119"/>
    </row>
    <row r="39" spans="1:36" s="371" customFormat="1" ht="18" customHeight="1" thickBot="1">
      <c r="A39" s="1129" t="s">
        <v>506</v>
      </c>
      <c r="B39" s="1130"/>
      <c r="C39" s="1131"/>
      <c r="D39" s="1176">
        <f>'[5]314MV'!DG33</f>
        <v>3337922</v>
      </c>
      <c r="E39" s="1177">
        <f>'[5]314MV'!DH33</f>
        <v>9060</v>
      </c>
      <c r="F39" s="1133">
        <f>IF(E39=0,0,ROUND(D39/E39/12*1000,0))</f>
        <v>30702</v>
      </c>
      <c r="G39" s="1130"/>
      <c r="H39" s="1131"/>
      <c r="I39" s="1176">
        <f>'[6]SUMSchv.o.'!DM20</f>
        <v>3345250</v>
      </c>
      <c r="J39" s="1177">
        <f>'[6]SUMSchv.o.'!DN20</f>
        <v>9077</v>
      </c>
      <c r="K39" s="1133">
        <f>IF(J39=0,0,ROUND(I39/J39/12*1000,0))</f>
        <v>30712</v>
      </c>
      <c r="L39" s="1130"/>
      <c r="M39" s="1178">
        <v>13943.504</v>
      </c>
      <c r="N39" s="1179"/>
      <c r="O39" s="1130">
        <v>0</v>
      </c>
      <c r="P39" s="1178">
        <v>0</v>
      </c>
      <c r="Q39" s="1179"/>
      <c r="R39" s="1130"/>
      <c r="S39" s="1131"/>
      <c r="T39" s="1176">
        <v>3359193.391</v>
      </c>
      <c r="U39" s="1177">
        <v>8806</v>
      </c>
      <c r="V39" s="1133">
        <f>IF(U39=0,0,ROUND(T39/U39/12*1000,0))</f>
        <v>31789</v>
      </c>
      <c r="W39" s="1130"/>
      <c r="X39" s="1178">
        <v>0</v>
      </c>
      <c r="Y39" s="1179">
        <v>0</v>
      </c>
      <c r="Z39" s="1130"/>
      <c r="AA39" s="1178">
        <v>13943.504</v>
      </c>
      <c r="AB39" s="1179"/>
      <c r="AC39" s="1136"/>
      <c r="AD39" s="1130"/>
      <c r="AE39" s="1178">
        <v>0</v>
      </c>
      <c r="AF39" s="1179">
        <v>0</v>
      </c>
      <c r="AG39" s="1130"/>
      <c r="AH39" s="1178"/>
      <c r="AI39" s="1179"/>
      <c r="AJ39" s="1137"/>
    </row>
    <row r="40" spans="1:36" s="370" customFormat="1" ht="15" hidden="1">
      <c r="A40" s="1180" t="s">
        <v>516</v>
      </c>
      <c r="B40" s="1112">
        <f>C40+D40</f>
        <v>0</v>
      </c>
      <c r="C40" s="1113"/>
      <c r="D40" s="1113"/>
      <c r="E40" s="1114"/>
      <c r="F40" s="1115">
        <f>IF(E40=0,0,ROUND(D40/E40/12*1000,0))</f>
        <v>0</v>
      </c>
      <c r="G40" s="1112">
        <f>H40+I40</f>
        <v>0</v>
      </c>
      <c r="H40" s="1113"/>
      <c r="I40" s="1113"/>
      <c r="J40" s="1114"/>
      <c r="K40" s="1115">
        <f>IF(J40=0,0,ROUND(I40/J40/12*1000,0))</f>
        <v>0</v>
      </c>
      <c r="L40" s="1112"/>
      <c r="M40" s="1116"/>
      <c r="N40" s="1117"/>
      <c r="O40" s="1112"/>
      <c r="P40" s="1116"/>
      <c r="Q40" s="1117"/>
      <c r="R40" s="1112">
        <f>S40+T40</f>
        <v>0</v>
      </c>
      <c r="S40" s="1113"/>
      <c r="T40" s="1113"/>
      <c r="U40" s="1114"/>
      <c r="V40" s="1115">
        <f>IF(U40=0,0,ROUND(T40/U40/12*1000,0))</f>
        <v>0</v>
      </c>
      <c r="W40" s="1112"/>
      <c r="X40" s="1116"/>
      <c r="Y40" s="1117"/>
      <c r="Z40" s="1112"/>
      <c r="AA40" s="1116"/>
      <c r="AB40" s="1117"/>
      <c r="AC40" s="1118"/>
      <c r="AD40" s="1112"/>
      <c r="AE40" s="1116"/>
      <c r="AF40" s="1117"/>
      <c r="AG40" s="1112"/>
      <c r="AH40" s="1116"/>
      <c r="AI40" s="1117"/>
      <c r="AJ40" s="1119"/>
    </row>
    <row r="41" spans="1:36" s="370" customFormat="1" ht="15" hidden="1">
      <c r="A41" s="1111" t="s">
        <v>504</v>
      </c>
      <c r="B41" s="1112"/>
      <c r="C41" s="1113"/>
      <c r="D41" s="1113"/>
      <c r="E41" s="1114"/>
      <c r="F41" s="1115"/>
      <c r="G41" s="1112"/>
      <c r="H41" s="1113"/>
      <c r="I41" s="1113"/>
      <c r="J41" s="1114"/>
      <c r="K41" s="1115"/>
      <c r="L41" s="1112"/>
      <c r="M41" s="1116"/>
      <c r="N41" s="1117"/>
      <c r="O41" s="1112"/>
      <c r="P41" s="1116"/>
      <c r="Q41" s="1117"/>
      <c r="R41" s="1112"/>
      <c r="S41" s="1113"/>
      <c r="T41" s="1113"/>
      <c r="U41" s="1114"/>
      <c r="V41" s="1115"/>
      <c r="W41" s="1112"/>
      <c r="X41" s="1116"/>
      <c r="Y41" s="1117"/>
      <c r="Z41" s="1112"/>
      <c r="AA41" s="1116"/>
      <c r="AB41" s="1117"/>
      <c r="AC41" s="1118"/>
      <c r="AD41" s="1112"/>
      <c r="AE41" s="1116"/>
      <c r="AF41" s="1117"/>
      <c r="AG41" s="1112"/>
      <c r="AH41" s="1116"/>
      <c r="AI41" s="1117"/>
      <c r="AJ41" s="1119"/>
    </row>
    <row r="42" spans="1:36" s="370" customFormat="1" ht="15.75" hidden="1" thickBot="1">
      <c r="A42" s="1129" t="s">
        <v>506</v>
      </c>
      <c r="B42" s="1160"/>
      <c r="C42" s="1161"/>
      <c r="D42" s="1161"/>
      <c r="E42" s="1172"/>
      <c r="F42" s="1164">
        <f>IF(E42=0,0,ROUND(D42/E42/12*1000,0))</f>
        <v>0</v>
      </c>
      <c r="G42" s="1160"/>
      <c r="H42" s="1161"/>
      <c r="I42" s="1161"/>
      <c r="J42" s="1172"/>
      <c r="K42" s="1164">
        <f>IF(J42=0,0,ROUND(I42/J42/12*1000,0))</f>
        <v>0</v>
      </c>
      <c r="L42" s="1160"/>
      <c r="M42" s="1173"/>
      <c r="N42" s="1174"/>
      <c r="O42" s="1160"/>
      <c r="P42" s="1173"/>
      <c r="Q42" s="1174"/>
      <c r="R42" s="1160"/>
      <c r="S42" s="1161"/>
      <c r="T42" s="1161"/>
      <c r="U42" s="1172"/>
      <c r="V42" s="1164">
        <f>IF(U42=0,0,ROUND(T42/U42/12*1000,0))</f>
        <v>0</v>
      </c>
      <c r="W42" s="1160"/>
      <c r="X42" s="1173"/>
      <c r="Y42" s="1174"/>
      <c r="Z42" s="1160"/>
      <c r="AA42" s="1173"/>
      <c r="AB42" s="1174"/>
      <c r="AC42" s="1166"/>
      <c r="AD42" s="1160"/>
      <c r="AE42" s="1173"/>
      <c r="AF42" s="1174"/>
      <c r="AG42" s="1160"/>
      <c r="AH42" s="1173"/>
      <c r="AI42" s="1174"/>
      <c r="AJ42" s="1167"/>
    </row>
    <row r="43" spans="1:36" s="370" customFormat="1" ht="18" customHeight="1">
      <c r="A43" s="1181" t="s">
        <v>517</v>
      </c>
      <c r="B43" s="1150">
        <f>C43+D43</f>
        <v>17507324</v>
      </c>
      <c r="C43" s="1182">
        <f>C34+C37+C40</f>
        <v>151149</v>
      </c>
      <c r="D43" s="1182">
        <f>D34+D37+D40</f>
        <v>17356175</v>
      </c>
      <c r="E43" s="1183">
        <f>E34+E37+E40</f>
        <v>52989</v>
      </c>
      <c r="F43" s="1153">
        <f>IF(E43=0,0,ROUND(D43/E43/12*1000,0))</f>
        <v>27295</v>
      </c>
      <c r="G43" s="1150">
        <f>H43+I43</f>
        <v>17711569</v>
      </c>
      <c r="H43" s="1182">
        <f>H34+H37+H40</f>
        <v>164989</v>
      </c>
      <c r="I43" s="1182">
        <f>I34+I37+I40</f>
        <v>17546580</v>
      </c>
      <c r="J43" s="1183">
        <f>J34+J37+J40</f>
        <v>53251</v>
      </c>
      <c r="K43" s="1153">
        <f>IF(J43=0,0,ROUND(I43/J43/12*1000,0))</f>
        <v>27459</v>
      </c>
      <c r="L43" s="1150">
        <f aca="true" t="shared" si="12" ref="L43:Q43">L34+L37+L40</f>
        <v>6285.366</v>
      </c>
      <c r="M43" s="1184">
        <f t="shared" si="12"/>
        <v>138743.671</v>
      </c>
      <c r="N43" s="1185">
        <f t="shared" si="12"/>
        <v>0</v>
      </c>
      <c r="O43" s="1150">
        <f t="shared" si="12"/>
        <v>1640</v>
      </c>
      <c r="P43" s="1184">
        <f t="shared" si="12"/>
        <v>13668</v>
      </c>
      <c r="Q43" s="1185">
        <f t="shared" si="12"/>
        <v>0</v>
      </c>
      <c r="R43" s="1150">
        <f>S43+T43</f>
        <v>17835751.209</v>
      </c>
      <c r="S43" s="1182">
        <f>S34+S37+S40</f>
        <v>164104.682</v>
      </c>
      <c r="T43" s="1182">
        <f>T34+T37+T40</f>
        <v>17671646.527</v>
      </c>
      <c r="U43" s="1183">
        <f>U34+U37+U40</f>
        <v>50810</v>
      </c>
      <c r="V43" s="1153">
        <f>IF(U43=0,0,ROUND(T43/U43/12*1000,0))</f>
        <v>28983</v>
      </c>
      <c r="W43" s="1150">
        <f aca="true" t="shared" si="13" ref="W43:AJ43">W34+W37+W40</f>
        <v>232.941</v>
      </c>
      <c r="X43" s="1184">
        <f t="shared" si="13"/>
        <v>124800.167</v>
      </c>
      <c r="Y43" s="1185">
        <f t="shared" si="13"/>
        <v>0</v>
      </c>
      <c r="Z43" s="1150">
        <f t="shared" si="13"/>
        <v>2515.046</v>
      </c>
      <c r="AA43" s="1184">
        <f t="shared" si="13"/>
        <v>13943.504</v>
      </c>
      <c r="AB43" s="1185">
        <f t="shared" si="13"/>
        <v>0</v>
      </c>
      <c r="AC43" s="1158">
        <f t="shared" si="13"/>
        <v>0</v>
      </c>
      <c r="AD43" s="1150">
        <f t="shared" si="13"/>
        <v>16.8</v>
      </c>
      <c r="AE43" s="1184">
        <f t="shared" si="13"/>
        <v>0</v>
      </c>
      <c r="AF43" s="1185">
        <f t="shared" si="13"/>
        <v>0</v>
      </c>
      <c r="AG43" s="1150">
        <f t="shared" si="13"/>
        <v>0</v>
      </c>
      <c r="AH43" s="1184">
        <f t="shared" si="13"/>
        <v>0</v>
      </c>
      <c r="AI43" s="1185">
        <f t="shared" si="13"/>
        <v>0</v>
      </c>
      <c r="AJ43" s="1159">
        <f t="shared" si="13"/>
        <v>0</v>
      </c>
    </row>
    <row r="44" spans="1:36" s="370" customFormat="1" ht="18" customHeight="1">
      <c r="A44" s="1111" t="s">
        <v>504</v>
      </c>
      <c r="B44" s="1112"/>
      <c r="C44" s="1113"/>
      <c r="D44" s="1113"/>
      <c r="E44" s="1114"/>
      <c r="F44" s="1115"/>
      <c r="G44" s="1112"/>
      <c r="H44" s="1113"/>
      <c r="I44" s="1113"/>
      <c r="J44" s="1114"/>
      <c r="K44" s="1115"/>
      <c r="L44" s="1112"/>
      <c r="M44" s="1116"/>
      <c r="N44" s="1117"/>
      <c r="O44" s="1112"/>
      <c r="P44" s="1116"/>
      <c r="Q44" s="1117"/>
      <c r="R44" s="1112"/>
      <c r="S44" s="1113"/>
      <c r="T44" s="1113"/>
      <c r="U44" s="1114"/>
      <c r="V44" s="1115"/>
      <c r="W44" s="1112"/>
      <c r="X44" s="1116"/>
      <c r="Y44" s="1117"/>
      <c r="Z44" s="1112"/>
      <c r="AA44" s="1116"/>
      <c r="AB44" s="1117"/>
      <c r="AC44" s="1118"/>
      <c r="AD44" s="1112"/>
      <c r="AE44" s="1116"/>
      <c r="AF44" s="1117"/>
      <c r="AG44" s="1112"/>
      <c r="AH44" s="1116"/>
      <c r="AI44" s="1117"/>
      <c r="AJ44" s="1119"/>
    </row>
    <row r="45" spans="1:36" s="371" customFormat="1" ht="18" customHeight="1" thickBot="1">
      <c r="A45" s="1129" t="s">
        <v>506</v>
      </c>
      <c r="B45" s="1130"/>
      <c r="C45" s="1131"/>
      <c r="D45" s="1131">
        <f>D36+D39+D42</f>
        <v>15479943</v>
      </c>
      <c r="E45" s="1132">
        <f>E36+E39+E42</f>
        <v>44509</v>
      </c>
      <c r="F45" s="1133">
        <f>IF(E45=0,0,ROUND(D45/E45/12*1000,0))</f>
        <v>28983</v>
      </c>
      <c r="G45" s="1130"/>
      <c r="H45" s="1131"/>
      <c r="I45" s="1131">
        <f>I36+I39+I42</f>
        <v>15657255</v>
      </c>
      <c r="J45" s="1132">
        <f>J36+J39+J42</f>
        <v>44769</v>
      </c>
      <c r="K45" s="1133">
        <f>IF(J45=0,0,ROUND(I45/J45/12*1000,0))</f>
        <v>29145</v>
      </c>
      <c r="L45" s="1130"/>
      <c r="M45" s="1134">
        <f>M36+M39+M42</f>
        <v>136646.022</v>
      </c>
      <c r="N45" s="1135">
        <f>N36+N39+N42</f>
        <v>0</v>
      </c>
      <c r="O45" s="1130"/>
      <c r="P45" s="1134">
        <f>P36+P39+P42</f>
        <v>0</v>
      </c>
      <c r="Q45" s="1135">
        <f>Q36+Q39+Q42</f>
        <v>0</v>
      </c>
      <c r="R45" s="1130"/>
      <c r="S45" s="1131"/>
      <c r="T45" s="1131">
        <f>T36+T39+T42</f>
        <v>15793899.074</v>
      </c>
      <c r="U45" s="1132">
        <f>U36+U39+U42</f>
        <v>42727</v>
      </c>
      <c r="V45" s="1133">
        <f>IF(U45=0,0,ROUND(T45/U45/12*1000,0))</f>
        <v>30804</v>
      </c>
      <c r="W45" s="1130"/>
      <c r="X45" s="1134">
        <f>X36+X39+X42</f>
        <v>122702.518</v>
      </c>
      <c r="Y45" s="1135">
        <f>Y36+Y39+Y42</f>
        <v>0</v>
      </c>
      <c r="Z45" s="1130"/>
      <c r="AA45" s="1134">
        <f>AA36+AA39+AA42</f>
        <v>13943.504</v>
      </c>
      <c r="AB45" s="1135">
        <f>AB36+AB39+AB42</f>
        <v>0</v>
      </c>
      <c r="AC45" s="1136"/>
      <c r="AD45" s="1130"/>
      <c r="AE45" s="1134">
        <f>AE36+AE39+AE42</f>
        <v>0</v>
      </c>
      <c r="AF45" s="1135">
        <f>AF36+AF39+AF42</f>
        <v>0</v>
      </c>
      <c r="AG45" s="1130"/>
      <c r="AH45" s="1134">
        <f>AH36+AH39+AH42</f>
        <v>0</v>
      </c>
      <c r="AI45" s="1135">
        <f>AI36+AI39+AI42</f>
        <v>0</v>
      </c>
      <c r="AJ45" s="1137"/>
    </row>
    <row r="46" spans="1:36" s="370" customFormat="1" ht="18" customHeight="1" thickBot="1">
      <c r="A46" s="1186"/>
      <c r="B46" s="1187"/>
      <c r="C46" s="1188"/>
      <c r="D46" s="1188"/>
      <c r="E46" s="1189"/>
      <c r="F46" s="1190"/>
      <c r="G46" s="1187"/>
      <c r="H46" s="1188"/>
      <c r="I46" s="1188"/>
      <c r="J46" s="1189"/>
      <c r="K46" s="1190"/>
      <c r="L46" s="1187"/>
      <c r="M46" s="1191"/>
      <c r="N46" s="1192"/>
      <c r="O46" s="1187"/>
      <c r="P46" s="1191"/>
      <c r="Q46" s="1192"/>
      <c r="R46" s="1187"/>
      <c r="S46" s="1188"/>
      <c r="T46" s="1188"/>
      <c r="U46" s="1189"/>
      <c r="V46" s="1190"/>
      <c r="W46" s="1187"/>
      <c r="X46" s="1191"/>
      <c r="Y46" s="1192"/>
      <c r="Z46" s="1187"/>
      <c r="AA46" s="1191"/>
      <c r="AB46" s="1192"/>
      <c r="AC46" s="1193"/>
      <c r="AD46" s="1187"/>
      <c r="AE46" s="1191"/>
      <c r="AF46" s="1192"/>
      <c r="AG46" s="1187"/>
      <c r="AH46" s="1191"/>
      <c r="AI46" s="1192"/>
      <c r="AJ46" s="1194"/>
    </row>
    <row r="47" spans="1:36" s="370" customFormat="1" ht="18" customHeight="1">
      <c r="A47" s="1149" t="s">
        <v>518</v>
      </c>
      <c r="B47" s="1150">
        <f>C47+D47</f>
        <v>733580</v>
      </c>
      <c r="C47" s="1151">
        <f>'[5]314MV'!DF49</f>
        <v>19874</v>
      </c>
      <c r="D47" s="1151">
        <f>'[5]314MV'!DG49</f>
        <v>713706</v>
      </c>
      <c r="E47" s="1152">
        <f>'[5]314MV'!DH49</f>
        <v>2495</v>
      </c>
      <c r="F47" s="1153">
        <f>IF(E47=0,0,ROUND(D47/E47/12*1000,0))</f>
        <v>23838</v>
      </c>
      <c r="G47" s="1150">
        <f>H47+I47</f>
        <v>808964</v>
      </c>
      <c r="H47" s="1151">
        <f>'[6]SUMSchv.o.'!EC20</f>
        <v>40790</v>
      </c>
      <c r="I47" s="1151">
        <f>'[6]SUMSchv.o.'!ED20</f>
        <v>768174</v>
      </c>
      <c r="J47" s="1152">
        <f>'[6]SUMSchv.o.'!$EF$20</f>
        <v>2690</v>
      </c>
      <c r="K47" s="1153">
        <f>IF(J47=0,0,ROUND(I47/J47/12*1000,0))</f>
        <v>23797</v>
      </c>
      <c r="L47" s="1154">
        <f>3310.32753</f>
        <v>3310.328</v>
      </c>
      <c r="M47" s="1157">
        <f>1400</f>
        <v>1400</v>
      </c>
      <c r="N47" s="1156"/>
      <c r="O47" s="1154">
        <v>1061</v>
      </c>
      <c r="P47" s="1157">
        <v>10018</v>
      </c>
      <c r="Q47" s="1156"/>
      <c r="R47" s="1150">
        <f>S47+T47</f>
        <v>796457.689</v>
      </c>
      <c r="S47" s="1151">
        <v>37548.87</v>
      </c>
      <c r="T47" s="1151">
        <v>758908.81935</v>
      </c>
      <c r="U47" s="1152">
        <v>2240</v>
      </c>
      <c r="V47" s="1153">
        <f>IF(U47=0,0,ROUND(T47/U47/12*1000,0))</f>
        <v>28233</v>
      </c>
      <c r="W47" s="1154">
        <v>3271.168</v>
      </c>
      <c r="X47" s="1157">
        <v>1400</v>
      </c>
      <c r="Y47" s="1156">
        <v>0</v>
      </c>
      <c r="Z47" s="1154">
        <v>0</v>
      </c>
      <c r="AA47" s="1157">
        <v>0</v>
      </c>
      <c r="AB47" s="1156"/>
      <c r="AC47" s="1158"/>
      <c r="AD47" s="1154">
        <v>0</v>
      </c>
      <c r="AE47" s="1157">
        <v>0</v>
      </c>
      <c r="AF47" s="1156">
        <v>0</v>
      </c>
      <c r="AG47" s="1154"/>
      <c r="AH47" s="1157"/>
      <c r="AI47" s="1156"/>
      <c r="AJ47" s="1159"/>
    </row>
    <row r="48" spans="1:36" s="370" customFormat="1" ht="18" customHeight="1">
      <c r="A48" s="1111" t="s">
        <v>504</v>
      </c>
      <c r="B48" s="1112"/>
      <c r="C48" s="1113"/>
      <c r="D48" s="1113"/>
      <c r="E48" s="1114"/>
      <c r="F48" s="1115"/>
      <c r="G48" s="1112"/>
      <c r="H48" s="1113"/>
      <c r="I48" s="1113"/>
      <c r="J48" s="1114"/>
      <c r="K48" s="1115"/>
      <c r="L48" s="1112"/>
      <c r="M48" s="1116"/>
      <c r="N48" s="1117"/>
      <c r="O48" s="1112"/>
      <c r="P48" s="1116"/>
      <c r="Q48" s="1117"/>
      <c r="R48" s="1112"/>
      <c r="S48" s="1113"/>
      <c r="T48" s="1113"/>
      <c r="U48" s="1114"/>
      <c r="V48" s="1115"/>
      <c r="W48" s="1112"/>
      <c r="X48" s="1116"/>
      <c r="Y48" s="1117"/>
      <c r="Z48" s="1112"/>
      <c r="AA48" s="1116"/>
      <c r="AB48" s="1117"/>
      <c r="AC48" s="1118"/>
      <c r="AD48" s="1112"/>
      <c r="AE48" s="1116"/>
      <c r="AF48" s="1117"/>
      <c r="AG48" s="1112"/>
      <c r="AH48" s="1116"/>
      <c r="AI48" s="1117"/>
      <c r="AJ48" s="1119"/>
    </row>
    <row r="49" spans="1:36" s="370" customFormat="1" ht="18" customHeight="1" thickBot="1">
      <c r="A49" s="1129" t="s">
        <v>506</v>
      </c>
      <c r="B49" s="1160"/>
      <c r="C49" s="1161"/>
      <c r="D49" s="1162">
        <f>'[5]314MV'!DG50</f>
        <v>169379</v>
      </c>
      <c r="E49" s="1163">
        <f>'[5]314MV'!DH50</f>
        <v>418</v>
      </c>
      <c r="F49" s="1164">
        <f>IF(E49=0,0,ROUND(D49/E49/12*1000,0))</f>
        <v>33768</v>
      </c>
      <c r="G49" s="1160"/>
      <c r="H49" s="1161"/>
      <c r="I49" s="1162">
        <f>'[6]SUMSchv.o.'!$EI$20</f>
        <v>164485</v>
      </c>
      <c r="J49" s="1163">
        <v>415</v>
      </c>
      <c r="K49" s="1164">
        <f>IF(J49=0,0,ROUND(I49/J49/12*1000,0))</f>
        <v>33029</v>
      </c>
      <c r="L49" s="1160"/>
      <c r="M49" s="1155">
        <v>0</v>
      </c>
      <c r="N49" s="1165"/>
      <c r="O49" s="1160">
        <v>0</v>
      </c>
      <c r="P49" s="1155">
        <v>6051</v>
      </c>
      <c r="Q49" s="1165"/>
      <c r="R49" s="1160"/>
      <c r="S49" s="1161"/>
      <c r="T49" s="1162">
        <v>158196.271</v>
      </c>
      <c r="U49" s="1163">
        <v>341</v>
      </c>
      <c r="V49" s="1164">
        <f>IF(U49=0,0,ROUND(T49/U49/12*1000,0))</f>
        <v>38660</v>
      </c>
      <c r="W49" s="1160"/>
      <c r="X49" s="1155">
        <v>0</v>
      </c>
      <c r="Y49" s="1165"/>
      <c r="Z49" s="1160"/>
      <c r="AA49" s="1155">
        <v>0</v>
      </c>
      <c r="AB49" s="1165"/>
      <c r="AC49" s="1166"/>
      <c r="AD49" s="1160"/>
      <c r="AE49" s="1155">
        <v>0</v>
      </c>
      <c r="AF49" s="1165">
        <v>0</v>
      </c>
      <c r="AG49" s="1160"/>
      <c r="AH49" s="1155"/>
      <c r="AI49" s="1165"/>
      <c r="AJ49" s="1167"/>
    </row>
    <row r="50" spans="1:36" s="370" customFormat="1" ht="18" customHeight="1" thickBot="1">
      <c r="A50" s="1195"/>
      <c r="B50" s="1196"/>
      <c r="C50" s="1197"/>
      <c r="D50" s="1197"/>
      <c r="E50" s="1198"/>
      <c r="F50" s="1199"/>
      <c r="G50" s="1196"/>
      <c r="H50" s="1197"/>
      <c r="I50" s="1197"/>
      <c r="J50" s="1198"/>
      <c r="K50" s="1199"/>
      <c r="L50" s="1196"/>
      <c r="M50" s="1200"/>
      <c r="N50" s="1201"/>
      <c r="O50" s="1196"/>
      <c r="P50" s="1200"/>
      <c r="Q50" s="1201"/>
      <c r="R50" s="1196"/>
      <c r="S50" s="1197"/>
      <c r="T50" s="1197"/>
      <c r="U50" s="1198"/>
      <c r="V50" s="1199"/>
      <c r="W50" s="1196"/>
      <c r="X50" s="1200"/>
      <c r="Y50" s="1201"/>
      <c r="Z50" s="1196"/>
      <c r="AA50" s="1200"/>
      <c r="AB50" s="1201"/>
      <c r="AC50" s="1202"/>
      <c r="AD50" s="1196"/>
      <c r="AE50" s="1200"/>
      <c r="AF50" s="1201"/>
      <c r="AG50" s="1196"/>
      <c r="AH50" s="1200"/>
      <c r="AI50" s="1201"/>
      <c r="AJ50" s="1203"/>
    </row>
    <row r="51" spans="1:36" s="370" customFormat="1" ht="18" customHeight="1" thickBot="1">
      <c r="A51" s="1149" t="s">
        <v>519</v>
      </c>
      <c r="B51" s="1150">
        <f>C51+D51</f>
        <v>239507</v>
      </c>
      <c r="C51" s="1151">
        <v>8482</v>
      </c>
      <c r="D51" s="1151">
        <v>231025</v>
      </c>
      <c r="E51" s="1152">
        <v>1142</v>
      </c>
      <c r="F51" s="1153">
        <f>IF(E51=0,0,ROUND(D51/E51/12*1000,0))</f>
        <v>16858</v>
      </c>
      <c r="G51" s="1150">
        <f>H51+I51</f>
        <v>230130</v>
      </c>
      <c r="H51" s="1151">
        <v>9369</v>
      </c>
      <c r="I51" s="1151">
        <v>220761</v>
      </c>
      <c r="J51" s="1152">
        <v>1106</v>
      </c>
      <c r="K51" s="1153">
        <f>IF(J51=0,0,ROUND(I51/J51/12*1000,0))</f>
        <v>16634</v>
      </c>
      <c r="L51" s="1154"/>
      <c r="M51" s="1157"/>
      <c r="N51" s="1156"/>
      <c r="O51" s="1154"/>
      <c r="P51" s="1157"/>
      <c r="Q51" s="1156"/>
      <c r="R51" s="1355">
        <f>S51+T51</f>
        <v>229183.814</v>
      </c>
      <c r="S51" s="1151">
        <v>7114.569</v>
      </c>
      <c r="T51" s="1151">
        <v>222069.245</v>
      </c>
      <c r="U51" s="1152">
        <f>46+947</f>
        <v>993</v>
      </c>
      <c r="V51" s="1201">
        <f>IF(U51=0,0,ROUND(T51/U51/12*1000,0))</f>
        <v>18636</v>
      </c>
      <c r="W51" s="1154"/>
      <c r="X51" s="1157"/>
      <c r="Y51" s="1156"/>
      <c r="Z51" s="1154"/>
      <c r="AA51" s="1157"/>
      <c r="AB51" s="1156"/>
      <c r="AC51" s="1204"/>
      <c r="AD51" s="1154"/>
      <c r="AE51" s="1157">
        <v>1436.87</v>
      </c>
      <c r="AF51" s="1156">
        <v>0</v>
      </c>
      <c r="AG51" s="1154"/>
      <c r="AH51" s="1157"/>
      <c r="AI51" s="1156"/>
      <c r="AJ51" s="1205">
        <f>1.06+464.916</f>
        <v>465.976</v>
      </c>
    </row>
    <row r="52" spans="1:36" s="370" customFormat="1" ht="15.75" hidden="1" thickBot="1">
      <c r="A52" s="1206" t="s">
        <v>520</v>
      </c>
      <c r="B52" s="1139"/>
      <c r="C52" s="1140"/>
      <c r="D52" s="1140"/>
      <c r="E52" s="1141"/>
      <c r="F52" s="1142"/>
      <c r="G52" s="1139"/>
      <c r="H52" s="1140"/>
      <c r="I52" s="1140"/>
      <c r="J52" s="1141"/>
      <c r="K52" s="1142"/>
      <c r="L52" s="1139"/>
      <c r="M52" s="1143"/>
      <c r="N52" s="1144"/>
      <c r="O52" s="1139"/>
      <c r="P52" s="1143"/>
      <c r="Q52" s="1144"/>
      <c r="R52" s="1139"/>
      <c r="S52" s="1140"/>
      <c r="T52" s="1140"/>
      <c r="U52" s="1141"/>
      <c r="V52" s="1142"/>
      <c r="W52" s="1139"/>
      <c r="X52" s="1143"/>
      <c r="Y52" s="1144"/>
      <c r="Z52" s="1139"/>
      <c r="AA52" s="1143"/>
      <c r="AB52" s="1144"/>
      <c r="AC52" s="1145"/>
      <c r="AD52" s="1139"/>
      <c r="AE52" s="1143"/>
      <c r="AF52" s="1144"/>
      <c r="AG52" s="1139"/>
      <c r="AH52" s="1143"/>
      <c r="AI52" s="1144"/>
      <c r="AJ52" s="1146"/>
    </row>
    <row r="53" spans="1:36" s="370" customFormat="1" ht="15.75" hidden="1" thickBot="1">
      <c r="A53" s="1207" t="s">
        <v>521</v>
      </c>
      <c r="B53" s="1196">
        <f>C53+D53</f>
        <v>0</v>
      </c>
      <c r="C53" s="1197"/>
      <c r="D53" s="1197"/>
      <c r="E53" s="1198"/>
      <c r="F53" s="1208">
        <f>IF(E53=0,0,ROUND(D53/E53/12*1000,0))</f>
        <v>0</v>
      </c>
      <c r="G53" s="1196">
        <f>H53+I53</f>
        <v>0</v>
      </c>
      <c r="H53" s="1197"/>
      <c r="I53" s="1197"/>
      <c r="J53" s="1198"/>
      <c r="K53" s="1208">
        <f>IF(J53=0,0,ROUND(I53/J53/12*1000,0))</f>
        <v>0</v>
      </c>
      <c r="L53" s="1196"/>
      <c r="M53" s="1200"/>
      <c r="N53" s="1201"/>
      <c r="O53" s="1196"/>
      <c r="P53" s="1200"/>
      <c r="Q53" s="1201"/>
      <c r="R53" s="1202"/>
      <c r="S53" s="1200"/>
      <c r="T53" s="1200"/>
      <c r="U53" s="1209"/>
      <c r="V53" s="1199"/>
      <c r="W53" s="1196"/>
      <c r="X53" s="1200"/>
      <c r="Y53" s="1201"/>
      <c r="Z53" s="1196"/>
      <c r="AA53" s="1200"/>
      <c r="AB53" s="1201"/>
      <c r="AC53" s="1202"/>
      <c r="AD53" s="1196"/>
      <c r="AE53" s="1200"/>
      <c r="AF53" s="1201"/>
      <c r="AG53" s="1196"/>
      <c r="AH53" s="1200"/>
      <c r="AI53" s="1201"/>
      <c r="AJ53" s="1203"/>
    </row>
    <row r="54" spans="1:36" s="370" customFormat="1" ht="15" hidden="1">
      <c r="A54" s="1210" t="s">
        <v>522</v>
      </c>
      <c r="B54" s="1150">
        <f>C54+D54</f>
        <v>0</v>
      </c>
      <c r="C54" s="1182"/>
      <c r="D54" s="1182"/>
      <c r="E54" s="1183"/>
      <c r="F54" s="1211">
        <f>IF(E54=0,0,ROUND(D54/E54/12*1000,0))</f>
        <v>0</v>
      </c>
      <c r="G54" s="1150">
        <f>H54+I54</f>
        <v>0</v>
      </c>
      <c r="H54" s="1182"/>
      <c r="I54" s="1182"/>
      <c r="J54" s="1183"/>
      <c r="K54" s="1211">
        <f>IF(J54=0,0,ROUND(I54/J54/12*1000,0))</f>
        <v>0</v>
      </c>
      <c r="L54" s="1150"/>
      <c r="M54" s="1184"/>
      <c r="N54" s="1185"/>
      <c r="O54" s="1150"/>
      <c r="P54" s="1184"/>
      <c r="Q54" s="1185"/>
      <c r="R54" s="1158"/>
      <c r="S54" s="1184"/>
      <c r="T54" s="1184"/>
      <c r="U54" s="1212"/>
      <c r="V54" s="1153"/>
      <c r="W54" s="1150"/>
      <c r="X54" s="1184"/>
      <c r="Y54" s="1185"/>
      <c r="Z54" s="1150"/>
      <c r="AA54" s="1184"/>
      <c r="AB54" s="1185"/>
      <c r="AC54" s="1158"/>
      <c r="AD54" s="1150"/>
      <c r="AE54" s="1184"/>
      <c r="AF54" s="1185"/>
      <c r="AG54" s="1150"/>
      <c r="AH54" s="1184"/>
      <c r="AI54" s="1185"/>
      <c r="AJ54" s="1159"/>
    </row>
    <row r="55" spans="1:36" s="370" customFormat="1" ht="15" hidden="1">
      <c r="A55" s="1213" t="s">
        <v>523</v>
      </c>
      <c r="B55" s="1112"/>
      <c r="C55" s="1113"/>
      <c r="D55" s="1113"/>
      <c r="E55" s="1114"/>
      <c r="F55" s="1123"/>
      <c r="G55" s="1112"/>
      <c r="H55" s="1113"/>
      <c r="I55" s="1113"/>
      <c r="J55" s="1114"/>
      <c r="K55" s="1123"/>
      <c r="L55" s="1112"/>
      <c r="M55" s="1116"/>
      <c r="N55" s="1117"/>
      <c r="O55" s="1112"/>
      <c r="P55" s="1116"/>
      <c r="Q55" s="1117"/>
      <c r="R55" s="1118"/>
      <c r="S55" s="1116"/>
      <c r="T55" s="1116"/>
      <c r="U55" s="1214"/>
      <c r="V55" s="1115"/>
      <c r="W55" s="1112"/>
      <c r="X55" s="1116"/>
      <c r="Y55" s="1117"/>
      <c r="Z55" s="1112"/>
      <c r="AA55" s="1116"/>
      <c r="AB55" s="1117"/>
      <c r="AC55" s="1118"/>
      <c r="AD55" s="1112"/>
      <c r="AE55" s="1116"/>
      <c r="AF55" s="1117"/>
      <c r="AG55" s="1112"/>
      <c r="AH55" s="1116"/>
      <c r="AI55" s="1117"/>
      <c r="AJ55" s="1119"/>
    </row>
    <row r="56" spans="1:36" s="370" customFormat="1" ht="15" hidden="1">
      <c r="A56" s="1213" t="s">
        <v>524</v>
      </c>
      <c r="B56" s="1112"/>
      <c r="C56" s="1113"/>
      <c r="D56" s="1113"/>
      <c r="E56" s="1114"/>
      <c r="F56" s="1123">
        <f>IF(E56=0,0,ROUND(D56/E56/12*1000,0))</f>
        <v>0</v>
      </c>
      <c r="G56" s="1112"/>
      <c r="H56" s="1113"/>
      <c r="I56" s="1113"/>
      <c r="J56" s="1114"/>
      <c r="K56" s="1123">
        <f>IF(J56=0,0,ROUND(I56/J56/12*1000,0))</f>
        <v>0</v>
      </c>
      <c r="L56" s="1112"/>
      <c r="M56" s="1116"/>
      <c r="N56" s="1117"/>
      <c r="O56" s="1112"/>
      <c r="P56" s="1116"/>
      <c r="Q56" s="1117"/>
      <c r="R56" s="1118"/>
      <c r="S56" s="1116"/>
      <c r="T56" s="1116"/>
      <c r="U56" s="1214"/>
      <c r="V56" s="1123"/>
      <c r="W56" s="1112"/>
      <c r="X56" s="1116"/>
      <c r="Y56" s="1117"/>
      <c r="Z56" s="1112"/>
      <c r="AA56" s="1116"/>
      <c r="AB56" s="1117"/>
      <c r="AC56" s="1118"/>
      <c r="AD56" s="1112"/>
      <c r="AE56" s="1116"/>
      <c r="AF56" s="1117"/>
      <c r="AG56" s="1112"/>
      <c r="AH56" s="1116"/>
      <c r="AI56" s="1117"/>
      <c r="AJ56" s="1119"/>
    </row>
    <row r="57" spans="1:36" s="370" customFormat="1" ht="15.75" hidden="1" thickBot="1">
      <c r="A57" s="1215" t="s">
        <v>525</v>
      </c>
      <c r="B57" s="1160"/>
      <c r="C57" s="1161"/>
      <c r="D57" s="1161"/>
      <c r="E57" s="1172"/>
      <c r="F57" s="1133">
        <f>IF(E57=0,0,ROUND(D57/E57/12*1000,0))</f>
        <v>0</v>
      </c>
      <c r="G57" s="1160"/>
      <c r="H57" s="1161"/>
      <c r="I57" s="1161"/>
      <c r="J57" s="1172"/>
      <c r="K57" s="1133">
        <f>IF(J57=0,0,ROUND(I57/J57/12*1000,0))</f>
        <v>0</v>
      </c>
      <c r="L57" s="1160"/>
      <c r="M57" s="1173"/>
      <c r="N57" s="1174"/>
      <c r="O57" s="1160"/>
      <c r="P57" s="1173"/>
      <c r="Q57" s="1174"/>
      <c r="R57" s="1166"/>
      <c r="S57" s="1173"/>
      <c r="T57" s="1173"/>
      <c r="U57" s="1216"/>
      <c r="V57" s="1133"/>
      <c r="W57" s="1160"/>
      <c r="X57" s="1173"/>
      <c r="Y57" s="1174"/>
      <c r="Z57" s="1160"/>
      <c r="AA57" s="1173"/>
      <c r="AB57" s="1174"/>
      <c r="AC57" s="1166"/>
      <c r="AD57" s="1160"/>
      <c r="AE57" s="1173"/>
      <c r="AF57" s="1174"/>
      <c r="AG57" s="1160"/>
      <c r="AH57" s="1173"/>
      <c r="AI57" s="1174"/>
      <c r="AJ57" s="1167"/>
    </row>
    <row r="58" spans="1:36" s="370" customFormat="1" ht="15" hidden="1">
      <c r="A58" s="1217" t="s">
        <v>526</v>
      </c>
      <c r="B58" s="1103">
        <f>C58+D58</f>
        <v>0</v>
      </c>
      <c r="C58" s="1104"/>
      <c r="D58" s="1104"/>
      <c r="E58" s="1105"/>
      <c r="F58" s="1218">
        <f>IF(E58=0,0,ROUND(D58/E58/12*1000,0))</f>
        <v>0</v>
      </c>
      <c r="G58" s="1103">
        <f>H58+I58</f>
        <v>0</v>
      </c>
      <c r="H58" s="1104"/>
      <c r="I58" s="1104"/>
      <c r="J58" s="1105"/>
      <c r="K58" s="1218">
        <f>IF(J58=0,0,ROUND(I58/J58/12*1000,0))</f>
        <v>0</v>
      </c>
      <c r="L58" s="1103"/>
      <c r="M58" s="1107"/>
      <c r="N58" s="1108"/>
      <c r="O58" s="1103"/>
      <c r="P58" s="1107"/>
      <c r="Q58" s="1108"/>
      <c r="R58" s="1109"/>
      <c r="S58" s="1184"/>
      <c r="T58" s="1184"/>
      <c r="U58" s="1212"/>
      <c r="V58" s="1106"/>
      <c r="W58" s="1103"/>
      <c r="X58" s="1107"/>
      <c r="Y58" s="1108"/>
      <c r="Z58" s="1103"/>
      <c r="AA58" s="1107"/>
      <c r="AB58" s="1108"/>
      <c r="AC58" s="1109"/>
      <c r="AD58" s="1103"/>
      <c r="AE58" s="1107"/>
      <c r="AF58" s="1108"/>
      <c r="AG58" s="1103"/>
      <c r="AH58" s="1107"/>
      <c r="AI58" s="1108"/>
      <c r="AJ58" s="1110"/>
    </row>
    <row r="59" spans="1:37" ht="15" hidden="1">
      <c r="A59" s="1213" t="s">
        <v>523</v>
      </c>
      <c r="B59" s="1112"/>
      <c r="C59" s="1113"/>
      <c r="D59" s="1113"/>
      <c r="E59" s="1114"/>
      <c r="F59" s="1123"/>
      <c r="G59" s="1112"/>
      <c r="H59" s="1113"/>
      <c r="I59" s="1113"/>
      <c r="J59" s="1114"/>
      <c r="K59" s="1123"/>
      <c r="L59" s="1112"/>
      <c r="M59" s="1116"/>
      <c r="N59" s="1117"/>
      <c r="O59" s="1112"/>
      <c r="P59" s="1116"/>
      <c r="Q59" s="1117"/>
      <c r="R59" s="1118"/>
      <c r="S59" s="1116"/>
      <c r="T59" s="1116"/>
      <c r="U59" s="1214"/>
      <c r="V59" s="1115"/>
      <c r="W59" s="1112"/>
      <c r="X59" s="1116"/>
      <c r="Y59" s="1117"/>
      <c r="Z59" s="1112"/>
      <c r="AA59" s="1116"/>
      <c r="AB59" s="1117"/>
      <c r="AC59" s="1118"/>
      <c r="AD59" s="1112"/>
      <c r="AE59" s="1116"/>
      <c r="AF59" s="1117"/>
      <c r="AG59" s="1112"/>
      <c r="AH59" s="1116"/>
      <c r="AI59" s="1117"/>
      <c r="AJ59" s="1119"/>
      <c r="AK59" s="107"/>
    </row>
    <row r="60" spans="1:37" ht="15" hidden="1">
      <c r="A60" s="1213" t="s">
        <v>524</v>
      </c>
      <c r="B60" s="1112"/>
      <c r="C60" s="1113"/>
      <c r="D60" s="1113"/>
      <c r="E60" s="1114"/>
      <c r="F60" s="1123">
        <f>IF(E60=0,0,ROUND(D60/E60/12*1000,0))</f>
        <v>0</v>
      </c>
      <c r="G60" s="1112"/>
      <c r="H60" s="1113"/>
      <c r="I60" s="1113"/>
      <c r="J60" s="1114"/>
      <c r="K60" s="1123">
        <f>IF(J60=0,0,ROUND(I60/J60/12*1000,0))</f>
        <v>0</v>
      </c>
      <c r="L60" s="1112"/>
      <c r="M60" s="1116"/>
      <c r="N60" s="1117"/>
      <c r="O60" s="1112"/>
      <c r="P60" s="1116"/>
      <c r="Q60" s="1117"/>
      <c r="R60" s="1118"/>
      <c r="S60" s="1116"/>
      <c r="T60" s="1116"/>
      <c r="U60" s="1214"/>
      <c r="V60" s="1123"/>
      <c r="W60" s="1112"/>
      <c r="X60" s="1116"/>
      <c r="Y60" s="1117"/>
      <c r="Z60" s="1112"/>
      <c r="AA60" s="1116"/>
      <c r="AB60" s="1117"/>
      <c r="AC60" s="1118"/>
      <c r="AD60" s="1112"/>
      <c r="AE60" s="1116"/>
      <c r="AF60" s="1117"/>
      <c r="AG60" s="1112"/>
      <c r="AH60" s="1116"/>
      <c r="AI60" s="1117"/>
      <c r="AJ60" s="1119"/>
      <c r="AK60" s="107"/>
    </row>
    <row r="61" spans="1:37" ht="15.75" hidden="1" thickBot="1">
      <c r="A61" s="1215" t="s">
        <v>525</v>
      </c>
      <c r="B61" s="1160"/>
      <c r="C61" s="1161"/>
      <c r="D61" s="1161"/>
      <c r="E61" s="1172"/>
      <c r="F61" s="1133">
        <f>IF(E61=0,0,ROUND(D61/E61/12*1000,0))</f>
        <v>0</v>
      </c>
      <c r="G61" s="1160"/>
      <c r="H61" s="1161"/>
      <c r="I61" s="1161"/>
      <c r="J61" s="1172"/>
      <c r="K61" s="1133">
        <f>IF(J61=0,0,ROUND(I61/J61/12*1000,0))</f>
        <v>0</v>
      </c>
      <c r="L61" s="1160"/>
      <c r="M61" s="1173"/>
      <c r="N61" s="1174"/>
      <c r="O61" s="1160"/>
      <c r="P61" s="1173"/>
      <c r="Q61" s="1174"/>
      <c r="R61" s="1166"/>
      <c r="S61" s="1173"/>
      <c r="T61" s="1173"/>
      <c r="U61" s="1216"/>
      <c r="V61" s="1133">
        <f>IF(U61=0,0,ROUND(T61/U61/12*1000,0))</f>
        <v>0</v>
      </c>
      <c r="W61" s="1160"/>
      <c r="X61" s="1173"/>
      <c r="Y61" s="1174"/>
      <c r="Z61" s="1160"/>
      <c r="AA61" s="1173"/>
      <c r="AB61" s="1174"/>
      <c r="AC61" s="1166"/>
      <c r="AD61" s="1160"/>
      <c r="AE61" s="1173"/>
      <c r="AF61" s="1174"/>
      <c r="AG61" s="1160"/>
      <c r="AH61" s="1173"/>
      <c r="AI61" s="1174"/>
      <c r="AJ61" s="1167"/>
      <c r="AK61" s="107"/>
    </row>
    <row r="62" spans="1:37" ht="18" customHeight="1">
      <c r="A62" s="1219" t="s">
        <v>504</v>
      </c>
      <c r="B62" s="1150"/>
      <c r="C62" s="1182"/>
      <c r="D62" s="1182"/>
      <c r="E62" s="1183"/>
      <c r="F62" s="1153"/>
      <c r="G62" s="1150"/>
      <c r="H62" s="1182"/>
      <c r="I62" s="1182"/>
      <c r="J62" s="1183"/>
      <c r="K62" s="1153"/>
      <c r="L62" s="1150"/>
      <c r="M62" s="1184"/>
      <c r="N62" s="1185"/>
      <c r="O62" s="1150"/>
      <c r="P62" s="1184"/>
      <c r="Q62" s="1185"/>
      <c r="R62" s="1158"/>
      <c r="S62" s="1184"/>
      <c r="T62" s="1184"/>
      <c r="U62" s="1212"/>
      <c r="V62" s="1153"/>
      <c r="W62" s="1150"/>
      <c r="X62" s="1184"/>
      <c r="Y62" s="1185"/>
      <c r="Z62" s="1150"/>
      <c r="AA62" s="1184"/>
      <c r="AB62" s="1185"/>
      <c r="AC62" s="1158"/>
      <c r="AD62" s="1150"/>
      <c r="AE62" s="1184"/>
      <c r="AF62" s="1185"/>
      <c r="AG62" s="1150"/>
      <c r="AH62" s="1184"/>
      <c r="AI62" s="1185"/>
      <c r="AJ62" s="1159"/>
      <c r="AK62" s="107"/>
    </row>
    <row r="63" spans="1:36" s="371" customFormat="1" ht="18" customHeight="1">
      <c r="A63" s="1111" t="s">
        <v>505</v>
      </c>
      <c r="B63" s="1120">
        <f>C63+D63</f>
        <v>0</v>
      </c>
      <c r="C63" s="1121"/>
      <c r="D63" s="1121"/>
      <c r="E63" s="1122"/>
      <c r="F63" s="1123">
        <f>IF(E63=0,0,ROUND(D63/E63/12*1000,0))</f>
        <v>0</v>
      </c>
      <c r="G63" s="1120">
        <f>H63+I63</f>
        <v>0</v>
      </c>
      <c r="H63" s="1121"/>
      <c r="I63" s="1121"/>
      <c r="J63" s="1122"/>
      <c r="K63" s="1123">
        <f>IF(J63=0,0,ROUND(I63/J63/12*1000,0))</f>
        <v>0</v>
      </c>
      <c r="L63" s="1124"/>
      <c r="M63" s="1125"/>
      <c r="N63" s="1126"/>
      <c r="O63" s="1124"/>
      <c r="P63" s="1125"/>
      <c r="Q63" s="1126"/>
      <c r="R63" s="1120">
        <f>S63+T63</f>
        <v>0</v>
      </c>
      <c r="S63" s="1121"/>
      <c r="T63" s="1121"/>
      <c r="U63" s="1122"/>
      <c r="V63" s="1123">
        <f>IF(U63=0,0,ROUND(T63/U63/12*1000,0))</f>
        <v>0</v>
      </c>
      <c r="W63" s="1124"/>
      <c r="X63" s="1125"/>
      <c r="Y63" s="1126"/>
      <c r="Z63" s="1124"/>
      <c r="AA63" s="1125"/>
      <c r="AB63" s="1126"/>
      <c r="AC63" s="1220"/>
      <c r="AD63" s="1124"/>
      <c r="AE63" s="1125"/>
      <c r="AF63" s="1126"/>
      <c r="AG63" s="1124"/>
      <c r="AH63" s="1125"/>
      <c r="AI63" s="1126"/>
      <c r="AJ63" s="1128"/>
    </row>
    <row r="64" spans="1:37" s="373" customFormat="1" ht="18" customHeight="1" thickBot="1">
      <c r="A64" s="1221"/>
      <c r="B64" s="1222"/>
      <c r="C64" s="1223"/>
      <c r="D64" s="1223"/>
      <c r="E64" s="1224"/>
      <c r="F64" s="1225"/>
      <c r="G64" s="1222"/>
      <c r="H64" s="1223"/>
      <c r="I64" s="1223"/>
      <c r="J64" s="1224"/>
      <c r="K64" s="1225"/>
      <c r="L64" s="1222"/>
      <c r="M64" s="1226"/>
      <c r="N64" s="1227"/>
      <c r="O64" s="1222"/>
      <c r="P64" s="1226"/>
      <c r="Q64" s="1227"/>
      <c r="R64" s="1222"/>
      <c r="S64" s="1223"/>
      <c r="T64" s="1223"/>
      <c r="U64" s="1224"/>
      <c r="V64" s="1225"/>
      <c r="W64" s="1222"/>
      <c r="X64" s="1226"/>
      <c r="Y64" s="1227"/>
      <c r="Z64" s="1222"/>
      <c r="AA64" s="1226"/>
      <c r="AB64" s="1227"/>
      <c r="AC64" s="1228"/>
      <c r="AD64" s="1222"/>
      <c r="AE64" s="1226"/>
      <c r="AF64" s="1227"/>
      <c r="AG64" s="1222"/>
      <c r="AH64" s="1226"/>
      <c r="AI64" s="1227"/>
      <c r="AJ64" s="1229"/>
      <c r="AK64" s="372"/>
    </row>
    <row r="65" spans="1:37" s="373" customFormat="1" ht="18" customHeight="1" thickTop="1">
      <c r="A65" s="1230" t="s">
        <v>527</v>
      </c>
      <c r="B65" s="1231"/>
      <c r="C65" s="1231"/>
      <c r="D65" s="1231"/>
      <c r="E65" s="1232"/>
      <c r="F65" s="1233"/>
      <c r="G65" s="1231"/>
      <c r="H65" s="1231"/>
      <c r="I65" s="1231"/>
      <c r="J65" s="1232"/>
      <c r="K65" s="1233"/>
      <c r="L65" s="1234"/>
      <c r="M65" s="1235"/>
      <c r="N65" s="1236"/>
      <c r="O65" s="1234"/>
      <c r="P65" s="1235"/>
      <c r="Q65" s="1236"/>
      <c r="R65" s="1231"/>
      <c r="S65" s="1231"/>
      <c r="T65" s="1231"/>
      <c r="U65" s="1232"/>
      <c r="V65" s="1233"/>
      <c r="W65" s="1234"/>
      <c r="X65" s="1235"/>
      <c r="Y65" s="1236"/>
      <c r="Z65" s="1234"/>
      <c r="AA65" s="1235"/>
      <c r="AB65" s="1236"/>
      <c r="AC65" s="1237"/>
      <c r="AD65" s="1234"/>
      <c r="AE65" s="1235"/>
      <c r="AF65" s="1236"/>
      <c r="AG65" s="1234"/>
      <c r="AH65" s="1235"/>
      <c r="AI65" s="1236"/>
      <c r="AJ65" s="1238"/>
      <c r="AK65" s="372"/>
    </row>
    <row r="66" spans="1:37" s="373" customFormat="1" ht="18" customHeight="1">
      <c r="A66" s="1239" t="s">
        <v>528</v>
      </c>
      <c r="B66" s="1140">
        <f>IF(B11+B51=C66+D66,B11+B51,"chyba")</f>
        <v>22629055</v>
      </c>
      <c r="C66" s="1140">
        <f>C11+C51</f>
        <v>350914</v>
      </c>
      <c r="D66" s="1140">
        <f>D11+D51</f>
        <v>22278141</v>
      </c>
      <c r="E66" s="1141">
        <f>E11+E51</f>
        <v>67773</v>
      </c>
      <c r="F66" s="1142">
        <f>IF(E66=0,0,ROUND(D66/E66/12*1000,0))</f>
        <v>27393</v>
      </c>
      <c r="G66" s="1140">
        <f>IF(G11+G51=H66+I66,G11+G51,"chyba")</f>
        <v>22666620</v>
      </c>
      <c r="H66" s="1140">
        <f>H11+H51</f>
        <v>388930</v>
      </c>
      <c r="I66" s="1140">
        <f>I11+I51</f>
        <v>22277690</v>
      </c>
      <c r="J66" s="1141">
        <f>J11+J51</f>
        <v>67742</v>
      </c>
      <c r="K66" s="1142">
        <f>IF(J66=0,0,ROUND(I66/J66/12*1000,0))</f>
        <v>27405</v>
      </c>
      <c r="L66" s="1139">
        <f aca="true" t="shared" si="14" ref="L66:Q66">L11+L51</f>
        <v>43986.248</v>
      </c>
      <c r="M66" s="1143">
        <f t="shared" si="14"/>
        <v>229403.624</v>
      </c>
      <c r="N66" s="1144">
        <f t="shared" si="14"/>
        <v>21</v>
      </c>
      <c r="O66" s="1139">
        <f t="shared" si="14"/>
        <v>21101</v>
      </c>
      <c r="P66" s="1143">
        <f t="shared" si="14"/>
        <v>70848</v>
      </c>
      <c r="Q66" s="1144">
        <f t="shared" si="14"/>
        <v>0</v>
      </c>
      <c r="R66" s="1140">
        <f>IF(R11+R51=S66+T66,R11+R51,"chyba")</f>
        <v>22768337.739</v>
      </c>
      <c r="S66" s="1140">
        <f>S11+S51</f>
        <v>357138.178</v>
      </c>
      <c r="T66" s="1140">
        <f>T11+T51</f>
        <v>22411199.561</v>
      </c>
      <c r="U66" s="1141">
        <f>U11+U51</f>
        <v>63971</v>
      </c>
      <c r="V66" s="1142">
        <f>IF(U66=0,0,ROUND(T66/U66/12*1000,0))</f>
        <v>29194</v>
      </c>
      <c r="W66" s="1139">
        <f aca="true" t="shared" si="15" ref="W66:AJ66">W11+W51</f>
        <v>17017.421</v>
      </c>
      <c r="X66" s="1143">
        <f t="shared" si="15"/>
        <v>197303.533</v>
      </c>
      <c r="Y66" s="1144">
        <f t="shared" si="15"/>
        <v>21</v>
      </c>
      <c r="Z66" s="1139">
        <f t="shared" si="15"/>
        <v>2515.046</v>
      </c>
      <c r="AA66" s="1143">
        <f t="shared" si="15"/>
        <v>13943.504</v>
      </c>
      <c r="AB66" s="1144">
        <f t="shared" si="15"/>
        <v>0</v>
      </c>
      <c r="AC66" s="1145">
        <f t="shared" si="15"/>
        <v>0</v>
      </c>
      <c r="AD66" s="1139">
        <f t="shared" si="15"/>
        <v>335.575</v>
      </c>
      <c r="AE66" s="1143">
        <f t="shared" si="15"/>
        <v>4364.736</v>
      </c>
      <c r="AF66" s="1144">
        <f t="shared" si="15"/>
        <v>0</v>
      </c>
      <c r="AG66" s="1139">
        <f t="shared" si="15"/>
        <v>0</v>
      </c>
      <c r="AH66" s="1143">
        <f t="shared" si="15"/>
        <v>0</v>
      </c>
      <c r="AI66" s="1144">
        <f t="shared" si="15"/>
        <v>0</v>
      </c>
      <c r="AJ66" s="1146">
        <f t="shared" si="15"/>
        <v>465.976</v>
      </c>
      <c r="AK66" s="372"/>
    </row>
    <row r="67" spans="1:37" s="373" customFormat="1" ht="18" customHeight="1" thickBot="1">
      <c r="A67" s="1240"/>
      <c r="B67" s="1241"/>
      <c r="C67" s="1241"/>
      <c r="D67" s="1241"/>
      <c r="E67" s="1242"/>
      <c r="F67" s="1243"/>
      <c r="G67" s="1241"/>
      <c r="H67" s="1241"/>
      <c r="I67" s="1241"/>
      <c r="J67" s="1242"/>
      <c r="K67" s="1243"/>
      <c r="L67" s="1244"/>
      <c r="M67" s="1245"/>
      <c r="N67" s="1246"/>
      <c r="O67" s="1244"/>
      <c r="P67" s="1245"/>
      <c r="Q67" s="1246"/>
      <c r="R67" s="1241"/>
      <c r="S67" s="1241"/>
      <c r="T67" s="1241"/>
      <c r="U67" s="1242"/>
      <c r="V67" s="1243"/>
      <c r="W67" s="1244"/>
      <c r="X67" s="1245"/>
      <c r="Y67" s="1246"/>
      <c r="Z67" s="1244"/>
      <c r="AA67" s="1245"/>
      <c r="AB67" s="1246"/>
      <c r="AC67" s="1247"/>
      <c r="AD67" s="1244"/>
      <c r="AE67" s="1245"/>
      <c r="AF67" s="1246"/>
      <c r="AG67" s="1244"/>
      <c r="AH67" s="1245"/>
      <c r="AI67" s="1246"/>
      <c r="AJ67" s="1248"/>
      <c r="AK67" s="372"/>
    </row>
    <row r="68" spans="2:23" ht="13.5" thickTop="1">
      <c r="B68" s="1249"/>
      <c r="C68" s="1249"/>
      <c r="D68" s="1249"/>
      <c r="E68" s="1249"/>
      <c r="F68" s="1249"/>
      <c r="G68" s="1250"/>
      <c r="H68" s="1250"/>
      <c r="I68" s="1250"/>
      <c r="J68" s="1250"/>
      <c r="K68" s="1250"/>
      <c r="L68" s="1251"/>
      <c r="M68" s="1250"/>
      <c r="N68" s="1250"/>
      <c r="O68" s="1250"/>
      <c r="P68" s="1250"/>
      <c r="Q68" s="1252"/>
      <c r="R68" s="1252"/>
      <c r="S68" s="1252"/>
      <c r="T68" s="1252"/>
      <c r="U68" s="372"/>
      <c r="W68" s="374"/>
    </row>
    <row r="69" spans="2:36" ht="18">
      <c r="B69" s="372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6"/>
      <c r="R69" s="390" t="s">
        <v>529</v>
      </c>
      <c r="S69" s="391"/>
      <c r="T69" s="391"/>
      <c r="U69" s="392"/>
      <c r="V69" s="393"/>
      <c r="W69" s="393"/>
      <c r="X69" s="393"/>
      <c r="Y69" s="390" t="s">
        <v>801</v>
      </c>
      <c r="Z69" s="393"/>
      <c r="AA69" s="393"/>
      <c r="AB69" s="393"/>
      <c r="AC69" s="393"/>
      <c r="AD69" s="393"/>
      <c r="AE69" s="393"/>
      <c r="AF69" s="393"/>
      <c r="AG69" s="393"/>
      <c r="AH69" s="390" t="s">
        <v>530</v>
      </c>
      <c r="AI69" s="393"/>
      <c r="AJ69" s="393"/>
    </row>
    <row r="70" spans="29:36" ht="15">
      <c r="AC70" s="375"/>
      <c r="AD70" s="376"/>
      <c r="AE70" s="375"/>
      <c r="AF70" s="375"/>
      <c r="AJ70" s="377"/>
    </row>
    <row r="71" spans="2:36" ht="15">
      <c r="B71" s="376"/>
      <c r="C71" s="375"/>
      <c r="D71" s="375"/>
      <c r="E71" s="376"/>
      <c r="F71" s="375"/>
      <c r="G71" s="375"/>
      <c r="H71" s="376"/>
      <c r="I71" s="375"/>
      <c r="J71" s="375"/>
      <c r="K71" s="376"/>
      <c r="L71" s="376"/>
      <c r="M71" s="376"/>
      <c r="N71" s="376"/>
      <c r="O71" s="376"/>
      <c r="P71" s="376"/>
      <c r="Q71" s="376"/>
      <c r="R71" s="375"/>
      <c r="S71" s="375"/>
      <c r="T71" s="376"/>
      <c r="U71" s="375"/>
      <c r="V71" s="375"/>
      <c r="W71" s="376"/>
      <c r="X71" s="375"/>
      <c r="Y71" s="375"/>
      <c r="Z71" s="376"/>
      <c r="AA71" s="376"/>
      <c r="AB71" s="376"/>
      <c r="AC71" s="375"/>
      <c r="AD71" s="376"/>
      <c r="AE71" s="375"/>
      <c r="AF71" s="375"/>
      <c r="AG71" s="375"/>
      <c r="AH71" s="375"/>
      <c r="AI71" s="375"/>
      <c r="AJ71" s="377"/>
    </row>
    <row r="72" spans="2:36" ht="15"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</row>
  </sheetData>
  <sheetProtection/>
  <mergeCells count="6">
    <mergeCell ref="Z3:AB3"/>
    <mergeCell ref="AG3:AI3"/>
    <mergeCell ref="B1:Q1"/>
    <mergeCell ref="W3:Y3"/>
    <mergeCell ref="O3:Q3"/>
    <mergeCell ref="L3:N3"/>
  </mergeCells>
  <printOptions horizontalCentered="1" verticalCentered="1"/>
  <pageMargins left="0.1968503937007874" right="0.1968503937007874" top="0.984251968503937" bottom="0.7874015748031497" header="0.7480314960629921" footer="0.3937007874015748"/>
  <pageSetup blackAndWhite="1" fitToWidth="2" horizontalDpi="600" verticalDpi="600" orientation="landscape" pageOrder="overThenDown" paperSize="9" scale="48" r:id="rId1"/>
  <headerFooter alignWithMargins="0">
    <oddHeader>&amp;L&amp;12Kapitola: 314 - Ministerstvo vnitra&amp;C&amp;"Arial CE,Tučné"&amp;20Rozbor zaměstnanosti a čerpání mzdových prostředků&amp;R&amp;"Arial CE,Tučné"&amp;16Tabulka č. 3
&amp;"Arial CE,Obyčejné"List č. &amp;P/&amp;N</oddHeader>
    <oddFooter>&amp;C&amp;16&amp;P+42&amp;14
&amp;10
</oddFoot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SheetLayoutView="75" workbookViewId="0" topLeftCell="E85">
      <selection activeCell="N106" sqref="N106"/>
    </sheetView>
  </sheetViews>
  <sheetFormatPr defaultColWidth="9.00390625" defaultRowHeight="12.75"/>
  <cols>
    <col min="1" max="1" width="3.875" style="39" customWidth="1"/>
    <col min="2" max="2" width="7.375" style="39" customWidth="1"/>
    <col min="3" max="3" width="6.75390625" style="39" customWidth="1"/>
    <col min="4" max="4" width="25.875" style="39" customWidth="1"/>
    <col min="5" max="5" width="10.75390625" style="39" customWidth="1"/>
    <col min="6" max="6" width="9.625" style="39" customWidth="1"/>
    <col min="7" max="7" width="10.25390625" style="39" customWidth="1"/>
    <col min="8" max="8" width="11.25390625" style="39" customWidth="1"/>
    <col min="9" max="9" width="11.00390625" style="39" customWidth="1"/>
    <col min="10" max="10" width="11.75390625" style="39" bestFit="1" customWidth="1"/>
    <col min="11" max="11" width="10.625" style="39" bestFit="1" customWidth="1"/>
    <col min="12" max="12" width="9.25390625" style="39" bestFit="1" customWidth="1"/>
    <col min="13" max="13" width="10.625" style="39" bestFit="1" customWidth="1"/>
    <col min="14" max="14" width="11.75390625" style="39" bestFit="1" customWidth="1"/>
    <col min="15" max="15" width="11.875" style="39" bestFit="1" customWidth="1"/>
    <col min="16" max="16" width="13.00390625" style="39" customWidth="1"/>
    <col min="17" max="16384" width="9.125" style="39" customWidth="1"/>
  </cols>
  <sheetData>
    <row r="1" s="1009" customFormat="1" ht="14.25">
      <c r="B1" s="1010" t="s">
        <v>845</v>
      </c>
    </row>
    <row r="2" spans="2:16" ht="15">
      <c r="B2" s="845"/>
      <c r="D2" s="846"/>
      <c r="P2" s="1011" t="s">
        <v>669</v>
      </c>
    </row>
    <row r="3" ht="12.75">
      <c r="M3" s="848"/>
    </row>
    <row r="4" spans="1:13" ht="15.75">
      <c r="A4" s="849"/>
      <c r="B4" s="850" t="s">
        <v>259</v>
      </c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2"/>
    </row>
    <row r="5" spans="1:13" ht="15.75">
      <c r="A5" s="849"/>
      <c r="B5" s="850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2"/>
    </row>
    <row r="6" spans="1:13" ht="15.75">
      <c r="A6" s="851"/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2"/>
    </row>
    <row r="7" spans="2:13" ht="15.75">
      <c r="B7" s="853" t="s">
        <v>260</v>
      </c>
      <c r="C7" s="854"/>
      <c r="D7" s="854"/>
      <c r="E7" s="854"/>
      <c r="F7" s="854"/>
      <c r="G7" s="854"/>
      <c r="H7" s="854"/>
      <c r="I7" s="854"/>
      <c r="J7" s="854"/>
      <c r="K7" s="854"/>
      <c r="L7" s="854"/>
      <c r="M7" s="854"/>
    </row>
    <row r="8" ht="13.5" thickBot="1">
      <c r="P8" s="855" t="s">
        <v>498</v>
      </c>
    </row>
    <row r="9" spans="2:16" ht="12.75">
      <c r="B9" s="856"/>
      <c r="C9" s="857"/>
      <c r="D9" s="858"/>
      <c r="E9" s="859" t="s">
        <v>54</v>
      </c>
      <c r="F9" s="859"/>
      <c r="G9" s="860"/>
      <c r="H9" s="861" t="s">
        <v>844</v>
      </c>
      <c r="I9" s="861"/>
      <c r="J9" s="862"/>
      <c r="K9" s="1358" t="s">
        <v>670</v>
      </c>
      <c r="L9" s="1359"/>
      <c r="M9" s="1360"/>
      <c r="N9" s="1392" t="s">
        <v>671</v>
      </c>
      <c r="O9" s="1393"/>
      <c r="P9" s="1394"/>
    </row>
    <row r="10" spans="2:16" ht="12.75">
      <c r="B10" s="863" t="s">
        <v>672</v>
      </c>
      <c r="C10" s="864" t="s">
        <v>674</v>
      </c>
      <c r="D10" s="865"/>
      <c r="E10" s="866" t="s">
        <v>675</v>
      </c>
      <c r="F10" s="866"/>
      <c r="G10" s="867"/>
      <c r="H10" s="868" t="s">
        <v>676</v>
      </c>
      <c r="I10" s="868"/>
      <c r="J10" s="869"/>
      <c r="K10" s="1395" t="s">
        <v>677</v>
      </c>
      <c r="L10" s="1396"/>
      <c r="M10" s="1397"/>
      <c r="N10" s="1398" t="s">
        <v>678</v>
      </c>
      <c r="O10" s="1399"/>
      <c r="P10" s="1400"/>
    </row>
    <row r="11" spans="2:16" ht="12.75">
      <c r="B11" s="870"/>
      <c r="C11" s="871"/>
      <c r="D11" s="872"/>
      <c r="E11" s="873" t="s">
        <v>679</v>
      </c>
      <c r="F11" s="874" t="s">
        <v>680</v>
      </c>
      <c r="G11" s="872"/>
      <c r="H11" s="875" t="s">
        <v>679</v>
      </c>
      <c r="I11" s="874" t="s">
        <v>680</v>
      </c>
      <c r="J11" s="872"/>
      <c r="K11" s="875" t="s">
        <v>679</v>
      </c>
      <c r="L11" s="874" t="s">
        <v>680</v>
      </c>
      <c r="M11" s="872"/>
      <c r="N11" s="875" t="s">
        <v>679</v>
      </c>
      <c r="O11" s="876" t="s">
        <v>680</v>
      </c>
      <c r="P11" s="872"/>
    </row>
    <row r="12" spans="2:16" ht="13.5" thickBot="1">
      <c r="B12" s="877"/>
      <c r="C12" s="878"/>
      <c r="D12" s="879"/>
      <c r="E12" s="880" t="s">
        <v>681</v>
      </c>
      <c r="F12" s="881" t="s">
        <v>681</v>
      </c>
      <c r="G12" s="879" t="s">
        <v>588</v>
      </c>
      <c r="H12" s="882" t="s">
        <v>681</v>
      </c>
      <c r="I12" s="881" t="s">
        <v>681</v>
      </c>
      <c r="J12" s="879" t="s">
        <v>588</v>
      </c>
      <c r="K12" s="882" t="s">
        <v>681</v>
      </c>
      <c r="L12" s="881" t="s">
        <v>681</v>
      </c>
      <c r="M12" s="879" t="s">
        <v>588</v>
      </c>
      <c r="N12" s="882" t="s">
        <v>681</v>
      </c>
      <c r="O12" s="881" t="s">
        <v>681</v>
      </c>
      <c r="P12" s="879" t="s">
        <v>588</v>
      </c>
    </row>
    <row r="13" spans="2:16" ht="13.5" thickBot="1">
      <c r="B13" s="877"/>
      <c r="C13" s="883"/>
      <c r="D13" s="884"/>
      <c r="E13" s="878">
        <v>1</v>
      </c>
      <c r="F13" s="876">
        <v>2</v>
      </c>
      <c r="G13" s="872">
        <v>3</v>
      </c>
      <c r="H13" s="882">
        <v>4</v>
      </c>
      <c r="I13" s="885">
        <v>5</v>
      </c>
      <c r="J13" s="879">
        <v>6</v>
      </c>
      <c r="K13" s="882">
        <v>7</v>
      </c>
      <c r="L13" s="885">
        <v>8</v>
      </c>
      <c r="M13" s="879">
        <v>9</v>
      </c>
      <c r="N13" s="882">
        <v>10</v>
      </c>
      <c r="O13" s="881">
        <v>11</v>
      </c>
      <c r="P13" s="879">
        <v>12</v>
      </c>
    </row>
    <row r="14" spans="2:16" ht="15" customHeight="1">
      <c r="B14" s="886" t="s">
        <v>682</v>
      </c>
      <c r="C14" s="887" t="s">
        <v>683</v>
      </c>
      <c r="D14" s="888"/>
      <c r="E14" s="889">
        <f>SUM(E15:E17)</f>
        <v>92737</v>
      </c>
      <c r="F14" s="890">
        <f>SUM(F15:F17)</f>
        <v>35236</v>
      </c>
      <c r="G14" s="891">
        <f aca="true" t="shared" si="0" ref="G14:G27">E14+F14</f>
        <v>127973</v>
      </c>
      <c r="H14" s="892">
        <f>SUM(H15:H17)</f>
        <v>42195.23101</v>
      </c>
      <c r="I14" s="890">
        <f>SUM(I15:I17)</f>
        <v>27609.4039</v>
      </c>
      <c r="J14" s="891">
        <f aca="true" t="shared" si="1" ref="J14:J27">H14+I14</f>
        <v>69804.63491000001</v>
      </c>
      <c r="K14" s="892">
        <f>SUM(K15:K17)</f>
        <v>0</v>
      </c>
      <c r="L14" s="890">
        <f>SUM(L15:L17)</f>
        <v>0</v>
      </c>
      <c r="M14" s="891">
        <f aca="true" t="shared" si="2" ref="M14:M27">K14+L14</f>
        <v>0</v>
      </c>
      <c r="N14" s="892">
        <f>SUM(N15:N17)</f>
        <v>5346.58162</v>
      </c>
      <c r="O14" s="890">
        <f>SUM(O15:O17)</f>
        <v>7405.9465</v>
      </c>
      <c r="P14" s="893">
        <f aca="true" t="shared" si="3" ref="P14:P27">N14+O14</f>
        <v>12752.528119999999</v>
      </c>
    </row>
    <row r="15" spans="2:16" ht="15" customHeight="1">
      <c r="B15" s="886" t="s">
        <v>684</v>
      </c>
      <c r="C15" s="894" t="s">
        <v>685</v>
      </c>
      <c r="D15" s="888" t="s">
        <v>686</v>
      </c>
      <c r="E15" s="895">
        <v>80678</v>
      </c>
      <c r="F15" s="896">
        <v>35236</v>
      </c>
      <c r="G15" s="897">
        <f t="shared" si="0"/>
        <v>115914</v>
      </c>
      <c r="H15" s="895">
        <f>30801.82501-648</f>
        <v>30153.82501</v>
      </c>
      <c r="I15" s="896">
        <f>26961.4039+648</f>
        <v>27609.4039</v>
      </c>
      <c r="J15" s="897">
        <f t="shared" si="1"/>
        <v>57763.228910000005</v>
      </c>
      <c r="K15" s="895"/>
      <c r="L15" s="896"/>
      <c r="M15" s="897">
        <f t="shared" si="2"/>
        <v>0</v>
      </c>
      <c r="N15" s="895">
        <v>5346.58162</v>
      </c>
      <c r="O15" s="896">
        <v>7405.9465</v>
      </c>
      <c r="P15" s="897">
        <f t="shared" si="3"/>
        <v>12752.528119999999</v>
      </c>
    </row>
    <row r="16" spans="2:16" ht="15" customHeight="1">
      <c r="B16" s="898" t="s">
        <v>687</v>
      </c>
      <c r="C16" s="894"/>
      <c r="D16" s="888" t="s">
        <v>688</v>
      </c>
      <c r="E16" s="899"/>
      <c r="F16" s="900"/>
      <c r="G16" s="893">
        <f t="shared" si="0"/>
        <v>0</v>
      </c>
      <c r="H16" s="899"/>
      <c r="I16" s="900"/>
      <c r="J16" s="893">
        <f t="shared" si="1"/>
        <v>0</v>
      </c>
      <c r="K16" s="899"/>
      <c r="L16" s="900"/>
      <c r="M16" s="893">
        <f t="shared" si="2"/>
        <v>0</v>
      </c>
      <c r="N16" s="899"/>
      <c r="O16" s="900"/>
      <c r="P16" s="893">
        <f t="shared" si="3"/>
        <v>0</v>
      </c>
    </row>
    <row r="17" spans="2:16" ht="15" customHeight="1" thickBot="1">
      <c r="B17" s="901" t="s">
        <v>689</v>
      </c>
      <c r="C17" s="902"/>
      <c r="D17" s="903" t="s">
        <v>690</v>
      </c>
      <c r="E17" s="904">
        <v>12059</v>
      </c>
      <c r="F17" s="905"/>
      <c r="G17" s="906">
        <f t="shared" si="0"/>
        <v>12059</v>
      </c>
      <c r="H17" s="904">
        <v>12041.406</v>
      </c>
      <c r="I17" s="905"/>
      <c r="J17" s="906">
        <f t="shared" si="1"/>
        <v>12041.406</v>
      </c>
      <c r="K17" s="904"/>
      <c r="L17" s="905"/>
      <c r="M17" s="906">
        <f t="shared" si="2"/>
        <v>0</v>
      </c>
      <c r="N17" s="904"/>
      <c r="O17" s="905"/>
      <c r="P17" s="906">
        <f t="shared" si="3"/>
        <v>0</v>
      </c>
    </row>
    <row r="18" spans="2:16" ht="15" customHeight="1">
      <c r="B18" s="886" t="s">
        <v>691</v>
      </c>
      <c r="C18" s="887" t="s">
        <v>692</v>
      </c>
      <c r="D18" s="888"/>
      <c r="E18" s="889">
        <f>SUM(E19:E20)</f>
        <v>0</v>
      </c>
      <c r="F18" s="890">
        <f>SUM(F19:F20)</f>
        <v>0</v>
      </c>
      <c r="G18" s="891">
        <f t="shared" si="0"/>
        <v>0</v>
      </c>
      <c r="H18" s="892">
        <f>SUM(H19:H20)</f>
        <v>0</v>
      </c>
      <c r="I18" s="890">
        <f>SUM(I19:I20)</f>
        <v>0</v>
      </c>
      <c r="J18" s="891">
        <f t="shared" si="1"/>
        <v>0</v>
      </c>
      <c r="K18" s="892">
        <f>SUM(K19:K20)</f>
        <v>0</v>
      </c>
      <c r="L18" s="890">
        <f>SUM(L19:L20)</f>
        <v>0</v>
      </c>
      <c r="M18" s="891">
        <f t="shared" si="2"/>
        <v>0</v>
      </c>
      <c r="N18" s="892">
        <f>SUM(N19:N20)</f>
        <v>0</v>
      </c>
      <c r="O18" s="890">
        <f>SUM(O19:O20)</f>
        <v>0</v>
      </c>
      <c r="P18" s="893">
        <f t="shared" si="3"/>
        <v>0</v>
      </c>
    </row>
    <row r="19" spans="2:16" ht="15" customHeight="1">
      <c r="B19" s="886" t="s">
        <v>693</v>
      </c>
      <c r="C19" s="894" t="s">
        <v>685</v>
      </c>
      <c r="D19" s="888" t="s">
        <v>694</v>
      </c>
      <c r="E19" s="895"/>
      <c r="F19" s="896"/>
      <c r="G19" s="897">
        <f t="shared" si="0"/>
        <v>0</v>
      </c>
      <c r="H19" s="895"/>
      <c r="I19" s="896"/>
      <c r="J19" s="897">
        <f t="shared" si="1"/>
        <v>0</v>
      </c>
      <c r="K19" s="895"/>
      <c r="L19" s="896"/>
      <c r="M19" s="897">
        <f t="shared" si="2"/>
        <v>0</v>
      </c>
      <c r="N19" s="895"/>
      <c r="O19" s="896"/>
      <c r="P19" s="897">
        <f t="shared" si="3"/>
        <v>0</v>
      </c>
    </row>
    <row r="20" spans="2:16" ht="15" customHeight="1" thickBot="1">
      <c r="B20" s="907" t="s">
        <v>695</v>
      </c>
      <c r="C20" s="894"/>
      <c r="D20" s="903" t="s">
        <v>688</v>
      </c>
      <c r="E20" s="899"/>
      <c r="F20" s="900"/>
      <c r="G20" s="893">
        <f t="shared" si="0"/>
        <v>0</v>
      </c>
      <c r="H20" s="899"/>
      <c r="I20" s="900"/>
      <c r="J20" s="893">
        <f t="shared" si="1"/>
        <v>0</v>
      </c>
      <c r="K20" s="899"/>
      <c r="L20" s="900"/>
      <c r="M20" s="893">
        <f t="shared" si="2"/>
        <v>0</v>
      </c>
      <c r="N20" s="899"/>
      <c r="O20" s="900"/>
      <c r="P20" s="893">
        <f t="shared" si="3"/>
        <v>0</v>
      </c>
    </row>
    <row r="21" spans="2:16" ht="15" customHeight="1" thickBot="1">
      <c r="B21" s="908" t="s">
        <v>696</v>
      </c>
      <c r="C21" s="909" t="s">
        <v>697</v>
      </c>
      <c r="D21" s="910"/>
      <c r="E21" s="911">
        <v>134331</v>
      </c>
      <c r="F21" s="912"/>
      <c r="G21" s="913">
        <f t="shared" si="0"/>
        <v>134331</v>
      </c>
      <c r="H21" s="912">
        <v>134893.80213</v>
      </c>
      <c r="I21" s="914"/>
      <c r="J21" s="913">
        <f t="shared" si="1"/>
        <v>134893.80213</v>
      </c>
      <c r="K21" s="912"/>
      <c r="L21" s="914"/>
      <c r="M21" s="913">
        <f t="shared" si="2"/>
        <v>0</v>
      </c>
      <c r="N21" s="912">
        <v>13502.756</v>
      </c>
      <c r="O21" s="914"/>
      <c r="P21" s="913">
        <f t="shared" si="3"/>
        <v>13502.756</v>
      </c>
    </row>
    <row r="22" spans="2:16" ht="15" customHeight="1" thickBot="1">
      <c r="B22" s="856" t="s">
        <v>698</v>
      </c>
      <c r="C22" s="909" t="s">
        <v>699</v>
      </c>
      <c r="D22" s="915"/>
      <c r="E22" s="916">
        <v>125011</v>
      </c>
      <c r="F22" s="917"/>
      <c r="G22" s="918">
        <f t="shared" si="0"/>
        <v>125011</v>
      </c>
      <c r="H22" s="919">
        <v>124556.437</v>
      </c>
      <c r="I22" s="917"/>
      <c r="J22" s="918">
        <f t="shared" si="1"/>
        <v>124556.437</v>
      </c>
      <c r="K22" s="919"/>
      <c r="L22" s="917"/>
      <c r="M22" s="918">
        <f t="shared" si="2"/>
        <v>0</v>
      </c>
      <c r="N22" s="919">
        <v>20866.015</v>
      </c>
      <c r="O22" s="917"/>
      <c r="P22" s="918">
        <f t="shared" si="3"/>
        <v>20866.015</v>
      </c>
    </row>
    <row r="23" spans="2:16" ht="15" customHeight="1">
      <c r="B23" s="920" t="s">
        <v>700</v>
      </c>
      <c r="C23" s="921" t="s">
        <v>701</v>
      </c>
      <c r="D23" s="888"/>
      <c r="E23" s="922">
        <f>SUM(E24:E25)</f>
        <v>151863</v>
      </c>
      <c r="F23" s="890">
        <f>SUM(F24:F25)</f>
        <v>0</v>
      </c>
      <c r="G23" s="891">
        <f t="shared" si="0"/>
        <v>151863</v>
      </c>
      <c r="H23" s="923">
        <f>SUM(H24:H25)</f>
        <v>146160.561</v>
      </c>
      <c r="I23" s="890">
        <f>SUM(I24:I25)</f>
        <v>0</v>
      </c>
      <c r="J23" s="891">
        <f t="shared" si="1"/>
        <v>146160.561</v>
      </c>
      <c r="K23" s="923">
        <f>SUM(K24:K25)</f>
        <v>0</v>
      </c>
      <c r="L23" s="890">
        <f>SUM(L24:L25)</f>
        <v>0</v>
      </c>
      <c r="M23" s="891">
        <f t="shared" si="2"/>
        <v>0</v>
      </c>
      <c r="N23" s="923">
        <f>SUM(N24:N25)</f>
        <v>18335.811</v>
      </c>
      <c r="O23" s="890">
        <f>SUM(O24:O25)</f>
        <v>0</v>
      </c>
      <c r="P23" s="891">
        <f t="shared" si="3"/>
        <v>18335.811</v>
      </c>
    </row>
    <row r="24" spans="2:16" ht="15" customHeight="1">
      <c r="B24" s="924" t="s">
        <v>702</v>
      </c>
      <c r="C24" s="1403" t="s">
        <v>703</v>
      </c>
      <c r="D24" s="1404"/>
      <c r="E24" s="895">
        <v>141029</v>
      </c>
      <c r="F24" s="896"/>
      <c r="G24" s="925">
        <f t="shared" si="0"/>
        <v>141029</v>
      </c>
      <c r="H24" s="926">
        <v>135326.561</v>
      </c>
      <c r="I24" s="896"/>
      <c r="J24" s="925">
        <f t="shared" si="1"/>
        <v>135326.561</v>
      </c>
      <c r="K24" s="926"/>
      <c r="L24" s="896"/>
      <c r="M24" s="925">
        <f t="shared" si="2"/>
        <v>0</v>
      </c>
      <c r="N24" s="926">
        <v>18335.811</v>
      </c>
      <c r="O24" s="896"/>
      <c r="P24" s="925">
        <f t="shared" si="3"/>
        <v>18335.811</v>
      </c>
    </row>
    <row r="25" spans="2:16" ht="15" customHeight="1" thickBot="1">
      <c r="B25" s="927" t="s">
        <v>704</v>
      </c>
      <c r="C25" s="1405" t="s">
        <v>705</v>
      </c>
      <c r="D25" s="1406"/>
      <c r="E25" s="904">
        <v>10834</v>
      </c>
      <c r="F25" s="905"/>
      <c r="G25" s="906">
        <f t="shared" si="0"/>
        <v>10834</v>
      </c>
      <c r="H25" s="928">
        <v>10834</v>
      </c>
      <c r="I25" s="905"/>
      <c r="J25" s="906">
        <f t="shared" si="1"/>
        <v>10834</v>
      </c>
      <c r="K25" s="928"/>
      <c r="L25" s="905"/>
      <c r="M25" s="906">
        <f t="shared" si="2"/>
        <v>0</v>
      </c>
      <c r="N25" s="928"/>
      <c r="O25" s="905"/>
      <c r="P25" s="906">
        <f t="shared" si="3"/>
        <v>0</v>
      </c>
    </row>
    <row r="26" spans="2:16" ht="15" customHeight="1" thickBot="1">
      <c r="B26" s="927" t="s">
        <v>706</v>
      </c>
      <c r="C26" s="1387" t="s">
        <v>707</v>
      </c>
      <c r="D26" s="1388"/>
      <c r="E26" s="904"/>
      <c r="F26" s="905"/>
      <c r="G26" s="906">
        <f t="shared" si="0"/>
        <v>0</v>
      </c>
      <c r="H26" s="928"/>
      <c r="I26" s="905"/>
      <c r="J26" s="906">
        <f t="shared" si="1"/>
        <v>0</v>
      </c>
      <c r="K26" s="928"/>
      <c r="L26" s="905"/>
      <c r="M26" s="906">
        <f t="shared" si="2"/>
        <v>0</v>
      </c>
      <c r="N26" s="928"/>
      <c r="O26" s="905"/>
      <c r="P26" s="906">
        <f t="shared" si="3"/>
        <v>0</v>
      </c>
    </row>
    <row r="27" spans="2:16" ht="18.75" customHeight="1">
      <c r="B27" s="929" t="s">
        <v>708</v>
      </c>
      <c r="C27" s="1389" t="s">
        <v>709</v>
      </c>
      <c r="D27" s="1390"/>
      <c r="E27" s="930">
        <f>E14+E18+E21+E22+E23+E26</f>
        <v>503942</v>
      </c>
      <c r="F27" s="931">
        <f>F14+F18+F21+F22+F23+F26</f>
        <v>35236</v>
      </c>
      <c r="G27" s="932">
        <f t="shared" si="0"/>
        <v>539178</v>
      </c>
      <c r="H27" s="933">
        <f>H14+H18+H21+H22+H23+H26</f>
        <v>447806.03114</v>
      </c>
      <c r="I27" s="934">
        <f>I14+I18+I21+I22+I23+I26</f>
        <v>27609.4039</v>
      </c>
      <c r="J27" s="918">
        <f t="shared" si="1"/>
        <v>475415.43503999995</v>
      </c>
      <c r="K27" s="933">
        <f>K14+K18+K21+K22+K23+K26</f>
        <v>0</v>
      </c>
      <c r="L27" s="934">
        <f>L14+L18+L21+L22+L23+L26</f>
        <v>0</v>
      </c>
      <c r="M27" s="918">
        <f t="shared" si="2"/>
        <v>0</v>
      </c>
      <c r="N27" s="933">
        <f>N14+N18+N21+N22+N23+N26</f>
        <v>58051.16362</v>
      </c>
      <c r="O27" s="934">
        <f>O14+O18+O21+O22+O23+O26</f>
        <v>7405.9465</v>
      </c>
      <c r="P27" s="918">
        <f t="shared" si="3"/>
        <v>65457.11012</v>
      </c>
    </row>
    <row r="28" spans="2:16" s="1016" customFormat="1" ht="17.25" customHeight="1">
      <c r="B28" s="1012"/>
      <c r="C28" s="1020" t="s">
        <v>556</v>
      </c>
      <c r="D28" s="1021" t="s">
        <v>710</v>
      </c>
      <c r="E28" s="1013">
        <v>2473</v>
      </c>
      <c r="F28" s="1022" t="s">
        <v>711</v>
      </c>
      <c r="G28" s="1023" t="s">
        <v>711</v>
      </c>
      <c r="H28" s="1013">
        <v>2048.812</v>
      </c>
      <c r="I28" s="1022" t="s">
        <v>711</v>
      </c>
      <c r="J28" s="1023" t="s">
        <v>711</v>
      </c>
      <c r="K28" s="1014"/>
      <c r="L28" s="1022" t="s">
        <v>711</v>
      </c>
      <c r="M28" s="1023" t="s">
        <v>711</v>
      </c>
      <c r="N28" s="1015">
        <v>335</v>
      </c>
      <c r="O28" s="1022" t="s">
        <v>711</v>
      </c>
      <c r="P28" s="1023" t="s">
        <v>711</v>
      </c>
    </row>
    <row r="29" spans="2:16" s="1016" customFormat="1" ht="12.75">
      <c r="B29" s="1012"/>
      <c r="C29" s="1024"/>
      <c r="D29" s="1025" t="s">
        <v>712</v>
      </c>
      <c r="E29" s="1017">
        <v>3787</v>
      </c>
      <c r="F29" s="1026" t="s">
        <v>711</v>
      </c>
      <c r="G29" s="1027" t="s">
        <v>711</v>
      </c>
      <c r="H29" s="1017">
        <v>3570.262</v>
      </c>
      <c r="I29" s="1026" t="s">
        <v>711</v>
      </c>
      <c r="J29" s="1027" t="s">
        <v>711</v>
      </c>
      <c r="K29" s="1017"/>
      <c r="L29" s="1026" t="s">
        <v>711</v>
      </c>
      <c r="M29" s="1027" t="s">
        <v>711</v>
      </c>
      <c r="N29" s="1017">
        <v>158.865</v>
      </c>
      <c r="O29" s="1026" t="s">
        <v>711</v>
      </c>
      <c r="P29" s="1027" t="s">
        <v>711</v>
      </c>
    </row>
    <row r="30" spans="2:16" s="1016" customFormat="1" ht="12.75">
      <c r="B30" s="1012"/>
      <c r="C30" s="1024"/>
      <c r="D30" s="1025" t="s">
        <v>713</v>
      </c>
      <c r="E30" s="1017">
        <v>891</v>
      </c>
      <c r="F30" s="1026" t="s">
        <v>711</v>
      </c>
      <c r="G30" s="1027" t="s">
        <v>711</v>
      </c>
      <c r="H30" s="1017">
        <v>800.72899</v>
      </c>
      <c r="I30" s="1026" t="s">
        <v>711</v>
      </c>
      <c r="J30" s="1027" t="s">
        <v>711</v>
      </c>
      <c r="K30" s="1017"/>
      <c r="L30" s="1026" t="s">
        <v>711</v>
      </c>
      <c r="M30" s="1027" t="s">
        <v>711</v>
      </c>
      <c r="N30" s="1017">
        <v>177.77</v>
      </c>
      <c r="O30" s="1026" t="s">
        <v>711</v>
      </c>
      <c r="P30" s="1027" t="s">
        <v>711</v>
      </c>
    </row>
    <row r="31" spans="2:16" s="1016" customFormat="1" ht="13.5" thickBot="1">
      <c r="B31" s="1018"/>
      <c r="C31" s="1028"/>
      <c r="D31" s="1028" t="s">
        <v>714</v>
      </c>
      <c r="E31" s="1019">
        <v>28</v>
      </c>
      <c r="F31" s="1029" t="s">
        <v>711</v>
      </c>
      <c r="G31" s="1030" t="s">
        <v>711</v>
      </c>
      <c r="H31" s="1019">
        <v>20.428</v>
      </c>
      <c r="I31" s="1029" t="s">
        <v>711</v>
      </c>
      <c r="J31" s="1030" t="s">
        <v>711</v>
      </c>
      <c r="K31" s="1019"/>
      <c r="L31" s="1029" t="s">
        <v>711</v>
      </c>
      <c r="M31" s="1030" t="s">
        <v>711</v>
      </c>
      <c r="N31" s="1019">
        <v>4.125</v>
      </c>
      <c r="O31" s="1029" t="s">
        <v>711</v>
      </c>
      <c r="P31" s="1030" t="s">
        <v>711</v>
      </c>
    </row>
    <row r="32" spans="2:16" ht="12.75">
      <c r="B32" s="937"/>
      <c r="E32" s="938"/>
      <c r="F32" s="939"/>
      <c r="G32" s="940"/>
      <c r="H32" s="941"/>
      <c r="I32" s="940"/>
      <c r="J32" s="940"/>
      <c r="K32" s="940"/>
      <c r="L32" s="940"/>
      <c r="M32" s="940"/>
      <c r="N32" s="941"/>
      <c r="O32" s="940"/>
      <c r="P32" s="940"/>
    </row>
    <row r="33" spans="2:13" ht="12.75">
      <c r="B33" s="942" t="s">
        <v>715</v>
      </c>
      <c r="D33" s="871"/>
      <c r="E33" s="940"/>
      <c r="F33" s="940"/>
      <c r="G33" s="940"/>
      <c r="H33" s="940"/>
      <c r="I33" s="940"/>
      <c r="J33" s="940"/>
      <c r="K33" s="940"/>
      <c r="L33" s="940"/>
      <c r="M33" s="940"/>
    </row>
    <row r="34" spans="2:16" ht="12.75">
      <c r="B34" s="943" t="s">
        <v>716</v>
      </c>
      <c r="C34" s="944"/>
      <c r="D34" s="944"/>
      <c r="E34" s="944"/>
      <c r="F34" s="944"/>
      <c r="G34" s="944"/>
      <c r="H34" s="944"/>
      <c r="I34" s="944"/>
      <c r="J34" s="944"/>
      <c r="K34" s="944"/>
      <c r="L34" s="944"/>
      <c r="M34" s="944"/>
      <c r="N34" s="944"/>
      <c r="O34" s="944"/>
      <c r="P34" s="944"/>
    </row>
    <row r="35" spans="2:16" ht="12.75">
      <c r="B35" s="943" t="s">
        <v>717</v>
      </c>
      <c r="C35" s="944"/>
      <c r="D35" s="944"/>
      <c r="E35" s="944"/>
      <c r="F35" s="944"/>
      <c r="G35" s="944"/>
      <c r="H35" s="944"/>
      <c r="I35" s="944"/>
      <c r="J35" s="944"/>
      <c r="K35" s="944"/>
      <c r="L35" s="944"/>
      <c r="M35" s="944"/>
      <c r="N35" s="944"/>
      <c r="O35" s="944"/>
      <c r="P35" s="944"/>
    </row>
    <row r="36" spans="2:16" ht="12.75">
      <c r="B36" s="943" t="s">
        <v>718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</row>
    <row r="37" spans="2:16" ht="12.75">
      <c r="B37" s="943" t="s">
        <v>719</v>
      </c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 t="s">
        <v>312</v>
      </c>
      <c r="N37" s="944"/>
      <c r="O37" s="944"/>
      <c r="P37" s="944"/>
    </row>
    <row r="38" spans="2:16" ht="12.75">
      <c r="B38" s="1391" t="s">
        <v>720</v>
      </c>
      <c r="C38" s="1391"/>
      <c r="D38" s="1391"/>
      <c r="E38" s="1391"/>
      <c r="F38" s="1391"/>
      <c r="G38" s="1391"/>
      <c r="H38" s="1391"/>
      <c r="I38" s="1391"/>
      <c r="J38" s="1391"/>
      <c r="K38" s="945"/>
      <c r="L38" s="945"/>
      <c r="M38" s="945"/>
      <c r="N38" s="944"/>
      <c r="O38" s="944"/>
      <c r="P38" s="944"/>
    </row>
    <row r="39" spans="2:16" ht="12.75">
      <c r="B39" s="848" t="s">
        <v>721</v>
      </c>
      <c r="C39" s="945"/>
      <c r="D39" s="945"/>
      <c r="E39" s="945"/>
      <c r="F39" s="945"/>
      <c r="G39" s="945"/>
      <c r="H39" s="945"/>
      <c r="I39" s="945"/>
      <c r="J39" s="945"/>
      <c r="K39" s="945"/>
      <c r="L39" s="945"/>
      <c r="M39" s="945"/>
      <c r="N39" s="944"/>
      <c r="O39" s="944"/>
      <c r="P39" s="944"/>
    </row>
    <row r="40" spans="2:16" ht="12.75">
      <c r="B40" s="848" t="s">
        <v>722</v>
      </c>
      <c r="C40" s="945"/>
      <c r="D40" s="945"/>
      <c r="E40" s="945"/>
      <c r="F40" s="945"/>
      <c r="G40" s="945"/>
      <c r="H40" s="945"/>
      <c r="I40" s="945"/>
      <c r="J40" s="945"/>
      <c r="K40" s="945"/>
      <c r="L40" s="945"/>
      <c r="M40" s="945"/>
      <c r="N40" s="944"/>
      <c r="O40" s="944"/>
      <c r="P40" s="944"/>
    </row>
    <row r="41" spans="2:16" ht="12.75">
      <c r="B41" s="848" t="s">
        <v>723</v>
      </c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4"/>
      <c r="O41" s="944"/>
      <c r="P41" s="944"/>
    </row>
    <row r="42" spans="2:16" ht="12.75">
      <c r="B42" s="848"/>
      <c r="C42" s="945"/>
      <c r="D42" s="945"/>
      <c r="E42" s="945"/>
      <c r="F42" s="945"/>
      <c r="G42" s="945"/>
      <c r="H42" s="945"/>
      <c r="I42" s="945"/>
      <c r="J42" s="945"/>
      <c r="K42" s="945"/>
      <c r="L42" s="945"/>
      <c r="M42" s="945"/>
      <c r="N42" s="944"/>
      <c r="O42" s="944"/>
      <c r="P42" s="944"/>
    </row>
    <row r="43" spans="2:16" ht="14.25">
      <c r="B43" s="848"/>
      <c r="C43" s="945"/>
      <c r="D43" s="945"/>
      <c r="E43" s="945"/>
      <c r="F43" s="945"/>
      <c r="G43" s="945"/>
      <c r="H43" s="945"/>
      <c r="I43" s="945"/>
      <c r="J43" s="945"/>
      <c r="K43" s="945"/>
      <c r="L43" s="945"/>
      <c r="M43" s="945"/>
      <c r="N43" s="944"/>
      <c r="O43" s="944"/>
      <c r="P43" s="847" t="s">
        <v>724</v>
      </c>
    </row>
    <row r="44" spans="2:13" ht="20.25" customHeight="1">
      <c r="B44" s="853" t="s">
        <v>261</v>
      </c>
      <c r="C44" s="854"/>
      <c r="D44" s="854"/>
      <c r="E44" s="854"/>
      <c r="F44" s="854"/>
      <c r="G44" s="854"/>
      <c r="H44" s="854"/>
      <c r="I44" s="854"/>
      <c r="J44" s="854"/>
      <c r="K44" s="854"/>
      <c r="L44" s="854"/>
      <c r="M44" s="854"/>
    </row>
    <row r="45" ht="13.5" thickBot="1">
      <c r="P45" s="855" t="s">
        <v>498</v>
      </c>
    </row>
    <row r="46" spans="2:16" ht="12.75">
      <c r="B46" s="856"/>
      <c r="C46" s="857"/>
      <c r="D46" s="858"/>
      <c r="E46" s="861" t="s">
        <v>54</v>
      </c>
      <c r="F46" s="861"/>
      <c r="G46" s="862"/>
      <c r="H46" s="861" t="s">
        <v>844</v>
      </c>
      <c r="I46" s="861"/>
      <c r="J46" s="862"/>
      <c r="K46" s="1358" t="s">
        <v>670</v>
      </c>
      <c r="L46" s="1359"/>
      <c r="M46" s="1360"/>
      <c r="N46" s="1392" t="s">
        <v>671</v>
      </c>
      <c r="O46" s="1393"/>
      <c r="P46" s="1394"/>
    </row>
    <row r="47" spans="2:16" ht="12.75">
      <c r="B47" s="863" t="s">
        <v>672</v>
      </c>
      <c r="C47" s="864" t="s">
        <v>674</v>
      </c>
      <c r="D47" s="865"/>
      <c r="E47" s="866" t="s">
        <v>675</v>
      </c>
      <c r="F47" s="866"/>
      <c r="G47" s="867"/>
      <c r="H47" s="868" t="s">
        <v>676</v>
      </c>
      <c r="I47" s="868"/>
      <c r="J47" s="869"/>
      <c r="K47" s="1395" t="s">
        <v>677</v>
      </c>
      <c r="L47" s="1396"/>
      <c r="M47" s="1397"/>
      <c r="N47" s="1398" t="s">
        <v>678</v>
      </c>
      <c r="O47" s="1399"/>
      <c r="P47" s="1400"/>
    </row>
    <row r="48" spans="2:16" ht="12.75">
      <c r="B48" s="870"/>
      <c r="C48" s="871"/>
      <c r="D48" s="872"/>
      <c r="E48" s="875" t="s">
        <v>679</v>
      </c>
      <c r="F48" s="874" t="s">
        <v>680</v>
      </c>
      <c r="G48" s="872"/>
      <c r="H48" s="875" t="s">
        <v>679</v>
      </c>
      <c r="I48" s="874" t="s">
        <v>680</v>
      </c>
      <c r="J48" s="872"/>
      <c r="K48" s="875" t="s">
        <v>679</v>
      </c>
      <c r="L48" s="874" t="s">
        <v>680</v>
      </c>
      <c r="M48" s="872"/>
      <c r="N48" s="875" t="s">
        <v>679</v>
      </c>
      <c r="O48" s="876" t="s">
        <v>680</v>
      </c>
      <c r="P48" s="872"/>
    </row>
    <row r="49" spans="2:16" ht="13.5" thickBot="1">
      <c r="B49" s="877"/>
      <c r="C49" s="878"/>
      <c r="D49" s="879"/>
      <c r="E49" s="882" t="s">
        <v>681</v>
      </c>
      <c r="F49" s="881" t="s">
        <v>681</v>
      </c>
      <c r="G49" s="879" t="s">
        <v>588</v>
      </c>
      <c r="H49" s="882" t="s">
        <v>681</v>
      </c>
      <c r="I49" s="881" t="s">
        <v>681</v>
      </c>
      <c r="J49" s="879" t="s">
        <v>588</v>
      </c>
      <c r="K49" s="882" t="s">
        <v>681</v>
      </c>
      <c r="L49" s="881" t="s">
        <v>681</v>
      </c>
      <c r="M49" s="879" t="s">
        <v>588</v>
      </c>
      <c r="N49" s="882" t="s">
        <v>681</v>
      </c>
      <c r="O49" s="881" t="s">
        <v>681</v>
      </c>
      <c r="P49" s="879" t="s">
        <v>588</v>
      </c>
    </row>
    <row r="50" spans="2:16" ht="13.5" thickBot="1">
      <c r="B50" s="877"/>
      <c r="C50" s="883"/>
      <c r="D50" s="884"/>
      <c r="E50" s="882">
        <v>1</v>
      </c>
      <c r="F50" s="885">
        <v>2</v>
      </c>
      <c r="G50" s="879">
        <v>3</v>
      </c>
      <c r="H50" s="882">
        <v>4</v>
      </c>
      <c r="I50" s="885">
        <v>5</v>
      </c>
      <c r="J50" s="879">
        <v>6</v>
      </c>
      <c r="K50" s="882">
        <v>7</v>
      </c>
      <c r="L50" s="881">
        <v>8</v>
      </c>
      <c r="M50" s="879">
        <f aca="true" t="shared" si="4" ref="M50:M59">K50+L50</f>
        <v>15</v>
      </c>
      <c r="N50" s="882">
        <v>10</v>
      </c>
      <c r="O50" s="881">
        <v>11</v>
      </c>
      <c r="P50" s="879">
        <f aca="true" t="shared" si="5" ref="P50:P59">N50+O50</f>
        <v>21</v>
      </c>
    </row>
    <row r="51" spans="2:16" ht="15" customHeight="1">
      <c r="B51" s="898" t="s">
        <v>682</v>
      </c>
      <c r="C51" s="946" t="s">
        <v>725</v>
      </c>
      <c r="D51" s="947"/>
      <c r="E51" s="948">
        <v>8880</v>
      </c>
      <c r="F51" s="900">
        <v>14948</v>
      </c>
      <c r="G51" s="893">
        <f aca="true" t="shared" si="6" ref="G51:G59">E51+F51</f>
        <v>23828</v>
      </c>
      <c r="H51" s="948">
        <v>8164.53176</v>
      </c>
      <c r="I51" s="900">
        <v>14658.99189</v>
      </c>
      <c r="J51" s="893">
        <f aca="true" t="shared" si="7" ref="J51:J59">H51+I51</f>
        <v>22823.52365</v>
      </c>
      <c r="K51" s="948"/>
      <c r="L51" s="900"/>
      <c r="M51" s="893">
        <f t="shared" si="4"/>
        <v>0</v>
      </c>
      <c r="N51" s="948">
        <v>58.24</v>
      </c>
      <c r="O51" s="900"/>
      <c r="P51" s="893">
        <f t="shared" si="5"/>
        <v>58.24</v>
      </c>
    </row>
    <row r="52" spans="2:16" ht="15" customHeight="1">
      <c r="B52" s="898" t="s">
        <v>691</v>
      </c>
      <c r="C52" s="949" t="s">
        <v>726</v>
      </c>
      <c r="D52" s="950"/>
      <c r="E52" s="951"/>
      <c r="F52" s="952"/>
      <c r="G52" s="897">
        <f t="shared" si="6"/>
        <v>0</v>
      </c>
      <c r="H52" s="951"/>
      <c r="I52" s="952"/>
      <c r="J52" s="897">
        <f t="shared" si="7"/>
        <v>0</v>
      </c>
      <c r="K52" s="951"/>
      <c r="L52" s="952"/>
      <c r="M52" s="897">
        <f t="shared" si="4"/>
        <v>0</v>
      </c>
      <c r="N52" s="951"/>
      <c r="O52" s="952"/>
      <c r="P52" s="897">
        <f t="shared" si="5"/>
        <v>0</v>
      </c>
    </row>
    <row r="53" spans="2:16" ht="15" customHeight="1">
      <c r="B53" s="907" t="s">
        <v>696</v>
      </c>
      <c r="C53" s="953" t="s">
        <v>727</v>
      </c>
      <c r="D53" s="954"/>
      <c r="E53" s="948"/>
      <c r="F53" s="900"/>
      <c r="G53" s="893">
        <f t="shared" si="6"/>
        <v>0</v>
      </c>
      <c r="H53" s="948"/>
      <c r="I53" s="900"/>
      <c r="J53" s="893">
        <f t="shared" si="7"/>
        <v>0</v>
      </c>
      <c r="K53" s="948"/>
      <c r="L53" s="900"/>
      <c r="M53" s="893">
        <f t="shared" si="4"/>
        <v>0</v>
      </c>
      <c r="N53" s="948"/>
      <c r="O53" s="900"/>
      <c r="P53" s="893">
        <f t="shared" si="5"/>
        <v>0</v>
      </c>
    </row>
    <row r="54" spans="2:16" ht="15" customHeight="1">
      <c r="B54" s="907" t="s">
        <v>698</v>
      </c>
      <c r="C54" s="955" t="s">
        <v>728</v>
      </c>
      <c r="D54" s="954"/>
      <c r="E54" s="948">
        <v>4673</v>
      </c>
      <c r="F54" s="900">
        <v>2778</v>
      </c>
      <c r="G54" s="893">
        <f t="shared" si="6"/>
        <v>7451</v>
      </c>
      <c r="H54" s="948">
        <v>4850.49791</v>
      </c>
      <c r="I54" s="900">
        <v>1568.73793</v>
      </c>
      <c r="J54" s="893">
        <f t="shared" si="7"/>
        <v>6419.23584</v>
      </c>
      <c r="K54" s="948"/>
      <c r="L54" s="900"/>
      <c r="M54" s="893">
        <f t="shared" si="4"/>
        <v>0</v>
      </c>
      <c r="N54" s="948">
        <v>588.26627</v>
      </c>
      <c r="O54" s="900">
        <v>154.31253</v>
      </c>
      <c r="P54" s="893">
        <f t="shared" si="5"/>
        <v>742.5788</v>
      </c>
    </row>
    <row r="55" spans="2:16" ht="15" customHeight="1">
      <c r="B55" s="907" t="s">
        <v>700</v>
      </c>
      <c r="C55" s="955" t="s">
        <v>729</v>
      </c>
      <c r="D55" s="954"/>
      <c r="E55" s="948">
        <v>15983</v>
      </c>
      <c r="F55" s="900"/>
      <c r="G55" s="893">
        <f t="shared" si="6"/>
        <v>15983</v>
      </c>
      <c r="H55" s="948">
        <v>15983</v>
      </c>
      <c r="I55" s="900"/>
      <c r="J55" s="893">
        <f t="shared" si="7"/>
        <v>15983</v>
      </c>
      <c r="K55" s="948"/>
      <c r="L55" s="900"/>
      <c r="M55" s="893">
        <f t="shared" si="4"/>
        <v>0</v>
      </c>
      <c r="N55" s="948"/>
      <c r="O55" s="900"/>
      <c r="P55" s="893">
        <f t="shared" si="5"/>
        <v>0</v>
      </c>
    </row>
    <row r="56" spans="2:16" ht="15" customHeight="1">
      <c r="B56" s="907" t="s">
        <v>706</v>
      </c>
      <c r="C56" s="955" t="s">
        <v>730</v>
      </c>
      <c r="D56" s="954"/>
      <c r="E56" s="948"/>
      <c r="F56" s="900"/>
      <c r="G56" s="893">
        <f t="shared" si="6"/>
        <v>0</v>
      </c>
      <c r="H56" s="948"/>
      <c r="I56" s="900"/>
      <c r="J56" s="893">
        <f t="shared" si="7"/>
        <v>0</v>
      </c>
      <c r="K56" s="948"/>
      <c r="L56" s="900"/>
      <c r="M56" s="893">
        <f t="shared" si="4"/>
        <v>0</v>
      </c>
      <c r="N56" s="948"/>
      <c r="O56" s="900"/>
      <c r="P56" s="893">
        <f t="shared" si="5"/>
        <v>0</v>
      </c>
    </row>
    <row r="57" spans="2:16" ht="15" customHeight="1">
      <c r="B57" s="907" t="s">
        <v>708</v>
      </c>
      <c r="C57" s="955" t="s">
        <v>731</v>
      </c>
      <c r="D57" s="954"/>
      <c r="E57" s="948"/>
      <c r="F57" s="900"/>
      <c r="G57" s="893">
        <f t="shared" si="6"/>
        <v>0</v>
      </c>
      <c r="H57" s="948"/>
      <c r="I57" s="900"/>
      <c r="J57" s="893">
        <f t="shared" si="7"/>
        <v>0</v>
      </c>
      <c r="K57" s="948"/>
      <c r="L57" s="900"/>
      <c r="M57" s="893">
        <f t="shared" si="4"/>
        <v>0</v>
      </c>
      <c r="N57" s="948"/>
      <c r="O57" s="900"/>
      <c r="P57" s="893">
        <f t="shared" si="5"/>
        <v>0</v>
      </c>
    </row>
    <row r="58" spans="2:16" ht="15" customHeight="1" thickBot="1">
      <c r="B58" s="907" t="s">
        <v>732</v>
      </c>
      <c r="C58" s="955" t="s">
        <v>707</v>
      </c>
      <c r="D58" s="954"/>
      <c r="E58" s="948">
        <v>4271</v>
      </c>
      <c r="F58" s="900"/>
      <c r="G58" s="893">
        <f t="shared" si="6"/>
        <v>4271</v>
      </c>
      <c r="H58" s="948">
        <v>2133.00005</v>
      </c>
      <c r="I58" s="900"/>
      <c r="J58" s="893">
        <f t="shared" si="7"/>
        <v>2133.00005</v>
      </c>
      <c r="K58" s="948"/>
      <c r="L58" s="900"/>
      <c r="M58" s="893">
        <f t="shared" si="4"/>
        <v>0</v>
      </c>
      <c r="N58" s="948">
        <v>2076.96</v>
      </c>
      <c r="O58" s="900"/>
      <c r="P58" s="893">
        <f t="shared" si="5"/>
        <v>2076.96</v>
      </c>
    </row>
    <row r="59" spans="2:16" ht="17.25" customHeight="1" thickBot="1">
      <c r="B59" s="956" t="s">
        <v>733</v>
      </c>
      <c r="C59" s="957" t="s">
        <v>734</v>
      </c>
      <c r="D59" s="958"/>
      <c r="E59" s="959">
        <f>SUM(E51:E58)</f>
        <v>33807</v>
      </c>
      <c r="F59" s="960">
        <f>SUM(F51:F58)</f>
        <v>17726</v>
      </c>
      <c r="G59" s="913">
        <f t="shared" si="6"/>
        <v>51533</v>
      </c>
      <c r="H59" s="959">
        <f>SUM(H51:H58)</f>
        <v>31131.02972</v>
      </c>
      <c r="I59" s="960">
        <f>SUM(I51:I58)</f>
        <v>16227.729819999999</v>
      </c>
      <c r="J59" s="913">
        <f t="shared" si="7"/>
        <v>47358.75954</v>
      </c>
      <c r="K59" s="959">
        <f>SUM(K51:K58)</f>
        <v>0</v>
      </c>
      <c r="L59" s="960">
        <f>SUM(L51:L58)</f>
        <v>0</v>
      </c>
      <c r="M59" s="913">
        <f t="shared" si="4"/>
        <v>0</v>
      </c>
      <c r="N59" s="959">
        <f>SUM(N51:N58)</f>
        <v>2723.46627</v>
      </c>
      <c r="O59" s="960">
        <f>SUM(O51:O58)</f>
        <v>154.31253</v>
      </c>
      <c r="P59" s="913">
        <f t="shared" si="5"/>
        <v>2877.7788</v>
      </c>
    </row>
    <row r="60" spans="2:16" ht="17.25" customHeight="1">
      <c r="B60" s="935"/>
      <c r="C60" s="1031" t="s">
        <v>556</v>
      </c>
      <c r="D60" s="1032" t="s">
        <v>710</v>
      </c>
      <c r="E60" s="961"/>
      <c r="F60" s="1033" t="s">
        <v>711</v>
      </c>
      <c r="G60" s="1034" t="s">
        <v>711</v>
      </c>
      <c r="H60" s="961"/>
      <c r="I60" s="1033" t="s">
        <v>711</v>
      </c>
      <c r="J60" s="1034" t="s">
        <v>711</v>
      </c>
      <c r="K60" s="961"/>
      <c r="L60" s="1033" t="s">
        <v>711</v>
      </c>
      <c r="M60" s="1034" t="s">
        <v>711</v>
      </c>
      <c r="N60" s="961"/>
      <c r="O60" s="1033" t="s">
        <v>711</v>
      </c>
      <c r="P60" s="1034" t="s">
        <v>711</v>
      </c>
    </row>
    <row r="61" spans="2:16" ht="17.25" customHeight="1">
      <c r="B61" s="935"/>
      <c r="C61" s="1035"/>
      <c r="D61" s="1036" t="s">
        <v>712</v>
      </c>
      <c r="E61" s="962">
        <v>1496</v>
      </c>
      <c r="F61" s="1037" t="s">
        <v>711</v>
      </c>
      <c r="G61" s="1038" t="s">
        <v>711</v>
      </c>
      <c r="H61" s="962">
        <v>2923.81</v>
      </c>
      <c r="I61" s="1037" t="s">
        <v>711</v>
      </c>
      <c r="J61" s="1038" t="s">
        <v>711</v>
      </c>
      <c r="K61" s="962"/>
      <c r="L61" s="1037" t="s">
        <v>711</v>
      </c>
      <c r="M61" s="1038" t="s">
        <v>711</v>
      </c>
      <c r="N61" s="962">
        <v>2331.75</v>
      </c>
      <c r="O61" s="1037" t="s">
        <v>711</v>
      </c>
      <c r="P61" s="1038" t="s">
        <v>711</v>
      </c>
    </row>
    <row r="62" spans="2:16" ht="17.25" customHeight="1">
      <c r="B62" s="935"/>
      <c r="C62" s="1035"/>
      <c r="D62" s="1036" t="s">
        <v>713</v>
      </c>
      <c r="E62" s="962">
        <v>68</v>
      </c>
      <c r="F62" s="1037" t="s">
        <v>711</v>
      </c>
      <c r="G62" s="1038" t="s">
        <v>711</v>
      </c>
      <c r="H62" s="962">
        <v>229.927</v>
      </c>
      <c r="I62" s="1037" t="s">
        <v>711</v>
      </c>
      <c r="J62" s="1038" t="s">
        <v>711</v>
      </c>
      <c r="K62" s="962"/>
      <c r="L62" s="1037" t="s">
        <v>711</v>
      </c>
      <c r="M62" s="1038" t="s">
        <v>711</v>
      </c>
      <c r="N62" s="962">
        <v>171.87</v>
      </c>
      <c r="O62" s="1037" t="s">
        <v>711</v>
      </c>
      <c r="P62" s="1038" t="s">
        <v>711</v>
      </c>
    </row>
    <row r="63" spans="2:16" ht="17.25" customHeight="1" thickBot="1">
      <c r="B63" s="936"/>
      <c r="C63" s="1039"/>
      <c r="D63" s="1039" t="s">
        <v>714</v>
      </c>
      <c r="E63" s="963"/>
      <c r="F63" s="1040" t="s">
        <v>711</v>
      </c>
      <c r="G63" s="1041" t="s">
        <v>711</v>
      </c>
      <c r="H63" s="963"/>
      <c r="I63" s="1040" t="s">
        <v>711</v>
      </c>
      <c r="J63" s="1041" t="s">
        <v>711</v>
      </c>
      <c r="K63" s="963"/>
      <c r="L63" s="1040" t="s">
        <v>711</v>
      </c>
      <c r="M63" s="1041" t="s">
        <v>711</v>
      </c>
      <c r="N63" s="963"/>
      <c r="O63" s="1040" t="s">
        <v>711</v>
      </c>
      <c r="P63" s="1041" t="s">
        <v>711</v>
      </c>
    </row>
    <row r="64" ht="12.75" customHeight="1"/>
    <row r="65" ht="12" customHeight="1"/>
    <row r="66" spans="2:16" ht="15" customHeight="1">
      <c r="B66" s="848"/>
      <c r="P66" s="847"/>
    </row>
    <row r="67" spans="2:16" ht="20.25" customHeight="1">
      <c r="B67" s="1380" t="s">
        <v>262</v>
      </c>
      <c r="C67" s="1380"/>
      <c r="D67" s="1380"/>
      <c r="E67" s="1380"/>
      <c r="F67" s="1380"/>
      <c r="G67" s="1380"/>
      <c r="H67" s="1380"/>
      <c r="I67" s="1380"/>
      <c r="J67" s="1380"/>
      <c r="K67" s="1380"/>
      <c r="L67" s="1380"/>
      <c r="M67" s="1380"/>
      <c r="N67" s="1380"/>
      <c r="O67" s="1380"/>
      <c r="P67" s="1380"/>
    </row>
    <row r="68" spans="2:16" ht="16.5" thickBot="1">
      <c r="B68" s="852"/>
      <c r="C68" s="854"/>
      <c r="D68" s="854"/>
      <c r="E68" s="854"/>
      <c r="F68" s="854"/>
      <c r="G68" s="854"/>
      <c r="H68" s="854"/>
      <c r="I68" s="854"/>
      <c r="J68" s="854"/>
      <c r="K68" s="854"/>
      <c r="L68" s="854"/>
      <c r="M68" s="854"/>
      <c r="P68" s="855" t="s">
        <v>498</v>
      </c>
    </row>
    <row r="69" spans="2:16" ht="12.75">
      <c r="B69" s="856"/>
      <c r="C69" s="857"/>
      <c r="D69" s="858"/>
      <c r="E69" s="861" t="s">
        <v>54</v>
      </c>
      <c r="F69" s="861"/>
      <c r="G69" s="862"/>
      <c r="H69" s="861" t="s">
        <v>844</v>
      </c>
      <c r="I69" s="861"/>
      <c r="J69" s="862"/>
      <c r="K69" s="1358" t="s">
        <v>670</v>
      </c>
      <c r="L69" s="1359"/>
      <c r="M69" s="1360"/>
      <c r="N69" s="1392" t="s">
        <v>671</v>
      </c>
      <c r="O69" s="1393"/>
      <c r="P69" s="1394"/>
    </row>
    <row r="70" spans="2:16" ht="12.75">
      <c r="B70" s="863" t="s">
        <v>672</v>
      </c>
      <c r="C70" s="864" t="s">
        <v>674</v>
      </c>
      <c r="D70" s="865"/>
      <c r="E70" s="866" t="s">
        <v>675</v>
      </c>
      <c r="F70" s="866"/>
      <c r="G70" s="867"/>
      <c r="H70" s="868" t="s">
        <v>676</v>
      </c>
      <c r="I70" s="868"/>
      <c r="J70" s="869"/>
      <c r="K70" s="1395" t="s">
        <v>677</v>
      </c>
      <c r="L70" s="1396"/>
      <c r="M70" s="1397"/>
      <c r="N70" s="1398" t="s">
        <v>678</v>
      </c>
      <c r="O70" s="1399"/>
      <c r="P70" s="1400"/>
    </row>
    <row r="71" spans="2:16" ht="12.75">
      <c r="B71" s="870"/>
      <c r="C71" s="871"/>
      <c r="D71" s="872"/>
      <c r="E71" s="875" t="s">
        <v>679</v>
      </c>
      <c r="F71" s="874" t="s">
        <v>680</v>
      </c>
      <c r="G71" s="872"/>
      <c r="H71" s="875" t="s">
        <v>679</v>
      </c>
      <c r="I71" s="874" t="s">
        <v>680</v>
      </c>
      <c r="J71" s="872"/>
      <c r="K71" s="875" t="s">
        <v>679</v>
      </c>
      <c r="L71" s="874" t="s">
        <v>680</v>
      </c>
      <c r="M71" s="872"/>
      <c r="N71" s="875" t="s">
        <v>679</v>
      </c>
      <c r="O71" s="876" t="s">
        <v>680</v>
      </c>
      <c r="P71" s="872"/>
    </row>
    <row r="72" spans="2:16" ht="13.5" thickBot="1">
      <c r="B72" s="877"/>
      <c r="C72" s="878"/>
      <c r="D72" s="879"/>
      <c r="E72" s="882" t="s">
        <v>681</v>
      </c>
      <c r="F72" s="881" t="s">
        <v>681</v>
      </c>
      <c r="G72" s="879" t="s">
        <v>588</v>
      </c>
      <c r="H72" s="882" t="s">
        <v>681</v>
      </c>
      <c r="I72" s="881" t="s">
        <v>681</v>
      </c>
      <c r="J72" s="879" t="s">
        <v>588</v>
      </c>
      <c r="K72" s="882" t="s">
        <v>681</v>
      </c>
      <c r="L72" s="881" t="s">
        <v>681</v>
      </c>
      <c r="M72" s="879" t="s">
        <v>588</v>
      </c>
      <c r="N72" s="882" t="s">
        <v>681</v>
      </c>
      <c r="O72" s="881" t="s">
        <v>681</v>
      </c>
      <c r="P72" s="879" t="s">
        <v>588</v>
      </c>
    </row>
    <row r="73" spans="2:16" ht="13.5" thickBot="1">
      <c r="B73" s="908"/>
      <c r="C73" s="964"/>
      <c r="D73" s="965"/>
      <c r="E73" s="966">
        <v>1</v>
      </c>
      <c r="F73" s="885">
        <v>2</v>
      </c>
      <c r="G73" s="967">
        <v>3</v>
      </c>
      <c r="H73" s="966">
        <v>4</v>
      </c>
      <c r="I73" s="885">
        <v>5</v>
      </c>
      <c r="J73" s="967">
        <v>6</v>
      </c>
      <c r="K73" s="966">
        <v>7</v>
      </c>
      <c r="L73" s="885">
        <v>8</v>
      </c>
      <c r="M73" s="967">
        <v>9</v>
      </c>
      <c r="N73" s="966">
        <v>10</v>
      </c>
      <c r="O73" s="885">
        <v>11</v>
      </c>
      <c r="P73" s="967">
        <v>12</v>
      </c>
    </row>
    <row r="74" spans="2:16" ht="25.5" customHeight="1">
      <c r="B74" s="920" t="s">
        <v>682</v>
      </c>
      <c r="C74" s="1383" t="s">
        <v>735</v>
      </c>
      <c r="D74" s="1384"/>
      <c r="E74" s="923">
        <f>E75+E76</f>
        <v>0</v>
      </c>
      <c r="F74" s="890">
        <f>F75+F76</f>
        <v>0</v>
      </c>
      <c r="G74" s="891">
        <f aca="true" t="shared" si="8" ref="G74:G82">E74+F74</f>
        <v>0</v>
      </c>
      <c r="H74" s="923">
        <f>H75+H76</f>
        <v>0</v>
      </c>
      <c r="I74" s="890">
        <f>I75+I76</f>
        <v>0</v>
      </c>
      <c r="J74" s="891">
        <f aca="true" t="shared" si="9" ref="J74:J82">H74+I74</f>
        <v>0</v>
      </c>
      <c r="K74" s="923">
        <f>K75+K76</f>
        <v>0</v>
      </c>
      <c r="L74" s="890">
        <f>L75+L76</f>
        <v>0</v>
      </c>
      <c r="M74" s="891">
        <f aca="true" t="shared" si="10" ref="M74:M82">K74+L74</f>
        <v>0</v>
      </c>
      <c r="N74" s="923">
        <f>N75+N76</f>
        <v>0</v>
      </c>
      <c r="O74" s="890">
        <f>O75+O76</f>
        <v>0</v>
      </c>
      <c r="P74" s="891">
        <f aca="true" t="shared" si="11" ref="P74:P82">N74+O74</f>
        <v>0</v>
      </c>
    </row>
    <row r="75" spans="2:16" ht="15" customHeight="1">
      <c r="B75" s="898" t="s">
        <v>736</v>
      </c>
      <c r="C75" s="968" t="s">
        <v>523</v>
      </c>
      <c r="D75" s="969" t="s">
        <v>737</v>
      </c>
      <c r="E75" s="970">
        <f>E78+E81</f>
        <v>0</v>
      </c>
      <c r="F75" s="971">
        <f>F78+F81</f>
        <v>0</v>
      </c>
      <c r="G75" s="972">
        <f t="shared" si="8"/>
        <v>0</v>
      </c>
      <c r="H75" s="970">
        <f>H78+H81</f>
        <v>0</v>
      </c>
      <c r="I75" s="971">
        <f>I78+I81</f>
        <v>0</v>
      </c>
      <c r="J75" s="972">
        <f t="shared" si="9"/>
        <v>0</v>
      </c>
      <c r="K75" s="970">
        <f>K78+K81</f>
        <v>0</v>
      </c>
      <c r="L75" s="971">
        <f>L78+L81</f>
        <v>0</v>
      </c>
      <c r="M75" s="972">
        <f t="shared" si="10"/>
        <v>0</v>
      </c>
      <c r="N75" s="970">
        <f>N78+N81</f>
        <v>0</v>
      </c>
      <c r="O75" s="971">
        <f>O78+O81</f>
        <v>0</v>
      </c>
      <c r="P75" s="972">
        <f t="shared" si="11"/>
        <v>0</v>
      </c>
    </row>
    <row r="76" spans="2:16" ht="15" customHeight="1" thickBot="1">
      <c r="B76" s="877" t="s">
        <v>738</v>
      </c>
      <c r="C76" s="1381" t="s">
        <v>739</v>
      </c>
      <c r="D76" s="1382"/>
      <c r="E76" s="973">
        <f>E79+E82</f>
        <v>0</v>
      </c>
      <c r="F76" s="974">
        <f>F79+F82</f>
        <v>0</v>
      </c>
      <c r="G76" s="975">
        <f t="shared" si="8"/>
        <v>0</v>
      </c>
      <c r="H76" s="973">
        <f>H79+H82</f>
        <v>0</v>
      </c>
      <c r="I76" s="974">
        <f>I79+I82</f>
        <v>0</v>
      </c>
      <c r="J76" s="975">
        <f t="shared" si="9"/>
        <v>0</v>
      </c>
      <c r="K76" s="973">
        <f>K79+K82</f>
        <v>0</v>
      </c>
      <c r="L76" s="974">
        <f>L79+L82</f>
        <v>0</v>
      </c>
      <c r="M76" s="975">
        <f t="shared" si="10"/>
        <v>0</v>
      </c>
      <c r="N76" s="973">
        <f>N79+N82</f>
        <v>0</v>
      </c>
      <c r="O76" s="974">
        <f>O79+O82</f>
        <v>0</v>
      </c>
      <c r="P76" s="975">
        <f t="shared" si="11"/>
        <v>0</v>
      </c>
    </row>
    <row r="77" spans="2:16" ht="25.5" customHeight="1">
      <c r="B77" s="920" t="s">
        <v>684</v>
      </c>
      <c r="C77" s="1383" t="s">
        <v>740</v>
      </c>
      <c r="D77" s="1384"/>
      <c r="E77" s="923">
        <f>E78+E79</f>
        <v>0</v>
      </c>
      <c r="F77" s="890">
        <f>F78+F79</f>
        <v>0</v>
      </c>
      <c r="G77" s="891">
        <f t="shared" si="8"/>
        <v>0</v>
      </c>
      <c r="H77" s="923">
        <f>H78+H79</f>
        <v>0</v>
      </c>
      <c r="I77" s="890">
        <f>I78+I79</f>
        <v>0</v>
      </c>
      <c r="J77" s="891">
        <f t="shared" si="9"/>
        <v>0</v>
      </c>
      <c r="K77" s="923">
        <f>K78+K79</f>
        <v>0</v>
      </c>
      <c r="L77" s="890">
        <f>L78+L79</f>
        <v>0</v>
      </c>
      <c r="M77" s="891">
        <f t="shared" si="10"/>
        <v>0</v>
      </c>
      <c r="N77" s="923">
        <f>N78+N79</f>
        <v>0</v>
      </c>
      <c r="O77" s="890">
        <f>O78+O79</f>
        <v>0</v>
      </c>
      <c r="P77" s="891">
        <f t="shared" si="11"/>
        <v>0</v>
      </c>
    </row>
    <row r="78" spans="2:16" ht="15" customHeight="1">
      <c r="B78" s="898" t="s">
        <v>741</v>
      </c>
      <c r="C78" s="976" t="s">
        <v>523</v>
      </c>
      <c r="D78" s="977" t="s">
        <v>737</v>
      </c>
      <c r="E78" s="951"/>
      <c r="F78" s="952"/>
      <c r="G78" s="897">
        <f t="shared" si="8"/>
        <v>0</v>
      </c>
      <c r="H78" s="951"/>
      <c r="I78" s="952"/>
      <c r="J78" s="897">
        <f t="shared" si="9"/>
        <v>0</v>
      </c>
      <c r="K78" s="951"/>
      <c r="L78" s="952"/>
      <c r="M78" s="897">
        <f t="shared" si="10"/>
        <v>0</v>
      </c>
      <c r="N78" s="951"/>
      <c r="O78" s="952"/>
      <c r="P78" s="897">
        <f t="shared" si="11"/>
        <v>0</v>
      </c>
    </row>
    <row r="79" spans="2:16" ht="15" customHeight="1" thickBot="1">
      <c r="B79" s="877" t="s">
        <v>742</v>
      </c>
      <c r="C79" s="1381" t="s">
        <v>739</v>
      </c>
      <c r="D79" s="1382"/>
      <c r="E79" s="978"/>
      <c r="F79" s="979"/>
      <c r="G79" s="975">
        <f t="shared" si="8"/>
        <v>0</v>
      </c>
      <c r="H79" s="978"/>
      <c r="I79" s="979"/>
      <c r="J79" s="975">
        <f t="shared" si="9"/>
        <v>0</v>
      </c>
      <c r="K79" s="978"/>
      <c r="L79" s="979"/>
      <c r="M79" s="975">
        <f t="shared" si="10"/>
        <v>0</v>
      </c>
      <c r="N79" s="978"/>
      <c r="O79" s="979"/>
      <c r="P79" s="975">
        <f t="shared" si="11"/>
        <v>0</v>
      </c>
    </row>
    <row r="80" spans="2:16" ht="25.5" customHeight="1">
      <c r="B80" s="920" t="s">
        <v>743</v>
      </c>
      <c r="C80" s="1383" t="s">
        <v>777</v>
      </c>
      <c r="D80" s="1384"/>
      <c r="E80" s="923">
        <f>E81+E82</f>
        <v>0</v>
      </c>
      <c r="F80" s="890">
        <f>F81+F82</f>
        <v>0</v>
      </c>
      <c r="G80" s="891">
        <f t="shared" si="8"/>
        <v>0</v>
      </c>
      <c r="H80" s="923">
        <f>H81+H82</f>
        <v>0</v>
      </c>
      <c r="I80" s="890">
        <f>I81+I82</f>
        <v>0</v>
      </c>
      <c r="J80" s="891">
        <f t="shared" si="9"/>
        <v>0</v>
      </c>
      <c r="K80" s="923">
        <f>K81+K82</f>
        <v>0</v>
      </c>
      <c r="L80" s="890">
        <f>L81+L82</f>
        <v>0</v>
      </c>
      <c r="M80" s="891">
        <f t="shared" si="10"/>
        <v>0</v>
      </c>
      <c r="N80" s="923">
        <f>N81+N82</f>
        <v>0</v>
      </c>
      <c r="O80" s="890">
        <f>O81+O82</f>
        <v>0</v>
      </c>
      <c r="P80" s="891">
        <f t="shared" si="11"/>
        <v>0</v>
      </c>
    </row>
    <row r="81" spans="2:16" ht="15" customHeight="1">
      <c r="B81" s="898" t="s">
        <v>746</v>
      </c>
      <c r="C81" s="976" t="s">
        <v>523</v>
      </c>
      <c r="D81" s="977" t="s">
        <v>737</v>
      </c>
      <c r="E81" s="951"/>
      <c r="F81" s="952"/>
      <c r="G81" s="897">
        <f t="shared" si="8"/>
        <v>0</v>
      </c>
      <c r="H81" s="951"/>
      <c r="I81" s="952"/>
      <c r="J81" s="897">
        <f t="shared" si="9"/>
        <v>0</v>
      </c>
      <c r="K81" s="951"/>
      <c r="L81" s="952"/>
      <c r="M81" s="897">
        <f t="shared" si="10"/>
        <v>0</v>
      </c>
      <c r="N81" s="951"/>
      <c r="O81" s="952"/>
      <c r="P81" s="897">
        <f t="shared" si="11"/>
        <v>0</v>
      </c>
    </row>
    <row r="82" spans="2:16" ht="15" customHeight="1" thickBot="1">
      <c r="B82" s="877" t="s">
        <v>747</v>
      </c>
      <c r="C82" s="1381" t="s">
        <v>739</v>
      </c>
      <c r="D82" s="1382"/>
      <c r="E82" s="978"/>
      <c r="F82" s="979"/>
      <c r="G82" s="975">
        <f t="shared" si="8"/>
        <v>0</v>
      </c>
      <c r="H82" s="978"/>
      <c r="I82" s="979"/>
      <c r="J82" s="975">
        <f t="shared" si="9"/>
        <v>0</v>
      </c>
      <c r="K82" s="978"/>
      <c r="L82" s="979"/>
      <c r="M82" s="975">
        <f t="shared" si="10"/>
        <v>0</v>
      </c>
      <c r="N82" s="978"/>
      <c r="O82" s="979"/>
      <c r="P82" s="975">
        <f t="shared" si="11"/>
        <v>0</v>
      </c>
    </row>
    <row r="83" spans="2:16" ht="20.25" customHeight="1">
      <c r="B83" s="871"/>
      <c r="C83" s="980"/>
      <c r="D83" s="981"/>
      <c r="E83" s="871"/>
      <c r="F83" s="871"/>
      <c r="G83" s="871"/>
      <c r="H83" s="871"/>
      <c r="I83" s="871"/>
      <c r="J83" s="871"/>
      <c r="K83" s="871"/>
      <c r="L83" s="871"/>
      <c r="M83" s="871"/>
      <c r="N83" s="871"/>
      <c r="O83" s="871"/>
      <c r="P83" s="871"/>
    </row>
    <row r="84" spans="2:16" ht="15.75" customHeight="1">
      <c r="B84" s="871"/>
      <c r="C84" s="980"/>
      <c r="D84" s="981"/>
      <c r="E84" s="871"/>
      <c r="F84" s="871"/>
      <c r="G84" s="871"/>
      <c r="H84" s="871"/>
      <c r="I84" s="871"/>
      <c r="J84" s="871"/>
      <c r="K84" s="871"/>
      <c r="L84" s="871"/>
      <c r="M84" s="871"/>
      <c r="N84" s="871"/>
      <c r="O84" s="871"/>
      <c r="P84" s="847" t="s">
        <v>748</v>
      </c>
    </row>
    <row r="85" spans="2:16" ht="3.75" customHeight="1">
      <c r="B85" s="980"/>
      <c r="C85" s="980"/>
      <c r="D85" s="981"/>
      <c r="E85" s="871"/>
      <c r="F85" s="871"/>
      <c r="G85" s="871"/>
      <c r="H85" s="871"/>
      <c r="I85" s="871"/>
      <c r="J85" s="871"/>
      <c r="K85" s="871"/>
      <c r="L85" s="871"/>
      <c r="M85" s="871"/>
      <c r="N85" s="871"/>
      <c r="O85" s="871"/>
      <c r="P85" s="871"/>
    </row>
    <row r="86" spans="2:16" ht="5.25" customHeight="1">
      <c r="B86" s="980"/>
      <c r="C86" s="980"/>
      <c r="D86" s="981"/>
      <c r="E86" s="871"/>
      <c r="F86" s="871"/>
      <c r="G86" s="871"/>
      <c r="H86" s="871"/>
      <c r="I86" s="871"/>
      <c r="J86" s="871"/>
      <c r="K86" s="871"/>
      <c r="L86" s="871"/>
      <c r="M86" s="871"/>
      <c r="N86" s="871"/>
      <c r="O86" s="871"/>
      <c r="P86" s="871"/>
    </row>
    <row r="87" spans="2:16" ht="15.75">
      <c r="B87" s="850" t="s">
        <v>263</v>
      </c>
      <c r="C87" s="850"/>
      <c r="D87" s="850"/>
      <c r="E87" s="850"/>
      <c r="F87" s="850"/>
      <c r="G87" s="850"/>
      <c r="H87" s="850"/>
      <c r="I87" s="850"/>
      <c r="J87" s="850"/>
      <c r="K87" s="850"/>
      <c r="L87" s="850"/>
      <c r="M87" s="850"/>
      <c r="N87" s="850"/>
      <c r="O87" s="850"/>
      <c r="P87" s="850"/>
    </row>
    <row r="88" spans="2:16" ht="14.25" customHeight="1" thickBot="1">
      <c r="B88" s="853"/>
      <c r="C88" s="854"/>
      <c r="D88" s="854"/>
      <c r="E88" s="854"/>
      <c r="F88" s="854"/>
      <c r="G88" s="854"/>
      <c r="H88" s="854"/>
      <c r="I88" s="854"/>
      <c r="J88" s="854"/>
      <c r="K88" s="854"/>
      <c r="L88" s="854"/>
      <c r="M88" s="854"/>
      <c r="P88" s="855" t="s">
        <v>498</v>
      </c>
    </row>
    <row r="89" spans="2:16" ht="12.75">
      <c r="B89" s="856"/>
      <c r="C89" s="857"/>
      <c r="D89" s="858"/>
      <c r="E89" s="861" t="s">
        <v>54</v>
      </c>
      <c r="F89" s="861"/>
      <c r="G89" s="862"/>
      <c r="H89" s="861" t="s">
        <v>844</v>
      </c>
      <c r="I89" s="861"/>
      <c r="J89" s="862"/>
      <c r="K89" s="1358" t="s">
        <v>670</v>
      </c>
      <c r="L89" s="1359"/>
      <c r="M89" s="1360"/>
      <c r="N89" s="1392" t="s">
        <v>671</v>
      </c>
      <c r="O89" s="1393"/>
      <c r="P89" s="1394"/>
    </row>
    <row r="90" spans="2:16" ht="12.75">
      <c r="B90" s="863" t="s">
        <v>672</v>
      </c>
      <c r="C90" s="864" t="s">
        <v>674</v>
      </c>
      <c r="D90" s="865"/>
      <c r="E90" s="866" t="s">
        <v>675</v>
      </c>
      <c r="F90" s="866"/>
      <c r="G90" s="867"/>
      <c r="H90" s="868" t="s">
        <v>676</v>
      </c>
      <c r="I90" s="868"/>
      <c r="J90" s="869"/>
      <c r="K90" s="1395" t="s">
        <v>677</v>
      </c>
      <c r="L90" s="1396"/>
      <c r="M90" s="1397"/>
      <c r="N90" s="1398" t="s">
        <v>678</v>
      </c>
      <c r="O90" s="1399"/>
      <c r="P90" s="1400"/>
    </row>
    <row r="91" spans="2:16" ht="12.75">
      <c r="B91" s="870"/>
      <c r="C91" s="871"/>
      <c r="D91" s="872"/>
      <c r="E91" s="875" t="s">
        <v>679</v>
      </c>
      <c r="F91" s="874" t="s">
        <v>680</v>
      </c>
      <c r="G91" s="872"/>
      <c r="H91" s="875" t="s">
        <v>679</v>
      </c>
      <c r="I91" s="874" t="s">
        <v>680</v>
      </c>
      <c r="J91" s="872"/>
      <c r="K91" s="875" t="s">
        <v>679</v>
      </c>
      <c r="L91" s="874" t="s">
        <v>680</v>
      </c>
      <c r="M91" s="872"/>
      <c r="N91" s="875" t="s">
        <v>679</v>
      </c>
      <c r="O91" s="876" t="s">
        <v>680</v>
      </c>
      <c r="P91" s="872"/>
    </row>
    <row r="92" spans="2:16" ht="13.5" thickBot="1">
      <c r="B92" s="877"/>
      <c r="C92" s="878"/>
      <c r="D92" s="879"/>
      <c r="E92" s="882" t="s">
        <v>681</v>
      </c>
      <c r="F92" s="881" t="s">
        <v>681</v>
      </c>
      <c r="G92" s="879" t="s">
        <v>588</v>
      </c>
      <c r="H92" s="882" t="s">
        <v>681</v>
      </c>
      <c r="I92" s="881" t="s">
        <v>681</v>
      </c>
      <c r="J92" s="879" t="s">
        <v>588</v>
      </c>
      <c r="K92" s="882" t="s">
        <v>681</v>
      </c>
      <c r="L92" s="881" t="s">
        <v>681</v>
      </c>
      <c r="M92" s="879" t="s">
        <v>588</v>
      </c>
      <c r="N92" s="882" t="s">
        <v>681</v>
      </c>
      <c r="O92" s="881" t="s">
        <v>681</v>
      </c>
      <c r="P92" s="879" t="s">
        <v>588</v>
      </c>
    </row>
    <row r="93" spans="2:16" ht="13.5" thickBot="1">
      <c r="B93" s="908"/>
      <c r="C93" s="964"/>
      <c r="D93" s="965"/>
      <c r="E93" s="966">
        <v>1</v>
      </c>
      <c r="F93" s="885">
        <v>2</v>
      </c>
      <c r="G93" s="967">
        <v>3</v>
      </c>
      <c r="H93" s="966">
        <v>4</v>
      </c>
      <c r="I93" s="885">
        <v>5</v>
      </c>
      <c r="J93" s="967">
        <v>6</v>
      </c>
      <c r="K93" s="966">
        <v>7</v>
      </c>
      <c r="L93" s="885">
        <v>8</v>
      </c>
      <c r="M93" s="967">
        <v>9</v>
      </c>
      <c r="N93" s="966">
        <v>10</v>
      </c>
      <c r="O93" s="885">
        <v>11</v>
      </c>
      <c r="P93" s="967">
        <v>12</v>
      </c>
    </row>
    <row r="94" spans="2:16" ht="27" customHeight="1" thickBot="1">
      <c r="B94" s="908" t="s">
        <v>682</v>
      </c>
      <c r="C94" s="1401" t="s">
        <v>749</v>
      </c>
      <c r="D94" s="1402"/>
      <c r="E94" s="959">
        <f>E95+E96</f>
        <v>537749</v>
      </c>
      <c r="F94" s="960">
        <f>F95+F96</f>
        <v>52962</v>
      </c>
      <c r="G94" s="913">
        <f>E94+F94</f>
        <v>590711</v>
      </c>
      <c r="H94" s="959">
        <f>H95+H96</f>
        <v>478937.06085999997</v>
      </c>
      <c r="I94" s="960">
        <f>I95+I96</f>
        <v>43837.13372</v>
      </c>
      <c r="J94" s="913">
        <f>H94+I94</f>
        <v>522774.19457999995</v>
      </c>
      <c r="K94" s="959">
        <f>K95+K96</f>
        <v>0</v>
      </c>
      <c r="L94" s="960">
        <f>L95+L96</f>
        <v>0</v>
      </c>
      <c r="M94" s="913">
        <f>K94+L94</f>
        <v>0</v>
      </c>
      <c r="N94" s="959">
        <f>N95+N96</f>
        <v>60774.62989</v>
      </c>
      <c r="O94" s="960">
        <f>O95+O96</f>
        <v>7560.25903</v>
      </c>
      <c r="P94" s="913">
        <f>N94+O94</f>
        <v>68334.88892</v>
      </c>
    </row>
    <row r="95" spans="2:16" ht="15" customHeight="1" thickBot="1">
      <c r="B95" s="908" t="s">
        <v>684</v>
      </c>
      <c r="C95" s="982" t="s">
        <v>523</v>
      </c>
      <c r="D95" s="983" t="s">
        <v>750</v>
      </c>
      <c r="E95" s="959">
        <f>E27+E59</f>
        <v>537749</v>
      </c>
      <c r="F95" s="960">
        <f>F27+F59</f>
        <v>52962</v>
      </c>
      <c r="G95" s="913">
        <f>E95+F95</f>
        <v>590711</v>
      </c>
      <c r="H95" s="959">
        <f>H27+H59</f>
        <v>478937.06085999997</v>
      </c>
      <c r="I95" s="960">
        <f>I27+I59</f>
        <v>43837.13372</v>
      </c>
      <c r="J95" s="913">
        <f>H95+I95</f>
        <v>522774.19457999995</v>
      </c>
      <c r="K95" s="959">
        <f>K27+K59</f>
        <v>0</v>
      </c>
      <c r="L95" s="960">
        <f>L27+L59</f>
        <v>0</v>
      </c>
      <c r="M95" s="913">
        <f>K95+L95</f>
        <v>0</v>
      </c>
      <c r="N95" s="959">
        <f>N27+N59</f>
        <v>60774.62989</v>
      </c>
      <c r="O95" s="960">
        <f>O27+O59</f>
        <v>7560.25903</v>
      </c>
      <c r="P95" s="913">
        <f>N95+O95</f>
        <v>68334.88892</v>
      </c>
    </row>
    <row r="96" spans="2:16" ht="27.75" customHeight="1" thickBot="1">
      <c r="B96" s="908" t="s">
        <v>743</v>
      </c>
      <c r="C96" s="1385" t="s">
        <v>751</v>
      </c>
      <c r="D96" s="1386"/>
      <c r="E96" s="959">
        <f>E76</f>
        <v>0</v>
      </c>
      <c r="F96" s="960">
        <f>F76</f>
        <v>0</v>
      </c>
      <c r="G96" s="913">
        <f>E96+F96</f>
        <v>0</v>
      </c>
      <c r="H96" s="959">
        <f>H76</f>
        <v>0</v>
      </c>
      <c r="I96" s="960">
        <f>I76</f>
        <v>0</v>
      </c>
      <c r="J96" s="913">
        <f>H96+I96</f>
        <v>0</v>
      </c>
      <c r="K96" s="959">
        <f>K76</f>
        <v>0</v>
      </c>
      <c r="L96" s="960">
        <f>L76</f>
        <v>0</v>
      </c>
      <c r="M96" s="913">
        <f>K96+L96</f>
        <v>0</v>
      </c>
      <c r="N96" s="959">
        <f>N76</f>
        <v>0</v>
      </c>
      <c r="O96" s="960">
        <f>O76</f>
        <v>0</v>
      </c>
      <c r="P96" s="913">
        <f>N96+O96</f>
        <v>0</v>
      </c>
    </row>
    <row r="97" spans="2:16" ht="15" customHeight="1">
      <c r="B97" s="980"/>
      <c r="C97" s="980"/>
      <c r="D97" s="981"/>
      <c r="E97" s="871"/>
      <c r="F97" s="871"/>
      <c r="G97" s="871"/>
      <c r="H97" s="871"/>
      <c r="I97" s="871"/>
      <c r="J97" s="871"/>
      <c r="K97" s="871"/>
      <c r="L97" s="871"/>
      <c r="M97" s="871"/>
      <c r="N97" s="871"/>
      <c r="O97" s="871"/>
      <c r="P97" s="871"/>
    </row>
    <row r="98" spans="2:16" ht="15.75">
      <c r="B98" s="1380" t="s">
        <v>766</v>
      </c>
      <c r="C98" s="1380"/>
      <c r="D98" s="1380"/>
      <c r="E98" s="1380"/>
      <c r="F98" s="1380"/>
      <c r="G98" s="1380"/>
      <c r="H98" s="1380"/>
      <c r="I98" s="1380"/>
      <c r="J98" s="1380"/>
      <c r="K98" s="1380"/>
      <c r="L98" s="1380"/>
      <c r="M98" s="1380"/>
      <c r="P98" s="855" t="s">
        <v>498</v>
      </c>
    </row>
    <row r="99" spans="11:12" ht="5.25" customHeight="1" thickBot="1">
      <c r="K99" s="984"/>
      <c r="L99" s="984"/>
    </row>
    <row r="100" spans="2:16" ht="12.75">
      <c r="B100" s="856"/>
      <c r="C100" s="857"/>
      <c r="D100" s="858"/>
      <c r="E100" s="861" t="s">
        <v>752</v>
      </c>
      <c r="F100" s="861"/>
      <c r="G100" s="862"/>
      <c r="H100" s="985" t="s">
        <v>752</v>
      </c>
      <c r="I100" s="861"/>
      <c r="J100" s="862"/>
      <c r="K100" s="861" t="s">
        <v>753</v>
      </c>
      <c r="L100" s="861"/>
      <c r="M100" s="862"/>
      <c r="N100" s="1358" t="s">
        <v>754</v>
      </c>
      <c r="O100" s="1359"/>
      <c r="P100" s="1360"/>
    </row>
    <row r="101" spans="2:16" ht="9.75" customHeight="1">
      <c r="B101" s="863" t="s">
        <v>672</v>
      </c>
      <c r="C101" s="864"/>
      <c r="D101" s="865"/>
      <c r="E101" s="986"/>
      <c r="F101" s="987" t="s">
        <v>755</v>
      </c>
      <c r="G101" s="988"/>
      <c r="H101" s="1361" t="s">
        <v>631</v>
      </c>
      <c r="I101" s="1362"/>
      <c r="J101" s="1363"/>
      <c r="K101" s="1362" t="s">
        <v>755</v>
      </c>
      <c r="L101" s="1362"/>
      <c r="M101" s="1362"/>
      <c r="N101" s="1361" t="s">
        <v>108</v>
      </c>
      <c r="O101" s="1362"/>
      <c r="P101" s="1363"/>
    </row>
    <row r="102" spans="2:16" ht="12.75">
      <c r="B102" s="870"/>
      <c r="C102" s="871"/>
      <c r="D102" s="872"/>
      <c r="E102" s="875" t="s">
        <v>679</v>
      </c>
      <c r="F102" s="876" t="s">
        <v>680</v>
      </c>
      <c r="G102" s="872"/>
      <c r="H102" s="989" t="s">
        <v>679</v>
      </c>
      <c r="I102" s="874" t="s">
        <v>680</v>
      </c>
      <c r="J102" s="872"/>
      <c r="K102" s="875" t="s">
        <v>679</v>
      </c>
      <c r="L102" s="874" t="s">
        <v>680</v>
      </c>
      <c r="M102" s="872"/>
      <c r="N102" s="875" t="s">
        <v>679</v>
      </c>
      <c r="O102" s="874" t="s">
        <v>680</v>
      </c>
      <c r="P102" s="872"/>
    </row>
    <row r="103" spans="2:16" ht="13.5" thickBot="1">
      <c r="B103" s="877"/>
      <c r="C103" s="878"/>
      <c r="D103" s="879"/>
      <c r="E103" s="882" t="s">
        <v>681</v>
      </c>
      <c r="F103" s="881" t="s">
        <v>681</v>
      </c>
      <c r="G103" s="879" t="s">
        <v>588</v>
      </c>
      <c r="H103" s="880" t="s">
        <v>681</v>
      </c>
      <c r="I103" s="881" t="s">
        <v>681</v>
      </c>
      <c r="J103" s="879" t="s">
        <v>588</v>
      </c>
      <c r="K103" s="882" t="s">
        <v>681</v>
      </c>
      <c r="L103" s="881" t="s">
        <v>681</v>
      </c>
      <c r="M103" s="879" t="s">
        <v>588</v>
      </c>
      <c r="N103" s="882" t="s">
        <v>681</v>
      </c>
      <c r="O103" s="881" t="s">
        <v>681</v>
      </c>
      <c r="P103" s="879" t="s">
        <v>588</v>
      </c>
    </row>
    <row r="104" spans="2:16" ht="13.5" thickBot="1">
      <c r="B104" s="877"/>
      <c r="C104" s="883"/>
      <c r="D104" s="884"/>
      <c r="E104" s="882">
        <v>1</v>
      </c>
      <c r="F104" s="885">
        <v>2</v>
      </c>
      <c r="G104" s="879">
        <v>3</v>
      </c>
      <c r="H104" s="990">
        <v>4</v>
      </c>
      <c r="I104" s="885">
        <v>5</v>
      </c>
      <c r="J104" s="967">
        <v>6</v>
      </c>
      <c r="K104" s="966">
        <v>7</v>
      </c>
      <c r="L104" s="885">
        <v>8</v>
      </c>
      <c r="M104" s="967">
        <v>9</v>
      </c>
      <c r="N104" s="966">
        <v>10</v>
      </c>
      <c r="O104" s="885">
        <v>11</v>
      </c>
      <c r="P104" s="967">
        <v>12</v>
      </c>
    </row>
    <row r="105" spans="2:16" ht="15" customHeight="1">
      <c r="B105" s="898" t="s">
        <v>682</v>
      </c>
      <c r="C105" s="1364" t="s">
        <v>756</v>
      </c>
      <c r="D105" s="1356"/>
      <c r="E105" s="948"/>
      <c r="F105" s="900"/>
      <c r="G105" s="893">
        <f>E105+F105</f>
        <v>0</v>
      </c>
      <c r="H105" s="991"/>
      <c r="I105" s="900"/>
      <c r="J105" s="992">
        <f>H105+I105</f>
        <v>0</v>
      </c>
      <c r="K105" s="948">
        <v>59090.54707</v>
      </c>
      <c r="L105" s="900">
        <v>8571.67941</v>
      </c>
      <c r="M105" s="992">
        <f>K105+L105</f>
        <v>67662.22648</v>
      </c>
      <c r="N105" s="948">
        <f>115880.90429+4.67926</f>
        <v>115885.58</v>
      </c>
      <c r="O105" s="900">
        <f>15528.28804+0.25</f>
        <v>15528.54</v>
      </c>
      <c r="P105" s="992">
        <f>N105+O105</f>
        <v>131414.12</v>
      </c>
    </row>
    <row r="106" spans="2:16" ht="15" customHeight="1">
      <c r="B106" s="907" t="s">
        <v>691</v>
      </c>
      <c r="C106" s="1357" t="s">
        <v>757</v>
      </c>
      <c r="D106" s="1379"/>
      <c r="E106" s="948"/>
      <c r="F106" s="900"/>
      <c r="G106" s="893">
        <f>E106+F106</f>
        <v>0</v>
      </c>
      <c r="H106" s="991"/>
      <c r="I106" s="900"/>
      <c r="J106" s="994">
        <f>H106+I106</f>
        <v>0</v>
      </c>
      <c r="K106" s="948">
        <v>3324.00096</v>
      </c>
      <c r="L106" s="900">
        <v>859.43796</v>
      </c>
      <c r="M106" s="994">
        <f>K106+L106</f>
        <v>4183.43892</v>
      </c>
      <c r="N106" s="948">
        <f>6007.46452+0.1878</f>
        <v>6007.65</v>
      </c>
      <c r="O106" s="900">
        <f>1652.58271+695.01947</f>
        <v>2347.6</v>
      </c>
      <c r="P106" s="994">
        <f>N106+O106</f>
        <v>8355.25</v>
      </c>
    </row>
    <row r="107" spans="2:16" ht="15" customHeight="1">
      <c r="B107" s="907" t="s">
        <v>693</v>
      </c>
      <c r="C107" s="785" t="s">
        <v>758</v>
      </c>
      <c r="D107" s="993"/>
      <c r="E107" s="948"/>
      <c r="F107" s="900"/>
      <c r="G107" s="893">
        <f>E107+F107</f>
        <v>0</v>
      </c>
      <c r="H107" s="991"/>
      <c r="I107" s="900"/>
      <c r="J107" s="995">
        <f>H107+I107</f>
        <v>0</v>
      </c>
      <c r="K107" s="948"/>
      <c r="L107" s="900"/>
      <c r="M107" s="995">
        <f>K107+L107</f>
        <v>0</v>
      </c>
      <c r="N107" s="948"/>
      <c r="O107" s="900"/>
      <c r="P107" s="995">
        <f>N107+O107</f>
        <v>0</v>
      </c>
    </row>
    <row r="108" spans="2:16" ht="15" customHeight="1">
      <c r="B108" s="907" t="s">
        <v>696</v>
      </c>
      <c r="C108" s="1368" t="s">
        <v>759</v>
      </c>
      <c r="D108" s="1365"/>
      <c r="E108" s="948"/>
      <c r="F108" s="900"/>
      <c r="G108" s="893">
        <f>E108+F108</f>
        <v>0</v>
      </c>
      <c r="H108" s="991"/>
      <c r="I108" s="900"/>
      <c r="J108" s="995">
        <f>H108+I108</f>
        <v>0</v>
      </c>
      <c r="K108" s="948"/>
      <c r="L108" s="900"/>
      <c r="M108" s="995">
        <f>K108+L108</f>
        <v>0</v>
      </c>
      <c r="N108" s="948"/>
      <c r="O108" s="900"/>
      <c r="P108" s="995">
        <f>N108+O108</f>
        <v>0</v>
      </c>
    </row>
    <row r="109" spans="2:16" ht="17.25" customHeight="1" thickBot="1">
      <c r="B109" s="901" t="s">
        <v>760</v>
      </c>
      <c r="C109" s="996" t="s">
        <v>761</v>
      </c>
      <c r="D109" s="997"/>
      <c r="E109" s="998">
        <f>E105+E106+E108</f>
        <v>0</v>
      </c>
      <c r="F109" s="999">
        <f>F105+F106+F108</f>
        <v>0</v>
      </c>
      <c r="G109" s="906">
        <f>E109+F109</f>
        <v>0</v>
      </c>
      <c r="H109" s="1000">
        <f>H105+H106+H108</f>
        <v>0</v>
      </c>
      <c r="I109" s="999">
        <f>I105+I106+I108</f>
        <v>0</v>
      </c>
      <c r="J109" s="1001">
        <f>H109+I109</f>
        <v>0</v>
      </c>
      <c r="K109" s="998">
        <f>K105+K106+K108</f>
        <v>62414.54803</v>
      </c>
      <c r="L109" s="999">
        <f>L105+L106+L108</f>
        <v>9431.11737</v>
      </c>
      <c r="M109" s="1001">
        <f>K109+L109</f>
        <v>71845.6654</v>
      </c>
      <c r="N109" s="998">
        <f>N105+N106+N108</f>
        <v>121893.23</v>
      </c>
      <c r="O109" s="999">
        <f>O105+O106+O108</f>
        <v>17876.14</v>
      </c>
      <c r="P109" s="1001">
        <f>N109+O109</f>
        <v>139769.37</v>
      </c>
    </row>
    <row r="110" spans="2:13" ht="8.25" customHeight="1">
      <c r="B110" s="871"/>
      <c r="C110" s="940"/>
      <c r="D110" s="871"/>
      <c r="E110" s="940"/>
      <c r="F110" s="940"/>
      <c r="G110" s="940"/>
      <c r="H110" s="940"/>
      <c r="I110" s="940"/>
      <c r="J110" s="940"/>
      <c r="K110" s="1002"/>
      <c r="L110" s="1002"/>
      <c r="M110" s="940"/>
    </row>
    <row r="111" spans="2:14" ht="11.25" customHeight="1">
      <c r="B111" s="1003" t="s">
        <v>762</v>
      </c>
      <c r="N111" s="1004"/>
    </row>
    <row r="112" ht="12.75">
      <c r="B112" s="944" t="s">
        <v>763</v>
      </c>
    </row>
    <row r="113" ht="12.75">
      <c r="B113" s="944" t="s">
        <v>764</v>
      </c>
    </row>
    <row r="114" ht="12.75">
      <c r="B114" s="944" t="s">
        <v>765</v>
      </c>
    </row>
    <row r="115" ht="12.75">
      <c r="B115" s="848" t="s">
        <v>767</v>
      </c>
    </row>
    <row r="116" ht="12.75">
      <c r="B116" s="848" t="s">
        <v>768</v>
      </c>
    </row>
    <row r="117" spans="2:13" ht="7.5" customHeight="1">
      <c r="B117" s="871"/>
      <c r="C117" s="940"/>
      <c r="D117" s="871"/>
      <c r="E117" s="940"/>
      <c r="F117" s="940"/>
      <c r="G117" s="940"/>
      <c r="H117" s="940"/>
      <c r="I117" s="940"/>
      <c r="J117" s="940"/>
      <c r="K117" s="1002"/>
      <c r="L117" s="1002"/>
      <c r="M117" s="940"/>
    </row>
    <row r="118" spans="2:16" ht="12.75" customHeight="1">
      <c r="B118" s="1003" t="s">
        <v>769</v>
      </c>
      <c r="C118" s="980"/>
      <c r="D118" s="981"/>
      <c r="E118" s="871"/>
      <c r="F118" s="871"/>
      <c r="G118" s="871"/>
      <c r="H118" s="871"/>
      <c r="I118" s="871"/>
      <c r="J118" s="871"/>
      <c r="K118" s="871"/>
      <c r="L118" s="871"/>
      <c r="M118" s="871"/>
      <c r="N118" s="871"/>
      <c r="O118" s="871"/>
      <c r="P118" s="871"/>
    </row>
    <row r="119" spans="2:16" ht="12.75" customHeight="1">
      <c r="B119" s="1005" t="s">
        <v>770</v>
      </c>
      <c r="C119" s="980"/>
      <c r="D119" s="981"/>
      <c r="E119" s="871"/>
      <c r="F119" s="871"/>
      <c r="G119" s="871"/>
      <c r="H119" s="871"/>
      <c r="I119" s="871"/>
      <c r="J119" s="871"/>
      <c r="K119" s="871"/>
      <c r="L119" s="871"/>
      <c r="M119" s="871"/>
      <c r="N119" s="871"/>
      <c r="O119" s="871"/>
      <c r="P119" s="871"/>
    </row>
    <row r="120" spans="2:16" ht="12.75" customHeight="1">
      <c r="B120" s="1005" t="s">
        <v>771</v>
      </c>
      <c r="C120" s="980"/>
      <c r="D120" s="981"/>
      <c r="E120" s="871"/>
      <c r="F120" s="871"/>
      <c r="G120" s="871"/>
      <c r="H120" s="871"/>
      <c r="I120" s="871"/>
      <c r="J120" s="871"/>
      <c r="K120" s="871"/>
      <c r="L120" s="871"/>
      <c r="M120" s="871"/>
      <c r="N120" s="871"/>
      <c r="O120" s="871"/>
      <c r="P120" s="871"/>
    </row>
    <row r="121" spans="2:13" ht="12.75" customHeight="1">
      <c r="B121" s="1005" t="s">
        <v>772</v>
      </c>
      <c r="C121" s="940"/>
      <c r="D121" s="871"/>
      <c r="E121" s="940"/>
      <c r="F121" s="940"/>
      <c r="G121" s="940"/>
      <c r="H121" s="940"/>
      <c r="I121" s="940"/>
      <c r="J121" s="940"/>
      <c r="K121" s="1002"/>
      <c r="L121" s="1002"/>
      <c r="M121" s="940"/>
    </row>
    <row r="122" spans="2:13" ht="8.25" customHeight="1">
      <c r="B122" s="1005"/>
      <c r="C122" s="940"/>
      <c r="D122" s="871"/>
      <c r="E122" s="940"/>
      <c r="F122" s="940"/>
      <c r="G122" s="940"/>
      <c r="H122" s="940"/>
      <c r="I122" s="940"/>
      <c r="J122" s="940"/>
      <c r="K122" s="1002"/>
      <c r="L122" s="1002"/>
      <c r="M122" s="940"/>
    </row>
    <row r="123" spans="2:13" ht="12" customHeight="1">
      <c r="B123" s="1003" t="s">
        <v>773</v>
      </c>
      <c r="C123" s="940"/>
      <c r="D123" s="871"/>
      <c r="E123" s="940"/>
      <c r="F123" s="940"/>
      <c r="G123" s="940"/>
      <c r="H123" s="940"/>
      <c r="I123" s="940"/>
      <c r="J123" s="940"/>
      <c r="K123" s="1002"/>
      <c r="L123" s="1002"/>
      <c r="M123" s="940"/>
    </row>
    <row r="124" spans="2:13" ht="12.75">
      <c r="B124" s="944" t="s">
        <v>774</v>
      </c>
      <c r="C124" s="940"/>
      <c r="D124" s="871"/>
      <c r="E124" s="940"/>
      <c r="F124" s="940"/>
      <c r="G124" s="940"/>
      <c r="H124" s="940"/>
      <c r="I124" s="940"/>
      <c r="J124" s="940"/>
      <c r="K124" s="1002"/>
      <c r="L124" s="1002"/>
      <c r="M124" s="940"/>
    </row>
    <row r="125" spans="2:13" ht="12.75">
      <c r="B125" s="944" t="s">
        <v>775</v>
      </c>
      <c r="C125" s="940"/>
      <c r="D125" s="871"/>
      <c r="E125" s="940"/>
      <c r="F125" s="940"/>
      <c r="G125" s="940"/>
      <c r="H125" s="940"/>
      <c r="I125" s="940"/>
      <c r="J125" s="940"/>
      <c r="K125" s="1002"/>
      <c r="L125" s="1002"/>
      <c r="M125" s="940"/>
    </row>
    <row r="126" ht="5.25" customHeight="1"/>
    <row r="127" spans="2:13" ht="12.75">
      <c r="B127" s="1005" t="s">
        <v>776</v>
      </c>
      <c r="C127" s="944"/>
      <c r="D127" s="1006"/>
      <c r="E127" s="1007"/>
      <c r="F127" s="1007"/>
      <c r="G127" s="1007"/>
      <c r="H127" s="1007"/>
      <c r="I127" s="1007"/>
      <c r="J127" s="944"/>
      <c r="K127" s="1007"/>
      <c r="L127" s="1007"/>
      <c r="M127" s="1007"/>
    </row>
    <row r="128" ht="21" customHeight="1">
      <c r="B128" s="944"/>
    </row>
    <row r="129" spans="2:15" ht="12.75">
      <c r="B129" s="1008" t="s">
        <v>744</v>
      </c>
      <c r="C129" s="1008"/>
      <c r="D129" s="1008"/>
      <c r="E129" s="1008"/>
      <c r="F129" s="1008"/>
      <c r="I129" s="1008" t="s">
        <v>745</v>
      </c>
      <c r="O129" s="1008" t="s">
        <v>530</v>
      </c>
    </row>
    <row r="130" spans="2:9" ht="12.75">
      <c r="B130" s="1008"/>
      <c r="C130" s="1008"/>
      <c r="D130" s="1008"/>
      <c r="E130" s="1008"/>
      <c r="F130" s="1008"/>
      <c r="I130" s="1008"/>
    </row>
    <row r="132" ht="12.75">
      <c r="P132" s="1056"/>
    </row>
    <row r="133" ht="12.75">
      <c r="P133" s="1056"/>
    </row>
    <row r="134" ht="12.75">
      <c r="P134" s="1056"/>
    </row>
  </sheetData>
  <sheetProtection/>
  <mergeCells count="38">
    <mergeCell ref="K9:M9"/>
    <mergeCell ref="N9:P9"/>
    <mergeCell ref="K10:M10"/>
    <mergeCell ref="N10:P10"/>
    <mergeCell ref="C24:D24"/>
    <mergeCell ref="C25:D25"/>
    <mergeCell ref="N46:P46"/>
    <mergeCell ref="K47:M47"/>
    <mergeCell ref="N47:P47"/>
    <mergeCell ref="K46:M46"/>
    <mergeCell ref="N89:P89"/>
    <mergeCell ref="K90:M90"/>
    <mergeCell ref="N90:P90"/>
    <mergeCell ref="C94:D94"/>
    <mergeCell ref="C74:D74"/>
    <mergeCell ref="C26:D26"/>
    <mergeCell ref="C27:D27"/>
    <mergeCell ref="B38:J38"/>
    <mergeCell ref="B67:P67"/>
    <mergeCell ref="K69:M69"/>
    <mergeCell ref="N69:P69"/>
    <mergeCell ref="K70:M70"/>
    <mergeCell ref="N70:P70"/>
    <mergeCell ref="B98:M98"/>
    <mergeCell ref="C76:D76"/>
    <mergeCell ref="C77:D77"/>
    <mergeCell ref="C79:D79"/>
    <mergeCell ref="C80:D80"/>
    <mergeCell ref="C82:D82"/>
    <mergeCell ref="K89:M89"/>
    <mergeCell ref="C96:D96"/>
    <mergeCell ref="C108:D108"/>
    <mergeCell ref="N100:P100"/>
    <mergeCell ref="H101:J101"/>
    <mergeCell ref="K101:M101"/>
    <mergeCell ref="N101:P101"/>
    <mergeCell ref="C105:D105"/>
    <mergeCell ref="C106:D106"/>
  </mergeCells>
  <printOptions horizontalCentered="1"/>
  <pageMargins left="0.9055118110236221" right="0.7086614173228347" top="0.7874015748031497" bottom="0.7874015748031497" header="0.5118110236220472" footer="0.31496062992125984"/>
  <pageSetup blackAndWhite="1" fitToHeight="3" horizontalDpi="600" verticalDpi="600" orientation="landscape" paperSize="9" scale="74" r:id="rId1"/>
  <headerFooter alignWithMargins="0">
    <oddFooter>&amp;C&amp;P+44&amp;11
&amp;10
</oddFooter>
  </headerFooter>
  <rowBreaks count="2" manualBreakCount="2">
    <brk id="42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showGridLines="0" zoomScale="85" zoomScaleNormal="85" workbookViewId="0" topLeftCell="A1">
      <selection activeCell="B8" sqref="B8"/>
    </sheetView>
  </sheetViews>
  <sheetFormatPr defaultColWidth="9.00390625" defaultRowHeight="12.75"/>
  <cols>
    <col min="1" max="1" width="7.125" style="0" customWidth="1"/>
    <col min="2" max="2" width="42.75390625" style="0" customWidth="1"/>
    <col min="3" max="3" width="21.375" style="0" customWidth="1"/>
    <col min="4" max="4" width="10.625" style="0" customWidth="1"/>
    <col min="5" max="7" width="14.125" style="0" customWidth="1"/>
    <col min="8" max="8" width="1.75390625" style="0" customWidth="1"/>
    <col min="10" max="10" width="12.75390625" style="0" bestFit="1" customWidth="1"/>
  </cols>
  <sheetData>
    <row r="1" spans="1:7" ht="45.75" customHeight="1">
      <c r="A1" s="44" t="s">
        <v>845</v>
      </c>
      <c r="G1" s="88" t="s">
        <v>811</v>
      </c>
    </row>
    <row r="2" ht="36" customHeight="1">
      <c r="G2" s="45"/>
    </row>
    <row r="3" spans="1:8" s="48" customFormat="1" ht="15.75">
      <c r="A3" s="46" t="s">
        <v>264</v>
      </c>
      <c r="B3" s="47"/>
      <c r="C3" s="47"/>
      <c r="D3" s="47"/>
      <c r="E3" s="47"/>
      <c r="F3" s="47"/>
      <c r="G3" s="47"/>
      <c r="H3" s="47"/>
    </row>
    <row r="4" spans="1:8" s="48" customFormat="1" ht="15.75">
      <c r="A4" s="46" t="s">
        <v>846</v>
      </c>
      <c r="B4" s="49"/>
      <c r="C4" s="47"/>
      <c r="D4" s="47"/>
      <c r="E4" s="47"/>
      <c r="F4" s="47"/>
      <c r="G4" s="47"/>
      <c r="H4" s="47"/>
    </row>
    <row r="5" spans="1:8" s="50" customFormat="1" ht="15.75">
      <c r="A5" s="46" t="s">
        <v>847</v>
      </c>
      <c r="B5" s="49"/>
      <c r="C5" s="49"/>
      <c r="D5" s="49"/>
      <c r="E5" s="49"/>
      <c r="F5" s="49"/>
      <c r="G5" s="49"/>
      <c r="H5" s="49"/>
    </row>
    <row r="6" spans="1:8" ht="12.75">
      <c r="A6" s="51" t="s">
        <v>0</v>
      </c>
      <c r="B6" s="52"/>
      <c r="C6" s="52"/>
      <c r="D6" s="52"/>
      <c r="E6" s="52"/>
      <c r="F6" s="52"/>
      <c r="G6" s="52"/>
      <c r="H6" s="53"/>
    </row>
    <row r="7" spans="1:8" ht="12.75">
      <c r="A7" s="51"/>
      <c r="B7" s="52"/>
      <c r="C7" s="52"/>
      <c r="D7" s="52"/>
      <c r="E7" s="52"/>
      <c r="F7" s="52"/>
      <c r="G7" s="52"/>
      <c r="H7" s="53"/>
    </row>
    <row r="8" spans="1:8" ht="13.5" thickBot="1">
      <c r="A8" s="51"/>
      <c r="B8" s="52"/>
      <c r="C8" s="52"/>
      <c r="D8" s="52"/>
      <c r="E8" s="52"/>
      <c r="F8" s="52"/>
      <c r="G8" s="52"/>
      <c r="H8" s="53"/>
    </row>
    <row r="9" spans="1:8" s="97" customFormat="1" ht="17.25" customHeight="1">
      <c r="A9" s="54"/>
      <c r="B9" s="91"/>
      <c r="C9" s="91"/>
      <c r="D9" s="92"/>
      <c r="E9" s="93" t="s">
        <v>782</v>
      </c>
      <c r="F9" s="94"/>
      <c r="G9" s="95" t="s">
        <v>844</v>
      </c>
      <c r="H9" s="96"/>
    </row>
    <row r="10" spans="1:8" s="97" customFormat="1" ht="21" customHeight="1" thickBot="1">
      <c r="A10" s="98"/>
      <c r="B10" s="99"/>
      <c r="C10" s="99"/>
      <c r="D10" s="100"/>
      <c r="E10" s="101" t="s">
        <v>843</v>
      </c>
      <c r="F10" s="102" t="s">
        <v>1</v>
      </c>
      <c r="G10" s="103" t="s">
        <v>783</v>
      </c>
      <c r="H10" s="104"/>
    </row>
    <row r="11" spans="1:9" s="32" customFormat="1" ht="18" customHeight="1">
      <c r="A11" s="58" t="s">
        <v>2</v>
      </c>
      <c r="B11" s="59"/>
      <c r="C11" s="60"/>
      <c r="D11" s="61"/>
      <c r="E11" s="122">
        <v>50216576</v>
      </c>
      <c r="F11" s="112">
        <v>51333922</v>
      </c>
      <c r="G11" s="1042">
        <v>49519662.81</v>
      </c>
      <c r="H11" s="61"/>
      <c r="I11" s="105"/>
    </row>
    <row r="12" spans="1:8" ht="18" customHeight="1">
      <c r="A12" s="62" t="s">
        <v>3</v>
      </c>
      <c r="B12" s="63" t="s">
        <v>4</v>
      </c>
      <c r="C12" s="64"/>
      <c r="D12" s="65"/>
      <c r="E12" s="114"/>
      <c r="F12" s="115"/>
      <c r="G12" s="1043"/>
      <c r="H12" s="65"/>
    </row>
    <row r="13" spans="1:8" ht="12.75">
      <c r="A13" s="62"/>
      <c r="B13" s="63"/>
      <c r="C13" s="66"/>
      <c r="D13" s="65"/>
      <c r="E13" s="114"/>
      <c r="F13" s="115"/>
      <c r="G13" s="1043"/>
      <c r="H13" s="65"/>
    </row>
    <row r="14" spans="1:8" s="32" customFormat="1" ht="18" customHeight="1">
      <c r="A14" s="58" t="s">
        <v>5</v>
      </c>
      <c r="B14" s="59"/>
      <c r="C14" s="60"/>
      <c r="D14" s="61"/>
      <c r="E14" s="111">
        <v>1303377</v>
      </c>
      <c r="F14" s="112">
        <v>1989015</v>
      </c>
      <c r="G14" s="1042">
        <v>2126532.55</v>
      </c>
      <c r="H14" s="61"/>
    </row>
    <row r="15" spans="1:8" s="32" customFormat="1" ht="18" customHeight="1">
      <c r="A15" s="58" t="s">
        <v>3</v>
      </c>
      <c r="B15" s="59" t="s">
        <v>4</v>
      </c>
      <c r="C15" s="60"/>
      <c r="D15" s="61"/>
      <c r="E15" s="111"/>
      <c r="F15" s="112"/>
      <c r="G15" s="1042"/>
      <c r="H15" s="61"/>
    </row>
    <row r="16" spans="1:8" ht="12.75">
      <c r="A16" s="62"/>
      <c r="B16" s="63"/>
      <c r="C16" s="66"/>
      <c r="D16" s="65"/>
      <c r="E16" s="114"/>
      <c r="F16" s="115"/>
      <c r="G16" s="1043"/>
      <c r="H16" s="65"/>
    </row>
    <row r="17" spans="1:8" ht="18" customHeight="1">
      <c r="A17" s="62" t="s">
        <v>6</v>
      </c>
      <c r="B17" s="63"/>
      <c r="C17" s="66"/>
      <c r="D17" s="65"/>
      <c r="E17" s="114">
        <v>791635</v>
      </c>
      <c r="F17" s="115">
        <v>1083520</v>
      </c>
      <c r="G17" s="1043">
        <v>1068741.05</v>
      </c>
      <c r="H17" s="65"/>
    </row>
    <row r="18" spans="1:8" ht="18" customHeight="1">
      <c r="A18" s="62" t="s">
        <v>3</v>
      </c>
      <c r="B18" s="63" t="s">
        <v>4</v>
      </c>
      <c r="C18" s="66"/>
      <c r="D18" s="65"/>
      <c r="E18" s="114"/>
      <c r="F18" s="115"/>
      <c r="G18" s="1043"/>
      <c r="H18" s="65"/>
    </row>
    <row r="19" spans="1:8" ht="12.75">
      <c r="A19" s="62"/>
      <c r="B19" s="63"/>
      <c r="C19" s="63"/>
      <c r="D19" s="67"/>
      <c r="E19" s="114"/>
      <c r="F19" s="115"/>
      <c r="G19" s="1043"/>
      <c r="H19" s="65"/>
    </row>
    <row r="20" spans="1:10" s="32" customFormat="1" ht="18" customHeight="1">
      <c r="A20" s="58" t="s">
        <v>7</v>
      </c>
      <c r="B20" s="59"/>
      <c r="C20" s="59"/>
      <c r="D20" s="68"/>
      <c r="E20" s="111">
        <v>0</v>
      </c>
      <c r="F20" s="112">
        <v>0</v>
      </c>
      <c r="G20" s="1042">
        <v>0</v>
      </c>
      <c r="H20" s="61"/>
      <c r="J20" s="1257"/>
    </row>
    <row r="21" spans="1:8" ht="18" customHeight="1">
      <c r="A21" s="62" t="s">
        <v>3</v>
      </c>
      <c r="B21" s="63" t="s">
        <v>4</v>
      </c>
      <c r="C21" s="63"/>
      <c r="D21" s="67"/>
      <c r="E21" s="114"/>
      <c r="F21" s="115"/>
      <c r="G21" s="1043"/>
      <c r="H21" s="65"/>
    </row>
    <row r="22" spans="1:8" ht="12.75">
      <c r="A22" s="62"/>
      <c r="B22" s="63"/>
      <c r="C22" s="63"/>
      <c r="D22" s="67"/>
      <c r="E22" s="114"/>
      <c r="F22" s="115"/>
      <c r="G22" s="1043"/>
      <c r="H22" s="65"/>
    </row>
    <row r="23" spans="1:8" s="32" customFormat="1" ht="18" customHeight="1">
      <c r="A23" s="106" t="s">
        <v>22</v>
      </c>
      <c r="B23" s="59"/>
      <c r="C23" s="59"/>
      <c r="D23" s="68"/>
      <c r="E23" s="111">
        <v>155357</v>
      </c>
      <c r="F23" s="112">
        <v>165478</v>
      </c>
      <c r="G23" s="1042">
        <v>332330.31</v>
      </c>
      <c r="H23" s="61"/>
    </row>
    <row r="24" spans="1:8" s="32" customFormat="1" ht="18" customHeight="1">
      <c r="A24" s="58" t="s">
        <v>3</v>
      </c>
      <c r="B24" s="59" t="s">
        <v>4</v>
      </c>
      <c r="C24" s="4"/>
      <c r="D24" s="68"/>
      <c r="E24" s="111"/>
      <c r="F24" s="112"/>
      <c r="G24" s="1042"/>
      <c r="H24" s="61"/>
    </row>
    <row r="25" spans="1:8" s="32" customFormat="1" ht="18" customHeight="1">
      <c r="A25" s="58"/>
      <c r="B25" s="59" t="s">
        <v>8</v>
      </c>
      <c r="C25" s="4"/>
      <c r="D25" s="68"/>
      <c r="E25" s="111">
        <v>155357</v>
      </c>
      <c r="F25" s="112">
        <v>165478</v>
      </c>
      <c r="G25" s="1042">
        <v>332330.31</v>
      </c>
      <c r="H25" s="61"/>
    </row>
    <row r="26" spans="1:8" s="32" customFormat="1" ht="18" customHeight="1">
      <c r="A26" s="58"/>
      <c r="B26" s="107" t="s">
        <v>23</v>
      </c>
      <c r="C26" s="4"/>
      <c r="D26" s="68"/>
      <c r="E26" s="111"/>
      <c r="F26" s="112"/>
      <c r="G26" s="1042"/>
      <c r="H26" s="61"/>
    </row>
    <row r="27" spans="1:8" s="32" customFormat="1" ht="12.75">
      <c r="A27" s="58"/>
      <c r="B27" s="59"/>
      <c r="C27" s="59"/>
      <c r="D27" s="68"/>
      <c r="E27" s="111"/>
      <c r="F27" s="112"/>
      <c r="G27" s="1042"/>
      <c r="H27" s="61"/>
    </row>
    <row r="28" spans="1:8" s="32" customFormat="1" ht="18" customHeight="1">
      <c r="A28" s="106" t="s">
        <v>43</v>
      </c>
      <c r="B28" s="59"/>
      <c r="C28" s="59"/>
      <c r="D28" s="68"/>
      <c r="E28" s="111">
        <v>35000</v>
      </c>
      <c r="F28" s="112">
        <v>30098</v>
      </c>
      <c r="G28" s="1042">
        <v>206976.99</v>
      </c>
      <c r="H28" s="61"/>
    </row>
    <row r="29" spans="1:8" ht="18" customHeight="1">
      <c r="A29" s="62" t="s">
        <v>3</v>
      </c>
      <c r="B29" s="63" t="s">
        <v>4</v>
      </c>
      <c r="C29" s="3"/>
      <c r="D29" s="67"/>
      <c r="E29" s="114"/>
      <c r="F29" s="115"/>
      <c r="G29" s="1043"/>
      <c r="H29" s="65"/>
    </row>
    <row r="30" spans="1:8" s="32" customFormat="1" ht="18" customHeight="1">
      <c r="A30" s="58"/>
      <c r="B30" s="59" t="s">
        <v>8</v>
      </c>
      <c r="C30" s="4"/>
      <c r="D30" s="68"/>
      <c r="E30" s="111">
        <v>35000</v>
      </c>
      <c r="F30" s="112">
        <v>30098</v>
      </c>
      <c r="G30" s="1042">
        <v>206976.99</v>
      </c>
      <c r="H30" s="61"/>
    </row>
    <row r="31" spans="1:8" ht="18" customHeight="1">
      <c r="A31" s="62"/>
      <c r="B31" s="108" t="s">
        <v>23</v>
      </c>
      <c r="C31" s="3"/>
      <c r="D31" s="67"/>
      <c r="E31" s="114"/>
      <c r="F31" s="115"/>
      <c r="G31" s="1043"/>
      <c r="H31" s="65"/>
    </row>
    <row r="32" spans="1:8" ht="12.75">
      <c r="A32" s="62"/>
      <c r="B32" s="63"/>
      <c r="C32" s="63"/>
      <c r="D32" s="67"/>
      <c r="E32" s="114"/>
      <c r="F32" s="115"/>
      <c r="G32" s="1043"/>
      <c r="H32" s="65"/>
    </row>
    <row r="33" spans="1:8" ht="18" customHeight="1">
      <c r="A33" s="109" t="s">
        <v>44</v>
      </c>
      <c r="B33" s="63"/>
      <c r="C33" s="63"/>
      <c r="D33" s="67"/>
      <c r="E33" s="114">
        <v>154713</v>
      </c>
      <c r="F33" s="115">
        <v>244117</v>
      </c>
      <c r="G33" s="1043">
        <v>252366.06</v>
      </c>
      <c r="H33" s="65"/>
    </row>
    <row r="34" spans="1:8" ht="18" customHeight="1">
      <c r="A34" s="62" t="s">
        <v>9</v>
      </c>
      <c r="B34" s="63"/>
      <c r="C34" s="63"/>
      <c r="D34" s="67"/>
      <c r="E34" s="114"/>
      <c r="F34" s="115"/>
      <c r="G34" s="1043"/>
      <c r="H34" s="65"/>
    </row>
    <row r="35" spans="1:8" ht="18" customHeight="1">
      <c r="A35" s="62" t="s">
        <v>3</v>
      </c>
      <c r="B35" s="63" t="s">
        <v>4</v>
      </c>
      <c r="C35" s="3"/>
      <c r="D35" s="67"/>
      <c r="E35" s="114"/>
      <c r="F35" s="115"/>
      <c r="G35" s="1043"/>
      <c r="H35" s="65"/>
    </row>
    <row r="36" spans="1:8" ht="18" customHeight="1">
      <c r="A36" s="62"/>
      <c r="B36" s="63" t="s">
        <v>8</v>
      </c>
      <c r="C36" s="3"/>
      <c r="D36" s="67"/>
      <c r="E36" s="114">
        <v>154713</v>
      </c>
      <c r="F36" s="115">
        <v>244117</v>
      </c>
      <c r="G36" s="1043">
        <v>252366.06</v>
      </c>
      <c r="H36" s="65"/>
    </row>
    <row r="37" spans="1:8" ht="18" customHeight="1">
      <c r="A37" s="62"/>
      <c r="B37" s="108" t="s">
        <v>23</v>
      </c>
      <c r="C37" s="63"/>
      <c r="D37" s="67"/>
      <c r="E37" s="114"/>
      <c r="F37" s="115"/>
      <c r="G37" s="1043"/>
      <c r="H37" s="65"/>
    </row>
    <row r="38" spans="1:8" ht="12.75">
      <c r="A38" s="62"/>
      <c r="B38" s="63"/>
      <c r="C38" s="63"/>
      <c r="D38" s="67"/>
      <c r="E38" s="114"/>
      <c r="F38" s="115"/>
      <c r="G38" s="1043"/>
      <c r="H38" s="65"/>
    </row>
    <row r="39" spans="1:8" s="32" customFormat="1" ht="18" customHeight="1">
      <c r="A39" s="106" t="s">
        <v>45</v>
      </c>
      <c r="B39" s="59"/>
      <c r="C39" s="59"/>
      <c r="D39" s="68"/>
      <c r="E39" s="111">
        <v>0</v>
      </c>
      <c r="F39" s="112">
        <v>0</v>
      </c>
      <c r="G39" s="1042">
        <v>3369.16</v>
      </c>
      <c r="H39" s="61"/>
    </row>
    <row r="40" spans="1:8" s="32" customFormat="1" ht="18" customHeight="1">
      <c r="A40" s="58" t="s">
        <v>10</v>
      </c>
      <c r="B40" s="59"/>
      <c r="C40" s="59"/>
      <c r="D40" s="68"/>
      <c r="E40" s="111"/>
      <c r="F40" s="112"/>
      <c r="G40" s="1042"/>
      <c r="H40" s="61"/>
    </row>
    <row r="41" spans="1:8" s="32" customFormat="1" ht="18" customHeight="1">
      <c r="A41" s="58" t="s">
        <v>3</v>
      </c>
      <c r="B41" s="59" t="s">
        <v>4</v>
      </c>
      <c r="C41" s="4"/>
      <c r="D41" s="68"/>
      <c r="E41" s="111"/>
      <c r="F41" s="112"/>
      <c r="G41" s="1042"/>
      <c r="H41" s="61"/>
    </row>
    <row r="42" spans="1:8" s="32" customFormat="1" ht="18" customHeight="1">
      <c r="A42" s="58"/>
      <c r="B42" s="59" t="s">
        <v>8</v>
      </c>
      <c r="C42" s="4"/>
      <c r="D42" s="68"/>
      <c r="E42" s="111">
        <v>0</v>
      </c>
      <c r="F42" s="112">
        <v>0</v>
      </c>
      <c r="G42" s="1042">
        <v>3369.16</v>
      </c>
      <c r="H42" s="61"/>
    </row>
    <row r="43" spans="1:8" s="32" customFormat="1" ht="18" customHeight="1">
      <c r="A43" s="58"/>
      <c r="B43" s="107" t="s">
        <v>23</v>
      </c>
      <c r="C43" s="59"/>
      <c r="D43" s="68"/>
      <c r="E43" s="111"/>
      <c r="F43" s="112"/>
      <c r="G43" s="1042"/>
      <c r="H43" s="61"/>
    </row>
    <row r="44" spans="1:8" ht="12.75">
      <c r="A44" s="62"/>
      <c r="B44" s="63"/>
      <c r="C44" s="63"/>
      <c r="D44" s="67"/>
      <c r="E44" s="114"/>
      <c r="F44" s="115"/>
      <c r="G44" s="1043"/>
      <c r="H44" s="65"/>
    </row>
    <row r="45" spans="1:8" ht="28.5" customHeight="1">
      <c r="A45" s="1407" t="s">
        <v>11</v>
      </c>
      <c r="B45" s="1408"/>
      <c r="C45" s="1408"/>
      <c r="D45" s="1409"/>
      <c r="E45" s="114">
        <v>0</v>
      </c>
      <c r="F45" s="115">
        <v>0</v>
      </c>
      <c r="G45" s="1043">
        <v>0</v>
      </c>
      <c r="H45" s="65"/>
    </row>
    <row r="46" spans="1:8" ht="18" customHeight="1">
      <c r="A46" s="109" t="s">
        <v>3</v>
      </c>
      <c r="B46" s="108" t="s">
        <v>12</v>
      </c>
      <c r="C46" s="108"/>
      <c r="D46" s="110"/>
      <c r="E46" s="114"/>
      <c r="F46" s="115"/>
      <c r="G46" s="1042"/>
      <c r="H46" s="65"/>
    </row>
    <row r="47" spans="1:8" ht="18" customHeight="1">
      <c r="A47" s="109"/>
      <c r="B47" s="108" t="s">
        <v>13</v>
      </c>
      <c r="C47" s="108"/>
      <c r="D47" s="110"/>
      <c r="E47" s="114"/>
      <c r="F47" s="115"/>
      <c r="G47" s="1042"/>
      <c r="H47" s="65"/>
    </row>
    <row r="48" spans="1:8" ht="12.75">
      <c r="A48" s="62"/>
      <c r="B48" s="66"/>
      <c r="C48" s="66"/>
      <c r="D48" s="65"/>
      <c r="E48" s="114"/>
      <c r="F48" s="115"/>
      <c r="G48" s="1043"/>
      <c r="H48" s="65"/>
    </row>
    <row r="49" spans="1:8" s="32" customFormat="1" ht="18" customHeight="1">
      <c r="A49" s="58" t="s">
        <v>14</v>
      </c>
      <c r="B49" s="59"/>
      <c r="C49" s="60"/>
      <c r="D49" s="61"/>
      <c r="E49" s="114">
        <v>51318281</v>
      </c>
      <c r="F49" s="115">
        <v>52827037</v>
      </c>
      <c r="G49" s="1042">
        <v>51173100.23</v>
      </c>
      <c r="H49" s="65"/>
    </row>
    <row r="50" spans="1:8" s="32" customFormat="1" ht="18" customHeight="1">
      <c r="A50" s="58" t="s">
        <v>3</v>
      </c>
      <c r="B50" s="59" t="s">
        <v>4</v>
      </c>
      <c r="C50" s="60"/>
      <c r="D50" s="61"/>
      <c r="E50" s="114"/>
      <c r="F50" s="115"/>
      <c r="G50" s="1042"/>
      <c r="H50" s="65"/>
    </row>
    <row r="51" spans="1:8" s="32" customFormat="1" ht="12.75">
      <c r="A51" s="58"/>
      <c r="B51" s="59"/>
      <c r="C51" s="60"/>
      <c r="D51" s="61"/>
      <c r="E51" s="114"/>
      <c r="F51" s="115"/>
      <c r="G51" s="1042"/>
      <c r="H51" s="65"/>
    </row>
    <row r="52" spans="1:8" s="32" customFormat="1" ht="12.75">
      <c r="A52" s="58"/>
      <c r="B52" s="59"/>
      <c r="C52" s="60"/>
      <c r="D52" s="61"/>
      <c r="E52" s="114"/>
      <c r="F52" s="115"/>
      <c r="G52" s="1042"/>
      <c r="H52" s="65"/>
    </row>
    <row r="53" spans="1:8" s="32" customFormat="1" ht="18" customHeight="1">
      <c r="A53" s="58" t="s">
        <v>15</v>
      </c>
      <c r="B53" s="59"/>
      <c r="C53" s="60"/>
      <c r="D53" s="61"/>
      <c r="E53" s="114">
        <v>1338377</v>
      </c>
      <c r="F53" s="115">
        <v>2019113</v>
      </c>
      <c r="G53" s="1042">
        <v>2336878.7</v>
      </c>
      <c r="H53" s="65"/>
    </row>
    <row r="54" spans="1:8" s="32" customFormat="1" ht="18" customHeight="1">
      <c r="A54" s="58" t="s">
        <v>3</v>
      </c>
      <c r="B54" s="59" t="s">
        <v>4</v>
      </c>
      <c r="C54" s="60"/>
      <c r="D54" s="61"/>
      <c r="E54" s="114"/>
      <c r="F54" s="115"/>
      <c r="G54" s="1042"/>
      <c r="H54" s="65"/>
    </row>
    <row r="55" spans="1:8" ht="12.75">
      <c r="A55" s="62"/>
      <c r="B55" s="63"/>
      <c r="C55" s="66"/>
      <c r="D55" s="65"/>
      <c r="E55" s="117"/>
      <c r="F55" s="118"/>
      <c r="G55" s="1043"/>
      <c r="H55" s="65"/>
    </row>
    <row r="56" spans="1:8" ht="13.5" thickBot="1">
      <c r="A56" s="55"/>
      <c r="B56" s="56"/>
      <c r="C56" s="56"/>
      <c r="D56" s="57"/>
      <c r="E56" s="119"/>
      <c r="F56" s="120"/>
      <c r="G56" s="121"/>
      <c r="H56" s="57"/>
    </row>
    <row r="57" spans="1:8" ht="12.75">
      <c r="A57" s="66"/>
      <c r="B57" s="66"/>
      <c r="C57" s="66"/>
      <c r="D57" s="66"/>
      <c r="E57" s="66"/>
      <c r="F57" s="66"/>
      <c r="G57" s="66"/>
      <c r="H57" s="66"/>
    </row>
    <row r="58" spans="1:8" ht="12.75">
      <c r="A58" s="66"/>
      <c r="B58" s="66"/>
      <c r="C58" s="66"/>
      <c r="D58" s="66"/>
      <c r="E58" s="122"/>
      <c r="F58" s="122"/>
      <c r="G58" s="122"/>
      <c r="H58" s="66"/>
    </row>
    <row r="59" spans="1:8" ht="12.75">
      <c r="A59" s="66"/>
      <c r="B59" s="66"/>
      <c r="C59" s="66"/>
      <c r="D59" s="66"/>
      <c r="E59" s="66"/>
      <c r="F59" s="66"/>
      <c r="G59" s="66"/>
      <c r="H59" s="66"/>
    </row>
    <row r="60" spans="1:8" ht="18" customHeight="1">
      <c r="A60" s="66"/>
      <c r="B60" s="66"/>
      <c r="C60" s="66"/>
      <c r="D60" s="66"/>
      <c r="E60" s="66"/>
      <c r="F60" s="66"/>
      <c r="G60" s="66"/>
      <c r="H60" s="66"/>
    </row>
    <row r="61" spans="1:7" s="4" customFormat="1" ht="12.75">
      <c r="A61" s="63" t="s">
        <v>345</v>
      </c>
      <c r="B61" s="3"/>
      <c r="C61" s="3" t="s">
        <v>801</v>
      </c>
      <c r="D61" s="3"/>
      <c r="E61" s="3"/>
      <c r="F61" s="1410" t="s">
        <v>530</v>
      </c>
      <c r="G61" s="1410"/>
    </row>
    <row r="62" spans="1:7" s="4" customFormat="1" ht="12.75">
      <c r="A62" s="3"/>
      <c r="B62" s="3"/>
      <c r="C62" s="3"/>
      <c r="D62" s="3"/>
      <c r="E62" s="3"/>
      <c r="F62" s="3"/>
      <c r="G62" s="69"/>
    </row>
    <row r="63" s="4" customFormat="1" ht="12.75">
      <c r="A63" s="59"/>
    </row>
    <row r="64" s="4" customFormat="1" ht="12.75">
      <c r="A64" s="59"/>
    </row>
    <row r="65" ht="12.75">
      <c r="A65" s="66"/>
    </row>
    <row r="66" ht="12.75">
      <c r="A66" s="66"/>
    </row>
    <row r="67" ht="12.75">
      <c r="A67" s="66"/>
    </row>
    <row r="68" ht="12.75">
      <c r="A68" s="66"/>
    </row>
    <row r="69" ht="12.75">
      <c r="A69" s="66"/>
    </row>
  </sheetData>
  <sheetProtection/>
  <mergeCells count="2">
    <mergeCell ref="A45:D45"/>
    <mergeCell ref="F61:G61"/>
  </mergeCells>
  <printOptions/>
  <pageMargins left="0.8661417322834646" right="0" top="0.35433070866141736" bottom="0.15748031496062992" header="0.15748031496062992" footer="0.3937007874015748"/>
  <pageSetup horizontalDpi="600" verticalDpi="600" orientation="portrait" paperSize="9" scale="70" r:id="rId1"/>
  <headerFooter alignWithMargins="0">
    <oddFooter>&amp;C&amp;12&amp;P+47
&amp;10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B1:L57"/>
  <sheetViews>
    <sheetView showGridLines="0" workbookViewId="0" topLeftCell="A10">
      <selection activeCell="D11" sqref="D11"/>
    </sheetView>
  </sheetViews>
  <sheetFormatPr defaultColWidth="9.00390625" defaultRowHeight="12.75"/>
  <cols>
    <col min="1" max="1" width="9.125" style="70" customWidth="1"/>
    <col min="2" max="2" width="7.125" style="70" customWidth="1"/>
    <col min="3" max="3" width="16.75390625" style="70" customWidth="1"/>
    <col min="4" max="4" width="35.75390625" style="70" customWidth="1"/>
    <col min="5" max="5" width="2.625" style="70" customWidth="1"/>
    <col min="6" max="6" width="11.00390625" style="70" customWidth="1"/>
    <col min="7" max="7" width="1.37890625" style="70" customWidth="1"/>
    <col min="8" max="8" width="11.375" style="70" customWidth="1"/>
    <col min="9" max="9" width="1.25" style="70" customWidth="1"/>
    <col min="10" max="10" width="12.625" style="70" customWidth="1"/>
    <col min="11" max="11" width="1.12109375" style="70" customWidth="1"/>
    <col min="12" max="12" width="10.00390625" style="70" customWidth="1"/>
    <col min="13" max="16384" width="9.125" style="70" customWidth="1"/>
  </cols>
  <sheetData>
    <row r="1" spans="2:10" ht="45" customHeight="1">
      <c r="B1" s="70" t="s">
        <v>845</v>
      </c>
      <c r="J1" s="89" t="s">
        <v>16</v>
      </c>
    </row>
    <row r="3" ht="12.75">
      <c r="J3" s="72"/>
    </row>
    <row r="4" ht="12.75">
      <c r="J4" s="72"/>
    </row>
    <row r="5" ht="21.75" customHeight="1">
      <c r="J5" s="72"/>
    </row>
    <row r="6" spans="2:11" s="71" customFormat="1" ht="15">
      <c r="B6" s="73" t="s">
        <v>17</v>
      </c>
      <c r="C6" s="74"/>
      <c r="D6" s="74"/>
      <c r="E6" s="74"/>
      <c r="F6" s="74"/>
      <c r="G6" s="74"/>
      <c r="H6" s="74"/>
      <c r="I6" s="74"/>
      <c r="J6" s="74"/>
      <c r="K6" s="74"/>
    </row>
    <row r="7" spans="2:11" s="77" customFormat="1" ht="15">
      <c r="B7" s="75"/>
      <c r="C7" s="1411" t="s">
        <v>265</v>
      </c>
      <c r="D7" s="1411"/>
      <c r="E7" s="1411"/>
      <c r="F7" s="1411"/>
      <c r="G7" s="1411"/>
      <c r="H7" s="1411"/>
      <c r="I7" s="1411"/>
      <c r="J7" s="1411"/>
      <c r="K7" s="76"/>
    </row>
    <row r="8" spans="2:11" s="77" customFormat="1" ht="12.75">
      <c r="B8" s="1412" t="s">
        <v>0</v>
      </c>
      <c r="C8" s="1412"/>
      <c r="D8" s="1412"/>
      <c r="E8" s="1412"/>
      <c r="F8" s="1412"/>
      <c r="G8" s="1412"/>
      <c r="H8" s="1412"/>
      <c r="I8" s="1412"/>
      <c r="J8" s="1412"/>
      <c r="K8" s="76"/>
    </row>
    <row r="9" spans="2:11" s="77" customFormat="1" ht="12.75">
      <c r="B9" s="126"/>
      <c r="C9" s="126"/>
      <c r="D9" s="126"/>
      <c r="E9" s="126"/>
      <c r="F9" s="126"/>
      <c r="G9" s="126"/>
      <c r="H9" s="126"/>
      <c r="I9" s="126"/>
      <c r="J9" s="126"/>
      <c r="K9" s="76"/>
    </row>
    <row r="10" spans="3:11" ht="12.75">
      <c r="C10" s="76"/>
      <c r="E10" s="76"/>
      <c r="F10" s="76"/>
      <c r="G10" s="76"/>
      <c r="H10" s="76"/>
      <c r="I10" s="76"/>
      <c r="J10" s="76"/>
      <c r="K10" s="78"/>
    </row>
    <row r="11" spans="2:11" ht="20.25" customHeight="1" thickBot="1">
      <c r="B11" s="76"/>
      <c r="C11" s="76"/>
      <c r="D11" s="76"/>
      <c r="E11" s="76"/>
      <c r="F11" s="76"/>
      <c r="G11" s="76"/>
      <c r="H11" s="76"/>
      <c r="I11" s="76"/>
      <c r="J11" s="76"/>
      <c r="K11" s="78"/>
    </row>
    <row r="12" spans="2:11" s="97" customFormat="1" ht="17.25" customHeight="1">
      <c r="B12" s="54"/>
      <c r="C12" s="91"/>
      <c r="D12" s="91"/>
      <c r="E12" s="92"/>
      <c r="F12" s="127" t="s">
        <v>782</v>
      </c>
      <c r="G12" s="127"/>
      <c r="H12" s="127"/>
      <c r="I12" s="128"/>
      <c r="J12" s="95" t="s">
        <v>844</v>
      </c>
      <c r="K12" s="96"/>
    </row>
    <row r="13" spans="2:11" s="97" customFormat="1" ht="17.25" customHeight="1" thickBot="1">
      <c r="B13" s="98"/>
      <c r="C13" s="99"/>
      <c r="D13" s="99"/>
      <c r="E13" s="100"/>
      <c r="F13" s="103" t="s">
        <v>843</v>
      </c>
      <c r="G13" s="129"/>
      <c r="H13" s="103" t="s">
        <v>1</v>
      </c>
      <c r="I13" s="129"/>
      <c r="J13" s="103" t="s">
        <v>784</v>
      </c>
      <c r="K13" s="104"/>
    </row>
    <row r="14" spans="2:11" ht="15.75" customHeight="1">
      <c r="B14" s="82"/>
      <c r="C14" s="83"/>
      <c r="D14" s="83"/>
      <c r="E14" s="84"/>
      <c r="F14" s="83"/>
      <c r="G14" s="85"/>
      <c r="H14" s="83"/>
      <c r="I14" s="85"/>
      <c r="J14" s="83"/>
      <c r="K14" s="84"/>
    </row>
    <row r="15" spans="2:12" ht="15.75" customHeight="1">
      <c r="B15" s="109" t="s">
        <v>785</v>
      </c>
      <c r="C15" s="108"/>
      <c r="D15" s="108"/>
      <c r="E15" s="110"/>
      <c r="F15" s="116">
        <v>79030</v>
      </c>
      <c r="G15" s="123"/>
      <c r="H15" s="116">
        <v>70237</v>
      </c>
      <c r="I15" s="123"/>
      <c r="J15" s="1043">
        <v>118887.5</v>
      </c>
      <c r="K15" s="110"/>
      <c r="L15" s="90"/>
    </row>
    <row r="16" spans="2:11" ht="15.75" customHeight="1">
      <c r="B16" s="109" t="s">
        <v>3</v>
      </c>
      <c r="C16" s="108" t="s">
        <v>4</v>
      </c>
      <c r="D16" s="108"/>
      <c r="E16" s="110"/>
      <c r="F16" s="116"/>
      <c r="G16" s="123"/>
      <c r="H16" s="116"/>
      <c r="I16" s="123"/>
      <c r="J16" s="1043"/>
      <c r="K16" s="110"/>
    </row>
    <row r="17" spans="2:11" ht="15.75" customHeight="1">
      <c r="B17" s="109"/>
      <c r="C17" s="108"/>
      <c r="D17" s="108"/>
      <c r="E17" s="110"/>
      <c r="F17" s="116"/>
      <c r="G17" s="123"/>
      <c r="H17" s="116"/>
      <c r="I17" s="123"/>
      <c r="J17" s="1043"/>
      <c r="K17" s="110"/>
    </row>
    <row r="18" spans="2:11" ht="15.75" customHeight="1">
      <c r="B18" s="109" t="s">
        <v>786</v>
      </c>
      <c r="C18" s="108"/>
      <c r="D18" s="108"/>
      <c r="E18" s="110"/>
      <c r="F18" s="116"/>
      <c r="G18" s="123"/>
      <c r="H18" s="116"/>
      <c r="I18" s="123"/>
      <c r="J18" s="1043">
        <v>52782.68</v>
      </c>
      <c r="K18" s="110"/>
    </row>
    <row r="19" spans="2:11" ht="15.75" customHeight="1">
      <c r="B19" s="109" t="s">
        <v>3</v>
      </c>
      <c r="C19" s="108" t="s">
        <v>4</v>
      </c>
      <c r="D19" s="108"/>
      <c r="E19" s="110"/>
      <c r="F19" s="113"/>
      <c r="G19" s="123"/>
      <c r="H19" s="113"/>
      <c r="I19" s="123"/>
      <c r="J19" s="1042"/>
      <c r="K19" s="110"/>
    </row>
    <row r="20" spans="2:11" ht="15.75" customHeight="1">
      <c r="B20" s="109"/>
      <c r="C20" s="108"/>
      <c r="D20" s="108"/>
      <c r="E20" s="110"/>
      <c r="F20" s="116"/>
      <c r="G20" s="123"/>
      <c r="H20" s="116"/>
      <c r="I20" s="123"/>
      <c r="J20" s="1043"/>
      <c r="K20" s="110"/>
    </row>
    <row r="21" spans="2:11" ht="15.75" customHeight="1">
      <c r="B21" s="109" t="s">
        <v>787</v>
      </c>
      <c r="C21" s="108"/>
      <c r="D21" s="108"/>
      <c r="E21" s="110"/>
      <c r="F21" s="116"/>
      <c r="G21" s="123"/>
      <c r="H21" s="116"/>
      <c r="I21" s="123"/>
      <c r="J21" s="1043"/>
      <c r="K21" s="110"/>
    </row>
    <row r="22" spans="2:11" ht="15.75" customHeight="1">
      <c r="B22" s="109" t="s">
        <v>18</v>
      </c>
      <c r="C22" s="108"/>
      <c r="D22" s="108"/>
      <c r="E22" s="110"/>
      <c r="F22" s="116"/>
      <c r="G22" s="123"/>
      <c r="H22" s="116"/>
      <c r="I22" s="123"/>
      <c r="J22" s="1043"/>
      <c r="K22" s="110"/>
    </row>
    <row r="23" spans="2:11" ht="15.75" customHeight="1">
      <c r="B23" s="109" t="s">
        <v>3</v>
      </c>
      <c r="C23" s="108" t="s">
        <v>4</v>
      </c>
      <c r="D23" s="108"/>
      <c r="E23" s="110"/>
      <c r="F23" s="113"/>
      <c r="G23" s="123"/>
      <c r="H23" s="113"/>
      <c r="I23" s="123"/>
      <c r="J23" s="1042"/>
      <c r="K23" s="110"/>
    </row>
    <row r="24" spans="2:11" ht="15.75" customHeight="1">
      <c r="B24" s="109"/>
      <c r="C24" s="108"/>
      <c r="D24" s="108"/>
      <c r="E24" s="110"/>
      <c r="F24" s="116"/>
      <c r="G24" s="123"/>
      <c r="H24" s="116"/>
      <c r="I24" s="123"/>
      <c r="J24" s="1043"/>
      <c r="K24" s="110"/>
    </row>
    <row r="25" spans="2:11" ht="15.75" customHeight="1">
      <c r="B25" s="109" t="s">
        <v>788</v>
      </c>
      <c r="C25" s="108"/>
      <c r="D25" s="108"/>
      <c r="E25" s="110"/>
      <c r="F25" s="116"/>
      <c r="G25" s="123"/>
      <c r="H25" s="116"/>
      <c r="I25" s="123"/>
      <c r="J25" s="1043"/>
      <c r="K25" s="110"/>
    </row>
    <row r="26" spans="2:11" ht="15.75" customHeight="1">
      <c r="B26" s="109" t="s">
        <v>18</v>
      </c>
      <c r="C26" s="108"/>
      <c r="D26" s="108"/>
      <c r="E26" s="110"/>
      <c r="F26" s="116"/>
      <c r="G26" s="123"/>
      <c r="H26" s="116"/>
      <c r="I26" s="123"/>
      <c r="J26" s="1043"/>
      <c r="K26" s="110"/>
    </row>
    <row r="27" spans="2:11" ht="15.75" customHeight="1">
      <c r="B27" s="109" t="s">
        <v>3</v>
      </c>
      <c r="C27" s="108" t="s">
        <v>4</v>
      </c>
      <c r="D27" s="108"/>
      <c r="E27" s="110"/>
      <c r="F27" s="116"/>
      <c r="G27" s="123"/>
      <c r="H27" s="116"/>
      <c r="I27" s="123"/>
      <c r="J27" s="1043"/>
      <c r="K27" s="110"/>
    </row>
    <row r="28" spans="2:11" s="86" customFormat="1" ht="15.75" customHeight="1">
      <c r="B28" s="106"/>
      <c r="C28" s="107"/>
      <c r="D28" s="107"/>
      <c r="E28" s="124"/>
      <c r="F28" s="113"/>
      <c r="G28" s="125"/>
      <c r="H28" s="113"/>
      <c r="I28" s="125"/>
      <c r="J28" s="1042"/>
      <c r="K28" s="124"/>
    </row>
    <row r="29" spans="2:11" s="86" customFormat="1" ht="15.75" customHeight="1">
      <c r="B29" s="106" t="s">
        <v>789</v>
      </c>
      <c r="C29" s="107"/>
      <c r="D29" s="107"/>
      <c r="E29" s="124"/>
      <c r="F29" s="113">
        <v>76327</v>
      </c>
      <c r="G29" s="125">
        <v>95241</v>
      </c>
      <c r="H29" s="113">
        <v>95241</v>
      </c>
      <c r="I29" s="125"/>
      <c r="J29" s="1042">
        <v>213442.81</v>
      </c>
      <c r="K29" s="124"/>
    </row>
    <row r="30" spans="2:11" s="86" customFormat="1" ht="15.75" customHeight="1">
      <c r="B30" s="106" t="s">
        <v>3</v>
      </c>
      <c r="C30" s="107" t="s">
        <v>4</v>
      </c>
      <c r="D30" s="107"/>
      <c r="E30" s="124"/>
      <c r="F30" s="113"/>
      <c r="G30" s="125"/>
      <c r="H30" s="113"/>
      <c r="I30" s="125"/>
      <c r="J30" s="1042"/>
      <c r="K30" s="124"/>
    </row>
    <row r="31" spans="2:11" s="86" customFormat="1" ht="15.75" customHeight="1">
      <c r="B31" s="106"/>
      <c r="C31" s="107"/>
      <c r="D31" s="107"/>
      <c r="E31" s="124"/>
      <c r="F31" s="113"/>
      <c r="G31" s="125"/>
      <c r="H31" s="113"/>
      <c r="I31" s="125"/>
      <c r="J31" s="1042"/>
      <c r="K31" s="124"/>
    </row>
    <row r="32" spans="2:11" s="86" customFormat="1" ht="15.75" customHeight="1">
      <c r="B32" s="106" t="s">
        <v>790</v>
      </c>
      <c r="C32" s="107"/>
      <c r="D32" s="107"/>
      <c r="E32" s="124"/>
      <c r="F32" s="113">
        <v>35000</v>
      </c>
      <c r="G32" s="125"/>
      <c r="H32" s="113">
        <v>30098</v>
      </c>
      <c r="I32" s="125"/>
      <c r="J32" s="1042">
        <v>154194.31</v>
      </c>
      <c r="K32" s="124"/>
    </row>
    <row r="33" spans="2:11" ht="15.75" customHeight="1">
      <c r="B33" s="109" t="s">
        <v>3</v>
      </c>
      <c r="C33" s="108" t="s">
        <v>4</v>
      </c>
      <c r="D33" s="108"/>
      <c r="E33" s="110"/>
      <c r="F33" s="116"/>
      <c r="G33" s="123"/>
      <c r="H33" s="116"/>
      <c r="I33" s="123"/>
      <c r="J33" s="1043"/>
      <c r="K33" s="110"/>
    </row>
    <row r="34" spans="2:11" ht="15.75" customHeight="1">
      <c r="B34" s="109"/>
      <c r="C34" s="108"/>
      <c r="D34" s="108"/>
      <c r="E34" s="110"/>
      <c r="F34" s="116"/>
      <c r="G34" s="123"/>
      <c r="H34" s="116"/>
      <c r="I34" s="123"/>
      <c r="J34" s="1043"/>
      <c r="K34" s="110"/>
    </row>
    <row r="35" spans="2:11" ht="15.75" customHeight="1">
      <c r="B35" s="109" t="s">
        <v>787</v>
      </c>
      <c r="C35" s="108"/>
      <c r="D35" s="108"/>
      <c r="E35" s="110"/>
      <c r="F35" s="116"/>
      <c r="G35" s="123"/>
      <c r="H35" s="116"/>
      <c r="I35" s="123"/>
      <c r="J35" s="1043"/>
      <c r="K35" s="110"/>
    </row>
    <row r="36" spans="2:11" ht="15.75" customHeight="1">
      <c r="B36" s="109" t="s">
        <v>19</v>
      </c>
      <c r="C36" s="108"/>
      <c r="D36" s="108"/>
      <c r="E36" s="110"/>
      <c r="F36" s="116"/>
      <c r="G36" s="123"/>
      <c r="H36" s="116"/>
      <c r="I36" s="123"/>
      <c r="J36" s="1043"/>
      <c r="K36" s="110"/>
    </row>
    <row r="37" spans="2:11" ht="15.75" customHeight="1">
      <c r="B37" s="109" t="s">
        <v>3</v>
      </c>
      <c r="C37" s="108" t="s">
        <v>4</v>
      </c>
      <c r="D37" s="108"/>
      <c r="E37" s="110"/>
      <c r="F37" s="116"/>
      <c r="G37" s="123"/>
      <c r="H37" s="116"/>
      <c r="I37" s="123"/>
      <c r="J37" s="1043"/>
      <c r="K37" s="110"/>
    </row>
    <row r="38" spans="2:11" ht="15.75" customHeight="1">
      <c r="B38" s="109"/>
      <c r="C38" s="108"/>
      <c r="D38" s="108"/>
      <c r="E38" s="110"/>
      <c r="F38" s="116"/>
      <c r="G38" s="123"/>
      <c r="H38" s="116"/>
      <c r="I38" s="123"/>
      <c r="J38" s="1043"/>
      <c r="K38" s="110"/>
    </row>
    <row r="39" spans="2:11" ht="15.75" customHeight="1">
      <c r="B39" s="109" t="s">
        <v>788</v>
      </c>
      <c r="C39" s="108"/>
      <c r="D39" s="108"/>
      <c r="E39" s="110"/>
      <c r="F39" s="116"/>
      <c r="G39" s="123"/>
      <c r="H39" s="116"/>
      <c r="I39" s="123"/>
      <c r="J39" s="1043"/>
      <c r="K39" s="110"/>
    </row>
    <row r="40" spans="2:11" ht="15.75" customHeight="1">
      <c r="B40" s="109" t="s">
        <v>19</v>
      </c>
      <c r="C40" s="108"/>
      <c r="D40" s="108"/>
      <c r="E40" s="110"/>
      <c r="F40" s="116"/>
      <c r="G40" s="123"/>
      <c r="H40" s="116"/>
      <c r="I40" s="123"/>
      <c r="J40" s="1043"/>
      <c r="K40" s="110"/>
    </row>
    <row r="41" spans="2:11" ht="15.75" customHeight="1">
      <c r="B41" s="109" t="s">
        <v>3</v>
      </c>
      <c r="C41" s="108" t="s">
        <v>4</v>
      </c>
      <c r="D41" s="108"/>
      <c r="E41" s="110"/>
      <c r="F41" s="116"/>
      <c r="G41" s="123"/>
      <c r="H41" s="116"/>
      <c r="I41" s="123"/>
      <c r="J41" s="1043"/>
      <c r="K41" s="110"/>
    </row>
    <row r="42" spans="2:11" ht="15.75" customHeight="1">
      <c r="B42" s="109"/>
      <c r="C42" s="108"/>
      <c r="D42" s="108"/>
      <c r="E42" s="110"/>
      <c r="F42" s="116"/>
      <c r="G42" s="123"/>
      <c r="H42" s="116"/>
      <c r="I42" s="123"/>
      <c r="J42" s="1043"/>
      <c r="K42" s="110"/>
    </row>
    <row r="43" spans="2:11" ht="15.75" customHeight="1">
      <c r="B43" s="109" t="s">
        <v>20</v>
      </c>
      <c r="C43" s="108"/>
      <c r="D43" s="108"/>
      <c r="E43" s="110"/>
      <c r="F43" s="116"/>
      <c r="G43" s="123"/>
      <c r="H43" s="116"/>
      <c r="I43" s="123"/>
      <c r="J43" s="1043"/>
      <c r="K43" s="110"/>
    </row>
    <row r="44" spans="2:11" ht="15.75" customHeight="1">
      <c r="B44" s="109" t="s">
        <v>21</v>
      </c>
      <c r="C44" s="108"/>
      <c r="D44" s="108"/>
      <c r="E44" s="110"/>
      <c r="F44" s="116"/>
      <c r="G44" s="123"/>
      <c r="H44" s="116"/>
      <c r="I44" s="123"/>
      <c r="J44" s="1043"/>
      <c r="K44" s="110"/>
    </row>
    <row r="45" spans="2:11" ht="15.75" customHeight="1">
      <c r="B45" s="109" t="s">
        <v>3</v>
      </c>
      <c r="C45" s="108" t="s">
        <v>4</v>
      </c>
      <c r="D45" s="108"/>
      <c r="E45" s="110"/>
      <c r="F45" s="116"/>
      <c r="G45" s="123"/>
      <c r="H45" s="116"/>
      <c r="I45" s="123"/>
      <c r="J45" s="1043"/>
      <c r="K45" s="110"/>
    </row>
    <row r="46" spans="2:11" ht="15.75" customHeight="1" thickBot="1">
      <c r="B46" s="79"/>
      <c r="C46" s="80"/>
      <c r="D46" s="80"/>
      <c r="E46" s="81"/>
      <c r="F46" s="80"/>
      <c r="G46" s="87"/>
      <c r="H46" s="80"/>
      <c r="I46" s="87"/>
      <c r="J46" s="80"/>
      <c r="K46" s="81"/>
    </row>
    <row r="47" spans="2:11" ht="12.75"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2:11" ht="12.75"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s="130" customFormat="1" ht="12.75">
      <c r="B49" s="1413" t="s">
        <v>346</v>
      </c>
      <c r="C49" s="1413"/>
      <c r="D49" s="1413"/>
      <c r="E49" s="1413"/>
      <c r="F49" s="1413"/>
      <c r="G49" s="1413"/>
      <c r="H49" s="1413"/>
      <c r="I49" s="1413"/>
      <c r="J49" s="1413"/>
      <c r="K49" s="1413"/>
    </row>
    <row r="50" spans="2:10" ht="12.75">
      <c r="B50" s="3"/>
      <c r="C50" s="3"/>
      <c r="D50" s="3"/>
      <c r="E50" s="3"/>
      <c r="F50" s="3"/>
      <c r="H50" s="3"/>
      <c r="I50" s="3"/>
      <c r="J50" s="69"/>
    </row>
    <row r="51" ht="12.75">
      <c r="B51" s="83"/>
    </row>
    <row r="52" ht="12.75">
      <c r="B52" s="83"/>
    </row>
    <row r="53" ht="12.75">
      <c r="B53" s="83"/>
    </row>
    <row r="54" ht="12.75">
      <c r="B54" s="83"/>
    </row>
    <row r="55" ht="12.75">
      <c r="B55" s="83"/>
    </row>
    <row r="56" ht="12.75">
      <c r="B56" s="83"/>
    </row>
    <row r="57" ht="12.75">
      <c r="B57" s="83"/>
    </row>
  </sheetData>
  <sheetProtection/>
  <mergeCells count="3">
    <mergeCell ref="C7:J7"/>
    <mergeCell ref="B8:J8"/>
    <mergeCell ref="B49:K49"/>
  </mergeCells>
  <printOptions/>
  <pageMargins left="0.5118110236220472" right="0.31496062992125984" top="0.4330708661417323" bottom="0.7874015748031497" header="0.35433070866141736" footer="0.3937007874015748"/>
  <pageSetup horizontalDpi="600" verticalDpi="600" orientation="portrait" paperSize="9" scale="80" r:id="rId1"/>
  <headerFooter alignWithMargins="0">
    <oddFooter>&amp;C&amp;11&amp;P+48
&amp;10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Q100"/>
  <sheetViews>
    <sheetView zoomScale="70" zoomScaleNormal="70" zoomScaleSheetLayoutView="75" workbookViewId="0" topLeftCell="A1">
      <selection activeCell="E90" sqref="E90"/>
    </sheetView>
  </sheetViews>
  <sheetFormatPr defaultColWidth="9.00390625" defaultRowHeight="12.75"/>
  <cols>
    <col min="1" max="4" width="9.125" style="35" customWidth="1"/>
    <col min="5" max="5" width="40.375" style="35" customWidth="1"/>
    <col min="6" max="6" width="9.875" style="35" customWidth="1"/>
    <col min="7" max="7" width="10.375" style="35" customWidth="1"/>
    <col min="8" max="8" width="11.75390625" style="35" customWidth="1"/>
    <col min="9" max="9" width="10.25390625" style="35" customWidth="1"/>
    <col min="10" max="10" width="10.125" style="35" customWidth="1"/>
    <col min="11" max="11" width="9.125" style="35" customWidth="1"/>
    <col min="12" max="12" width="11.75390625" style="35" bestFit="1" customWidth="1"/>
    <col min="13" max="13" width="11.00390625" style="35" customWidth="1"/>
    <col min="14" max="14" width="10.375" style="35" bestFit="1" customWidth="1"/>
    <col min="15" max="15" width="9.625" style="35" customWidth="1"/>
    <col min="16" max="16" width="12.25390625" style="35" customWidth="1"/>
    <col min="17" max="17" width="11.875" style="35" customWidth="1"/>
    <col min="18" max="16384" width="9.125" style="35" customWidth="1"/>
  </cols>
  <sheetData>
    <row r="2" spans="1:17" ht="15.75">
      <c r="A2" s="1414"/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Q2" s="394"/>
    </row>
    <row r="4" spans="1:17" ht="15">
      <c r="A4" s="395" t="s">
        <v>537</v>
      </c>
      <c r="B4" s="396">
        <v>2012</v>
      </c>
      <c r="C4" s="35" t="s">
        <v>538</v>
      </c>
      <c r="P4" s="1424" t="s">
        <v>578</v>
      </c>
      <c r="Q4" s="1425"/>
    </row>
    <row r="5" spans="1:17" s="444" customFormat="1" ht="35.25" customHeight="1">
      <c r="A5" s="1438" t="s">
        <v>542</v>
      </c>
      <c r="B5" s="1429" t="s">
        <v>543</v>
      </c>
      <c r="C5" s="1430"/>
      <c r="D5" s="1430"/>
      <c r="E5" s="1431"/>
      <c r="F5" s="1417" t="s">
        <v>539</v>
      </c>
      <c r="G5" s="1417"/>
      <c r="H5" s="1417"/>
      <c r="I5" s="1417"/>
      <c r="J5" s="1416" t="s">
        <v>540</v>
      </c>
      <c r="K5" s="1415"/>
      <c r="L5" s="1415"/>
      <c r="M5" s="1415"/>
      <c r="N5" s="1416" t="s">
        <v>541</v>
      </c>
      <c r="O5" s="1415"/>
      <c r="P5" s="1415"/>
      <c r="Q5" s="1415"/>
    </row>
    <row r="6" spans="1:17" s="444" customFormat="1" ht="12.75" customHeight="1">
      <c r="A6" s="1439"/>
      <c r="B6" s="1432"/>
      <c r="C6" s="1433"/>
      <c r="D6" s="1433"/>
      <c r="E6" s="1434"/>
      <c r="F6" s="1415" t="s">
        <v>544</v>
      </c>
      <c r="G6" s="1415"/>
      <c r="H6" s="1416" t="s">
        <v>545</v>
      </c>
      <c r="I6" s="1416" t="s">
        <v>546</v>
      </c>
      <c r="J6" s="1415" t="s">
        <v>544</v>
      </c>
      <c r="K6" s="1415"/>
      <c r="L6" s="1416" t="s">
        <v>545</v>
      </c>
      <c r="M6" s="1416" t="s">
        <v>546</v>
      </c>
      <c r="N6" s="1415" t="s">
        <v>544</v>
      </c>
      <c r="O6" s="1415"/>
      <c r="P6" s="1416" t="s">
        <v>545</v>
      </c>
      <c r="Q6" s="1416" t="s">
        <v>546</v>
      </c>
    </row>
    <row r="7" spans="1:17" s="444" customFormat="1" ht="30" customHeight="1">
      <c r="A7" s="1440"/>
      <c r="B7" s="1435"/>
      <c r="C7" s="1436"/>
      <c r="D7" s="1436"/>
      <c r="E7" s="1437"/>
      <c r="F7" s="443" t="s">
        <v>53</v>
      </c>
      <c r="G7" s="443" t="s">
        <v>547</v>
      </c>
      <c r="H7" s="1416"/>
      <c r="I7" s="1416"/>
      <c r="J7" s="443" t="s">
        <v>53</v>
      </c>
      <c r="K7" s="443" t="s">
        <v>547</v>
      </c>
      <c r="L7" s="1416"/>
      <c r="M7" s="1416"/>
      <c r="N7" s="443" t="s">
        <v>53</v>
      </c>
      <c r="O7" s="443" t="s">
        <v>547</v>
      </c>
      <c r="P7" s="1416"/>
      <c r="Q7" s="1416"/>
    </row>
    <row r="8" spans="1:17" ht="21" customHeight="1" thickBot="1">
      <c r="A8" s="1426" t="s">
        <v>548</v>
      </c>
      <c r="B8" s="1427"/>
      <c r="C8" s="1427"/>
      <c r="D8" s="1427"/>
      <c r="E8" s="1427"/>
      <c r="F8" s="1427"/>
      <c r="G8" s="1427"/>
      <c r="H8" s="1427"/>
      <c r="I8" s="1427"/>
      <c r="J8" s="1427"/>
      <c r="K8" s="1427"/>
      <c r="L8" s="1427"/>
      <c r="M8" s="1427"/>
      <c r="N8" s="1427"/>
      <c r="O8" s="1427"/>
      <c r="P8" s="1427"/>
      <c r="Q8" s="1428"/>
    </row>
    <row r="9" spans="1:17" ht="13.5" thickBot="1">
      <c r="A9" s="397">
        <v>114020</v>
      </c>
      <c r="B9" s="1418" t="s">
        <v>549</v>
      </c>
      <c r="C9" s="1419"/>
      <c r="D9" s="1419"/>
      <c r="E9" s="1420"/>
      <c r="F9" s="401">
        <v>12900</v>
      </c>
      <c r="G9" s="401">
        <v>45621</v>
      </c>
      <c r="H9" s="401">
        <v>41632</v>
      </c>
      <c r="I9" s="402">
        <f>H9/G9</f>
        <v>0.9126</v>
      </c>
      <c r="J9" s="401">
        <v>0</v>
      </c>
      <c r="K9" s="401">
        <v>13</v>
      </c>
      <c r="L9" s="401">
        <v>13</v>
      </c>
      <c r="M9" s="403">
        <f>L9/K9</f>
        <v>1</v>
      </c>
      <c r="N9" s="404">
        <f aca="true" t="shared" si="0" ref="N9:N40">SUM(F9,J9)</f>
        <v>12900</v>
      </c>
      <c r="O9" s="404">
        <f aca="true" t="shared" si="1" ref="O9:O40">SUM(G9,K9)</f>
        <v>45634</v>
      </c>
      <c r="P9" s="404">
        <f aca="true" t="shared" si="2" ref="P9:P40">SUM(H9,L9)</f>
        <v>41645</v>
      </c>
      <c r="Q9" s="405">
        <f>P9/O9</f>
        <v>0.9126</v>
      </c>
    </row>
    <row r="10" spans="1:17" ht="13.5" thickBot="1">
      <c r="A10" s="397">
        <v>114030</v>
      </c>
      <c r="B10" s="1418" t="s">
        <v>550</v>
      </c>
      <c r="C10" s="1419"/>
      <c r="D10" s="1419"/>
      <c r="E10" s="1420"/>
      <c r="F10" s="401">
        <v>14800</v>
      </c>
      <c r="G10" s="401">
        <v>23869</v>
      </c>
      <c r="H10" s="401">
        <v>16123</v>
      </c>
      <c r="I10" s="402">
        <f>H10/G10</f>
        <v>0.6755</v>
      </c>
      <c r="J10" s="401">
        <v>0</v>
      </c>
      <c r="K10" s="401">
        <v>0</v>
      </c>
      <c r="L10" s="401">
        <v>0</v>
      </c>
      <c r="M10" s="403" t="s">
        <v>551</v>
      </c>
      <c r="N10" s="404">
        <f t="shared" si="0"/>
        <v>14800</v>
      </c>
      <c r="O10" s="404">
        <f t="shared" si="1"/>
        <v>23869</v>
      </c>
      <c r="P10" s="404">
        <f t="shared" si="2"/>
        <v>16123</v>
      </c>
      <c r="Q10" s="405">
        <f>P10/O10</f>
        <v>0.6755</v>
      </c>
    </row>
    <row r="11" spans="1:17" ht="13.5" thickBot="1">
      <c r="A11" s="397">
        <v>114040</v>
      </c>
      <c r="B11" s="1418" t="s">
        <v>552</v>
      </c>
      <c r="C11" s="1419"/>
      <c r="D11" s="1419"/>
      <c r="E11" s="1420"/>
      <c r="F11" s="401">
        <v>3370</v>
      </c>
      <c r="G11" s="401">
        <v>20655</v>
      </c>
      <c r="H11" s="401">
        <v>17015</v>
      </c>
      <c r="I11" s="402">
        <f>H11/G11</f>
        <v>0.8238</v>
      </c>
      <c r="J11" s="401">
        <v>0</v>
      </c>
      <c r="K11" s="401">
        <v>55</v>
      </c>
      <c r="L11" s="401">
        <v>54</v>
      </c>
      <c r="M11" s="403" t="s">
        <v>551</v>
      </c>
      <c r="N11" s="404">
        <f t="shared" si="0"/>
        <v>3370</v>
      </c>
      <c r="O11" s="404">
        <f t="shared" si="1"/>
        <v>20710</v>
      </c>
      <c r="P11" s="404">
        <f t="shared" si="2"/>
        <v>17069</v>
      </c>
      <c r="Q11" s="405">
        <f>P11/O11</f>
        <v>0.8242</v>
      </c>
    </row>
    <row r="12" spans="1:17" ht="13.5" thickBot="1">
      <c r="A12" s="397">
        <v>114050</v>
      </c>
      <c r="B12" s="1418" t="s">
        <v>553</v>
      </c>
      <c r="C12" s="1419"/>
      <c r="D12" s="1419"/>
      <c r="E12" s="1420"/>
      <c r="F12" s="401">
        <v>25000</v>
      </c>
      <c r="G12" s="401">
        <v>13476</v>
      </c>
      <c r="H12" s="401">
        <v>21423</v>
      </c>
      <c r="I12" s="402">
        <f>H12/G12</f>
        <v>1.5897</v>
      </c>
      <c r="J12" s="401">
        <v>0</v>
      </c>
      <c r="K12" s="401">
        <v>0</v>
      </c>
      <c r="L12" s="401">
        <v>0</v>
      </c>
      <c r="M12" s="403" t="s">
        <v>551</v>
      </c>
      <c r="N12" s="404">
        <f t="shared" si="0"/>
        <v>25000</v>
      </c>
      <c r="O12" s="404">
        <f t="shared" si="1"/>
        <v>13476</v>
      </c>
      <c r="P12" s="404">
        <f t="shared" si="2"/>
        <v>21423</v>
      </c>
      <c r="Q12" s="405">
        <f>P12/O12</f>
        <v>1.5897</v>
      </c>
    </row>
    <row r="13" spans="1:17" ht="13.5" thickBot="1">
      <c r="A13" s="397">
        <v>114060</v>
      </c>
      <c r="B13" s="398" t="s">
        <v>554</v>
      </c>
      <c r="C13" s="399"/>
      <c r="D13" s="399"/>
      <c r="E13" s="400"/>
      <c r="F13" s="401">
        <v>0</v>
      </c>
      <c r="G13" s="401">
        <v>0</v>
      </c>
      <c r="H13" s="401">
        <v>144</v>
      </c>
      <c r="I13" s="402" t="s">
        <v>551</v>
      </c>
      <c r="J13" s="401">
        <v>0</v>
      </c>
      <c r="K13" s="401">
        <v>0</v>
      </c>
      <c r="L13" s="401">
        <v>38</v>
      </c>
      <c r="M13" s="403" t="s">
        <v>551</v>
      </c>
      <c r="N13" s="404">
        <f t="shared" si="0"/>
        <v>0</v>
      </c>
      <c r="O13" s="404">
        <f t="shared" si="1"/>
        <v>0</v>
      </c>
      <c r="P13" s="404">
        <f t="shared" si="2"/>
        <v>182</v>
      </c>
      <c r="Q13" s="403" t="s">
        <v>551</v>
      </c>
    </row>
    <row r="14" spans="1:17" ht="12.75">
      <c r="A14" s="406"/>
      <c r="B14" s="407"/>
      <c r="C14" s="408" t="s">
        <v>555</v>
      </c>
      <c r="D14" s="408"/>
      <c r="E14" s="409"/>
      <c r="F14" s="410">
        <f>F15+F16</f>
        <v>0</v>
      </c>
      <c r="G14" s="410">
        <f>G15+G16</f>
        <v>0</v>
      </c>
      <c r="H14" s="410">
        <f>H15+H16</f>
        <v>144</v>
      </c>
      <c r="I14" s="411" t="s">
        <v>551</v>
      </c>
      <c r="J14" s="410">
        <f>J15+J16</f>
        <v>14446</v>
      </c>
      <c r="K14" s="410">
        <f>K15+K16</f>
        <v>30946</v>
      </c>
      <c r="L14" s="410">
        <f>L15+L16</f>
        <v>143717</v>
      </c>
      <c r="M14" s="412">
        <f aca="true" t="shared" si="3" ref="M14:M25">L14/K14</f>
        <v>4.6441</v>
      </c>
      <c r="N14" s="413">
        <f t="shared" si="0"/>
        <v>14446</v>
      </c>
      <c r="O14" s="413">
        <f t="shared" si="1"/>
        <v>30946</v>
      </c>
      <c r="P14" s="413">
        <f t="shared" si="2"/>
        <v>143861</v>
      </c>
      <c r="Q14" s="414">
        <f aca="true" t="shared" si="4" ref="Q14:Q35">P14/O14</f>
        <v>4.6488</v>
      </c>
    </row>
    <row r="15" spans="1:17" ht="12.75">
      <c r="A15" s="415"/>
      <c r="B15" s="416"/>
      <c r="C15" s="417" t="s">
        <v>556</v>
      </c>
      <c r="D15" s="417" t="s">
        <v>557</v>
      </c>
      <c r="E15" s="418"/>
      <c r="F15" s="410">
        <v>0</v>
      </c>
      <c r="G15" s="410">
        <v>0</v>
      </c>
      <c r="H15" s="419">
        <v>144</v>
      </c>
      <c r="I15" s="411" t="s">
        <v>551</v>
      </c>
      <c r="J15" s="410">
        <v>8289</v>
      </c>
      <c r="K15" s="410">
        <v>23986</v>
      </c>
      <c r="L15" s="419">
        <v>111940</v>
      </c>
      <c r="M15" s="412">
        <f t="shared" si="3"/>
        <v>4.6669</v>
      </c>
      <c r="N15" s="413">
        <f t="shared" si="0"/>
        <v>8289</v>
      </c>
      <c r="O15" s="413">
        <f t="shared" si="1"/>
        <v>23986</v>
      </c>
      <c r="P15" s="413">
        <f t="shared" si="2"/>
        <v>112084</v>
      </c>
      <c r="Q15" s="414">
        <f t="shared" si="4"/>
        <v>4.6729</v>
      </c>
    </row>
    <row r="16" spans="1:17" ht="12.75">
      <c r="A16" s="415"/>
      <c r="B16" s="416"/>
      <c r="C16" s="417"/>
      <c r="D16" s="417" t="s">
        <v>558</v>
      </c>
      <c r="E16" s="418"/>
      <c r="F16" s="410">
        <f>F17+F18</f>
        <v>0</v>
      </c>
      <c r="G16" s="410">
        <f>G17+G18</f>
        <v>0</v>
      </c>
      <c r="H16" s="410">
        <f>H17+H18</f>
        <v>0</v>
      </c>
      <c r="I16" s="411" t="s">
        <v>551</v>
      </c>
      <c r="J16" s="410">
        <f>J17+J18</f>
        <v>6157</v>
      </c>
      <c r="K16" s="410">
        <f>K17+K18</f>
        <v>6960</v>
      </c>
      <c r="L16" s="410">
        <f>L17+L18</f>
        <v>31777</v>
      </c>
      <c r="M16" s="412">
        <f t="shared" si="3"/>
        <v>4.5657</v>
      </c>
      <c r="N16" s="413">
        <f t="shared" si="0"/>
        <v>6157</v>
      </c>
      <c r="O16" s="413">
        <f t="shared" si="1"/>
        <v>6960</v>
      </c>
      <c r="P16" s="413">
        <f t="shared" si="2"/>
        <v>31777</v>
      </c>
      <c r="Q16" s="414">
        <f t="shared" si="4"/>
        <v>4.5657</v>
      </c>
    </row>
    <row r="17" spans="1:17" ht="12.75">
      <c r="A17" s="415"/>
      <c r="B17" s="416"/>
      <c r="C17" s="417"/>
      <c r="D17" s="417" t="s">
        <v>556</v>
      </c>
      <c r="E17" s="418" t="s">
        <v>559</v>
      </c>
      <c r="F17" s="410">
        <v>0</v>
      </c>
      <c r="G17" s="410">
        <v>0</v>
      </c>
      <c r="H17" s="419">
        <v>0</v>
      </c>
      <c r="I17" s="411" t="s">
        <v>551</v>
      </c>
      <c r="J17" s="410">
        <v>6157</v>
      </c>
      <c r="K17" s="410">
        <v>5281</v>
      </c>
      <c r="L17" s="419">
        <v>28476</v>
      </c>
      <c r="M17" s="412">
        <f t="shared" si="3"/>
        <v>5.3922</v>
      </c>
      <c r="N17" s="413">
        <f t="shared" si="0"/>
        <v>6157</v>
      </c>
      <c r="O17" s="413">
        <f t="shared" si="1"/>
        <v>5281</v>
      </c>
      <c r="P17" s="413">
        <f t="shared" si="2"/>
        <v>28476</v>
      </c>
      <c r="Q17" s="414">
        <f t="shared" si="4"/>
        <v>5.3922</v>
      </c>
    </row>
    <row r="18" spans="1:17" ht="13.5" thickBot="1">
      <c r="A18" s="420"/>
      <c r="B18" s="421"/>
      <c r="C18" s="422"/>
      <c r="D18" s="422"/>
      <c r="E18" s="423" t="s">
        <v>560</v>
      </c>
      <c r="F18" s="424">
        <v>0</v>
      </c>
      <c r="G18" s="424">
        <v>0</v>
      </c>
      <c r="H18" s="424">
        <v>0</v>
      </c>
      <c r="I18" s="425" t="s">
        <v>551</v>
      </c>
      <c r="J18" s="424">
        <v>0</v>
      </c>
      <c r="K18" s="424">
        <v>1679</v>
      </c>
      <c r="L18" s="424">
        <v>3301</v>
      </c>
      <c r="M18" s="426">
        <f t="shared" si="3"/>
        <v>1.9661</v>
      </c>
      <c r="N18" s="427">
        <f t="shared" si="0"/>
        <v>0</v>
      </c>
      <c r="O18" s="427">
        <f t="shared" si="1"/>
        <v>1679</v>
      </c>
      <c r="P18" s="427">
        <f t="shared" si="2"/>
        <v>3301</v>
      </c>
      <c r="Q18" s="428">
        <f t="shared" si="4"/>
        <v>1.9661</v>
      </c>
    </row>
    <row r="19" spans="1:17" ht="13.5" thickBot="1">
      <c r="A19" s="397">
        <v>114070</v>
      </c>
      <c r="B19" s="1418" t="s">
        <v>561</v>
      </c>
      <c r="C19" s="1419"/>
      <c r="D19" s="1419"/>
      <c r="E19" s="1420"/>
      <c r="F19" s="401">
        <v>327911</v>
      </c>
      <c r="G19" s="401">
        <v>835415</v>
      </c>
      <c r="H19" s="401">
        <v>1048525</v>
      </c>
      <c r="I19" s="402">
        <f aca="true" t="shared" si="5" ref="I19:I30">H19/G19</f>
        <v>1.2551</v>
      </c>
      <c r="J19" s="401">
        <v>14446</v>
      </c>
      <c r="K19" s="401">
        <v>30946</v>
      </c>
      <c r="L19" s="401">
        <v>143717</v>
      </c>
      <c r="M19" s="403">
        <f t="shared" si="3"/>
        <v>4.6441</v>
      </c>
      <c r="N19" s="404">
        <f t="shared" si="0"/>
        <v>342357</v>
      </c>
      <c r="O19" s="404">
        <f t="shared" si="1"/>
        <v>866361</v>
      </c>
      <c r="P19" s="404">
        <f t="shared" si="2"/>
        <v>1192242</v>
      </c>
      <c r="Q19" s="405">
        <f t="shared" si="4"/>
        <v>1.3761</v>
      </c>
    </row>
    <row r="20" spans="1:17" ht="12.75">
      <c r="A20" s="406"/>
      <c r="B20" s="407"/>
      <c r="C20" s="408" t="s">
        <v>562</v>
      </c>
      <c r="D20" s="408"/>
      <c r="E20" s="409"/>
      <c r="F20" s="410">
        <f>F21+F22</f>
        <v>327911</v>
      </c>
      <c r="G20" s="410">
        <f>G21+G22</f>
        <v>835415</v>
      </c>
      <c r="H20" s="410">
        <f>H21+H22</f>
        <v>1048524</v>
      </c>
      <c r="I20" s="411">
        <f t="shared" si="5"/>
        <v>1.2551</v>
      </c>
      <c r="J20" s="410">
        <f>J21+J22</f>
        <v>14446</v>
      </c>
      <c r="K20" s="410">
        <f>K21+K22</f>
        <v>30946</v>
      </c>
      <c r="L20" s="410">
        <f>L21+L22</f>
        <v>143717</v>
      </c>
      <c r="M20" s="412">
        <f t="shared" si="3"/>
        <v>4.6441</v>
      </c>
      <c r="N20" s="413">
        <f t="shared" si="0"/>
        <v>342357</v>
      </c>
      <c r="O20" s="413">
        <f t="shared" si="1"/>
        <v>866361</v>
      </c>
      <c r="P20" s="413">
        <f t="shared" si="2"/>
        <v>1192241</v>
      </c>
      <c r="Q20" s="414">
        <f t="shared" si="4"/>
        <v>1.3761</v>
      </c>
    </row>
    <row r="21" spans="1:17" ht="12.75">
      <c r="A21" s="415"/>
      <c r="B21" s="416"/>
      <c r="C21" s="417" t="s">
        <v>556</v>
      </c>
      <c r="D21" s="417" t="s">
        <v>557</v>
      </c>
      <c r="E21" s="418"/>
      <c r="F21" s="410">
        <v>0</v>
      </c>
      <c r="G21" s="410">
        <v>529923</v>
      </c>
      <c r="H21" s="419">
        <v>831557</v>
      </c>
      <c r="I21" s="411">
        <f t="shared" si="5"/>
        <v>1.5692</v>
      </c>
      <c r="J21" s="410">
        <v>8289</v>
      </c>
      <c r="K21" s="410">
        <v>23986</v>
      </c>
      <c r="L21" s="419">
        <v>111940</v>
      </c>
      <c r="M21" s="412">
        <f t="shared" si="3"/>
        <v>4.6669</v>
      </c>
      <c r="N21" s="413">
        <f t="shared" si="0"/>
        <v>8289</v>
      </c>
      <c r="O21" s="413">
        <f t="shared" si="1"/>
        <v>553909</v>
      </c>
      <c r="P21" s="413">
        <f t="shared" si="2"/>
        <v>943497</v>
      </c>
      <c r="Q21" s="414">
        <f t="shared" si="4"/>
        <v>1.7033</v>
      </c>
    </row>
    <row r="22" spans="1:17" ht="12.75">
      <c r="A22" s="415"/>
      <c r="B22" s="416"/>
      <c r="C22" s="417"/>
      <c r="D22" s="417" t="s">
        <v>558</v>
      </c>
      <c r="E22" s="418" t="s">
        <v>347</v>
      </c>
      <c r="F22" s="410">
        <f>F23+F24</f>
        <v>327911</v>
      </c>
      <c r="G22" s="410">
        <f>G23+G24</f>
        <v>305492</v>
      </c>
      <c r="H22" s="410">
        <f>H23+H24</f>
        <v>216967</v>
      </c>
      <c r="I22" s="411">
        <f t="shared" si="5"/>
        <v>0.7102</v>
      </c>
      <c r="J22" s="410">
        <f>J23+J24</f>
        <v>6157</v>
      </c>
      <c r="K22" s="410">
        <f>K23+K24</f>
        <v>6960</v>
      </c>
      <c r="L22" s="410">
        <f>L23+L24</f>
        <v>31777</v>
      </c>
      <c r="M22" s="412">
        <f t="shared" si="3"/>
        <v>4.5657</v>
      </c>
      <c r="N22" s="413">
        <f t="shared" si="0"/>
        <v>334068</v>
      </c>
      <c r="O22" s="413">
        <f t="shared" si="1"/>
        <v>312452</v>
      </c>
      <c r="P22" s="413">
        <f t="shared" si="2"/>
        <v>248744</v>
      </c>
      <c r="Q22" s="414">
        <f t="shared" si="4"/>
        <v>0.7961</v>
      </c>
    </row>
    <row r="23" spans="1:17" ht="12.75">
      <c r="A23" s="415"/>
      <c r="B23" s="416"/>
      <c r="C23" s="417"/>
      <c r="D23" s="417" t="s">
        <v>556</v>
      </c>
      <c r="E23" s="418" t="s">
        <v>559</v>
      </c>
      <c r="F23" s="410">
        <v>184896</v>
      </c>
      <c r="G23" s="410">
        <v>182097</v>
      </c>
      <c r="H23" s="419">
        <v>95363</v>
      </c>
      <c r="I23" s="411">
        <f t="shared" si="5"/>
        <v>0.5237</v>
      </c>
      <c r="J23" s="410">
        <v>6157</v>
      </c>
      <c r="K23" s="410">
        <v>5281</v>
      </c>
      <c r="L23" s="419">
        <v>28476</v>
      </c>
      <c r="M23" s="412">
        <f t="shared" si="3"/>
        <v>5.3922</v>
      </c>
      <c r="N23" s="413">
        <f t="shared" si="0"/>
        <v>191053</v>
      </c>
      <c r="O23" s="413">
        <f t="shared" si="1"/>
        <v>187378</v>
      </c>
      <c r="P23" s="413">
        <f t="shared" si="2"/>
        <v>123839</v>
      </c>
      <c r="Q23" s="414">
        <f t="shared" si="4"/>
        <v>0.6609</v>
      </c>
    </row>
    <row r="24" spans="1:17" ht="13.5" thickBot="1">
      <c r="A24" s="420"/>
      <c r="B24" s="421"/>
      <c r="C24" s="422"/>
      <c r="D24" s="422"/>
      <c r="E24" s="423" t="s">
        <v>560</v>
      </c>
      <c r="F24" s="424">
        <v>143015</v>
      </c>
      <c r="G24" s="424">
        <v>123395</v>
      </c>
      <c r="H24" s="424">
        <v>121604</v>
      </c>
      <c r="I24" s="425">
        <f t="shared" si="5"/>
        <v>0.9855</v>
      </c>
      <c r="J24" s="424">
        <v>0</v>
      </c>
      <c r="K24" s="424">
        <v>1679</v>
      </c>
      <c r="L24" s="424">
        <v>3301</v>
      </c>
      <c r="M24" s="426">
        <f t="shared" si="3"/>
        <v>1.9661</v>
      </c>
      <c r="N24" s="427">
        <f t="shared" si="0"/>
        <v>143015</v>
      </c>
      <c r="O24" s="427">
        <f t="shared" si="1"/>
        <v>125074</v>
      </c>
      <c r="P24" s="427">
        <f t="shared" si="2"/>
        <v>124905</v>
      </c>
      <c r="Q24" s="428">
        <f t="shared" si="4"/>
        <v>0.9986</v>
      </c>
    </row>
    <row r="25" spans="1:17" ht="13.5" thickBot="1">
      <c r="A25" s="397">
        <v>114110</v>
      </c>
      <c r="B25" s="1418" t="s">
        <v>563</v>
      </c>
      <c r="C25" s="1419"/>
      <c r="D25" s="1419"/>
      <c r="E25" s="1420"/>
      <c r="F25" s="401">
        <v>570912</v>
      </c>
      <c r="G25" s="401">
        <v>606802</v>
      </c>
      <c r="H25" s="401">
        <v>497544</v>
      </c>
      <c r="I25" s="402">
        <f t="shared" si="5"/>
        <v>0.8199</v>
      </c>
      <c r="J25" s="401">
        <v>12188</v>
      </c>
      <c r="K25" s="401">
        <v>33407</v>
      </c>
      <c r="L25" s="401">
        <v>33555</v>
      </c>
      <c r="M25" s="403">
        <f t="shared" si="3"/>
        <v>1.0044</v>
      </c>
      <c r="N25" s="404">
        <f t="shared" si="0"/>
        <v>583100</v>
      </c>
      <c r="O25" s="404">
        <f t="shared" si="1"/>
        <v>640209</v>
      </c>
      <c r="P25" s="404">
        <f t="shared" si="2"/>
        <v>531099</v>
      </c>
      <c r="Q25" s="405">
        <f t="shared" si="4"/>
        <v>0.8296</v>
      </c>
    </row>
    <row r="26" spans="1:17" ht="12.75">
      <c r="A26" s="429"/>
      <c r="B26" s="416" t="s">
        <v>556</v>
      </c>
      <c r="C26" s="417" t="s">
        <v>564</v>
      </c>
      <c r="D26" s="417"/>
      <c r="E26" s="418"/>
      <c r="F26" s="410">
        <f>F27+F28</f>
        <v>54126</v>
      </c>
      <c r="G26" s="410">
        <f>G27+G28</f>
        <v>49613</v>
      </c>
      <c r="H26" s="410">
        <f>H27+H28</f>
        <v>32283</v>
      </c>
      <c r="I26" s="411">
        <f t="shared" si="5"/>
        <v>0.6507</v>
      </c>
      <c r="J26" s="410">
        <f>J27+J28</f>
        <v>0</v>
      </c>
      <c r="K26" s="410">
        <f>K27+K28</f>
        <v>0</v>
      </c>
      <c r="L26" s="410">
        <f>L27+L28</f>
        <v>2</v>
      </c>
      <c r="M26" s="412" t="s">
        <v>551</v>
      </c>
      <c r="N26" s="413">
        <f t="shared" si="0"/>
        <v>54126</v>
      </c>
      <c r="O26" s="413">
        <f t="shared" si="1"/>
        <v>49613</v>
      </c>
      <c r="P26" s="413">
        <f t="shared" si="2"/>
        <v>32285</v>
      </c>
      <c r="Q26" s="412">
        <f t="shared" si="4"/>
        <v>0.6507</v>
      </c>
    </row>
    <row r="27" spans="1:17" ht="12.75">
      <c r="A27" s="429"/>
      <c r="B27" s="416"/>
      <c r="C27" s="417" t="s">
        <v>556</v>
      </c>
      <c r="D27" s="417" t="s">
        <v>557</v>
      </c>
      <c r="E27" s="418"/>
      <c r="F27" s="410">
        <v>8916</v>
      </c>
      <c r="G27" s="410">
        <v>31977</v>
      </c>
      <c r="H27" s="419">
        <v>9067</v>
      </c>
      <c r="I27" s="411">
        <f t="shared" si="5"/>
        <v>0.2835</v>
      </c>
      <c r="J27" s="410">
        <v>0</v>
      </c>
      <c r="K27" s="410">
        <v>0</v>
      </c>
      <c r="L27" s="419">
        <v>2</v>
      </c>
      <c r="M27" s="412" t="s">
        <v>551</v>
      </c>
      <c r="N27" s="413">
        <f t="shared" si="0"/>
        <v>8916</v>
      </c>
      <c r="O27" s="413">
        <f t="shared" si="1"/>
        <v>31977</v>
      </c>
      <c r="P27" s="413">
        <f t="shared" si="2"/>
        <v>9069</v>
      </c>
      <c r="Q27" s="412">
        <f t="shared" si="4"/>
        <v>0.2836</v>
      </c>
    </row>
    <row r="28" spans="1:17" ht="12.75">
      <c r="A28" s="429"/>
      <c r="B28" s="416"/>
      <c r="C28" s="417"/>
      <c r="D28" s="417" t="s">
        <v>558</v>
      </c>
      <c r="E28" s="418"/>
      <c r="F28" s="410">
        <f>F29+F30</f>
        <v>45210</v>
      </c>
      <c r="G28" s="410">
        <f>G29+G30</f>
        <v>17636</v>
      </c>
      <c r="H28" s="410">
        <f>H29+H30</f>
        <v>23216</v>
      </c>
      <c r="I28" s="411">
        <f t="shared" si="5"/>
        <v>1.3164</v>
      </c>
      <c r="J28" s="410">
        <f>J29+J30</f>
        <v>0</v>
      </c>
      <c r="K28" s="410">
        <f>K29+K30</f>
        <v>0</v>
      </c>
      <c r="L28" s="410">
        <f>L29+L30</f>
        <v>0</v>
      </c>
      <c r="M28" s="412" t="s">
        <v>551</v>
      </c>
      <c r="N28" s="413">
        <f t="shared" si="0"/>
        <v>45210</v>
      </c>
      <c r="O28" s="413">
        <f t="shared" si="1"/>
        <v>17636</v>
      </c>
      <c r="P28" s="413">
        <f t="shared" si="2"/>
        <v>23216</v>
      </c>
      <c r="Q28" s="412">
        <f t="shared" si="4"/>
        <v>1.3164</v>
      </c>
    </row>
    <row r="29" spans="1:17" ht="12.75">
      <c r="A29" s="429"/>
      <c r="B29" s="416"/>
      <c r="C29" s="417"/>
      <c r="D29" s="417" t="s">
        <v>556</v>
      </c>
      <c r="E29" s="418" t="s">
        <v>559</v>
      </c>
      <c r="F29" s="410">
        <v>233</v>
      </c>
      <c r="G29" s="410">
        <v>1964</v>
      </c>
      <c r="H29" s="419">
        <v>1911</v>
      </c>
      <c r="I29" s="411">
        <f t="shared" si="5"/>
        <v>0.973</v>
      </c>
      <c r="J29" s="410">
        <v>0</v>
      </c>
      <c r="K29" s="410">
        <v>0</v>
      </c>
      <c r="L29" s="419">
        <v>0</v>
      </c>
      <c r="M29" s="412" t="s">
        <v>551</v>
      </c>
      <c r="N29" s="413">
        <f t="shared" si="0"/>
        <v>233</v>
      </c>
      <c r="O29" s="413">
        <f t="shared" si="1"/>
        <v>1964</v>
      </c>
      <c r="P29" s="413">
        <f t="shared" si="2"/>
        <v>1911</v>
      </c>
      <c r="Q29" s="412">
        <f t="shared" si="4"/>
        <v>0.973</v>
      </c>
    </row>
    <row r="30" spans="1:17" ht="13.5" thickBot="1">
      <c r="A30" s="420"/>
      <c r="B30" s="421"/>
      <c r="C30" s="422"/>
      <c r="D30" s="422"/>
      <c r="E30" s="423" t="s">
        <v>560</v>
      </c>
      <c r="F30" s="424">
        <v>44977</v>
      </c>
      <c r="G30" s="424">
        <v>15672</v>
      </c>
      <c r="H30" s="424">
        <v>21305</v>
      </c>
      <c r="I30" s="430">
        <f t="shared" si="5"/>
        <v>1.3594</v>
      </c>
      <c r="J30" s="424">
        <v>0</v>
      </c>
      <c r="K30" s="424">
        <v>0</v>
      </c>
      <c r="L30" s="424">
        <v>0</v>
      </c>
      <c r="M30" s="431" t="s">
        <v>551</v>
      </c>
      <c r="N30" s="432">
        <f t="shared" si="0"/>
        <v>44977</v>
      </c>
      <c r="O30" s="432">
        <f t="shared" si="1"/>
        <v>15672</v>
      </c>
      <c r="P30" s="432">
        <f t="shared" si="2"/>
        <v>21305</v>
      </c>
      <c r="Q30" s="433">
        <f t="shared" si="4"/>
        <v>1.3594</v>
      </c>
    </row>
    <row r="31" spans="1:17" ht="12.75">
      <c r="A31" s="429"/>
      <c r="B31" s="416"/>
      <c r="C31" s="417" t="s">
        <v>565</v>
      </c>
      <c r="D31" s="417"/>
      <c r="E31" s="418"/>
      <c r="F31" s="410">
        <f>F32+F33</f>
        <v>5608</v>
      </c>
      <c r="G31" s="410">
        <f>G32+G33</f>
        <v>5625</v>
      </c>
      <c r="H31" s="410">
        <f>H32+H33</f>
        <v>4780</v>
      </c>
      <c r="I31" s="411" t="s">
        <v>551</v>
      </c>
      <c r="J31" s="410">
        <f>J32+J33</f>
        <v>1059</v>
      </c>
      <c r="K31" s="410">
        <f>K32+K33</f>
        <v>939</v>
      </c>
      <c r="L31" s="410">
        <f>L32+L33</f>
        <v>692</v>
      </c>
      <c r="M31" s="412">
        <f>L31/K31</f>
        <v>0.737</v>
      </c>
      <c r="N31" s="413">
        <f t="shared" si="0"/>
        <v>6667</v>
      </c>
      <c r="O31" s="413">
        <f t="shared" si="1"/>
        <v>6564</v>
      </c>
      <c r="P31" s="413">
        <f t="shared" si="2"/>
        <v>5472</v>
      </c>
      <c r="Q31" s="412">
        <f t="shared" si="4"/>
        <v>0.8336</v>
      </c>
    </row>
    <row r="32" spans="1:17" ht="12.75">
      <c r="A32" s="429"/>
      <c r="B32" s="416"/>
      <c r="C32" s="417" t="s">
        <v>556</v>
      </c>
      <c r="D32" s="417" t="s">
        <v>557</v>
      </c>
      <c r="E32" s="418"/>
      <c r="F32" s="410">
        <v>4511</v>
      </c>
      <c r="G32" s="410">
        <v>4511</v>
      </c>
      <c r="H32" s="419">
        <v>3768</v>
      </c>
      <c r="I32" s="411" t="s">
        <v>551</v>
      </c>
      <c r="J32" s="410">
        <v>796</v>
      </c>
      <c r="K32" s="410">
        <v>796</v>
      </c>
      <c r="L32" s="419">
        <v>588</v>
      </c>
      <c r="M32" s="412">
        <f>L32/K32</f>
        <v>0.7387</v>
      </c>
      <c r="N32" s="413">
        <f t="shared" si="0"/>
        <v>5307</v>
      </c>
      <c r="O32" s="413">
        <f t="shared" si="1"/>
        <v>5307</v>
      </c>
      <c r="P32" s="413">
        <f t="shared" si="2"/>
        <v>4356</v>
      </c>
      <c r="Q32" s="412">
        <f t="shared" si="4"/>
        <v>0.8208</v>
      </c>
    </row>
    <row r="33" spans="1:17" ht="12.75">
      <c r="A33" s="429"/>
      <c r="B33" s="416"/>
      <c r="C33" s="417"/>
      <c r="D33" s="417" t="s">
        <v>558</v>
      </c>
      <c r="E33" s="418"/>
      <c r="F33" s="410">
        <f>F34+F35</f>
        <v>1097</v>
      </c>
      <c r="G33" s="410">
        <f>G34+G35</f>
        <v>1114</v>
      </c>
      <c r="H33" s="410">
        <f>H34+H35</f>
        <v>1012</v>
      </c>
      <c r="I33" s="411" t="s">
        <v>551</v>
      </c>
      <c r="J33" s="410">
        <f>J34+J35</f>
        <v>263</v>
      </c>
      <c r="K33" s="410">
        <f>K34+K35</f>
        <v>143</v>
      </c>
      <c r="L33" s="410">
        <f>L34+L35</f>
        <v>104</v>
      </c>
      <c r="M33" s="412">
        <f>L33/K33</f>
        <v>0.7273</v>
      </c>
      <c r="N33" s="413">
        <f t="shared" si="0"/>
        <v>1360</v>
      </c>
      <c r="O33" s="413">
        <f t="shared" si="1"/>
        <v>1257</v>
      </c>
      <c r="P33" s="413">
        <f t="shared" si="2"/>
        <v>1116</v>
      </c>
      <c r="Q33" s="412">
        <f t="shared" si="4"/>
        <v>0.8878</v>
      </c>
    </row>
    <row r="34" spans="1:17" ht="12.75">
      <c r="A34" s="429"/>
      <c r="B34" s="416"/>
      <c r="C34" s="417"/>
      <c r="D34" s="417" t="s">
        <v>556</v>
      </c>
      <c r="E34" s="418" t="s">
        <v>559</v>
      </c>
      <c r="F34" s="410">
        <v>1097</v>
      </c>
      <c r="G34" s="410">
        <v>767</v>
      </c>
      <c r="H34" s="419">
        <v>665</v>
      </c>
      <c r="I34" s="411">
        <f>H34/G34</f>
        <v>0.867</v>
      </c>
      <c r="J34" s="410">
        <v>263</v>
      </c>
      <c r="K34" s="410">
        <v>143</v>
      </c>
      <c r="L34" s="419">
        <v>104</v>
      </c>
      <c r="M34" s="412">
        <f>L34/K34</f>
        <v>0.7273</v>
      </c>
      <c r="N34" s="413">
        <f t="shared" si="0"/>
        <v>1360</v>
      </c>
      <c r="O34" s="413">
        <f t="shared" si="1"/>
        <v>910</v>
      </c>
      <c r="P34" s="413">
        <f t="shared" si="2"/>
        <v>769</v>
      </c>
      <c r="Q34" s="412">
        <f t="shared" si="4"/>
        <v>0.8451</v>
      </c>
    </row>
    <row r="35" spans="1:17" ht="13.5" thickBot="1">
      <c r="A35" s="420"/>
      <c r="B35" s="421"/>
      <c r="C35" s="422"/>
      <c r="D35" s="422"/>
      <c r="E35" s="423" t="s">
        <v>560</v>
      </c>
      <c r="F35" s="424">
        <v>0</v>
      </c>
      <c r="G35" s="424">
        <v>347</v>
      </c>
      <c r="H35" s="424">
        <v>347</v>
      </c>
      <c r="I35" s="430">
        <f>H35/G35</f>
        <v>1</v>
      </c>
      <c r="J35" s="424">
        <v>0</v>
      </c>
      <c r="K35" s="424">
        <v>0</v>
      </c>
      <c r="L35" s="424">
        <v>0</v>
      </c>
      <c r="M35" s="431" t="s">
        <v>551</v>
      </c>
      <c r="N35" s="432">
        <f t="shared" si="0"/>
        <v>0</v>
      </c>
      <c r="O35" s="432">
        <f t="shared" si="1"/>
        <v>347</v>
      </c>
      <c r="P35" s="432">
        <f t="shared" si="2"/>
        <v>347</v>
      </c>
      <c r="Q35" s="433">
        <f t="shared" si="4"/>
        <v>1</v>
      </c>
    </row>
    <row r="36" spans="1:17" ht="12.75">
      <c r="A36" s="429"/>
      <c r="B36" s="416"/>
      <c r="C36" s="417" t="s">
        <v>566</v>
      </c>
      <c r="D36" s="417"/>
      <c r="E36" s="418"/>
      <c r="F36" s="410">
        <f>F37+F38</f>
        <v>0</v>
      </c>
      <c r="G36" s="410">
        <f>G37+G38</f>
        <v>0</v>
      </c>
      <c r="H36" s="410">
        <f>H37+H38</f>
        <v>0</v>
      </c>
      <c r="I36" s="411" t="s">
        <v>551</v>
      </c>
      <c r="J36" s="410">
        <f>J37+J38</f>
        <v>0</v>
      </c>
      <c r="K36" s="410">
        <f>K37+K38</f>
        <v>0</v>
      </c>
      <c r="L36" s="410">
        <f>L37+L38</f>
        <v>1</v>
      </c>
      <c r="M36" s="412" t="s">
        <v>551</v>
      </c>
      <c r="N36" s="413">
        <f t="shared" si="0"/>
        <v>0</v>
      </c>
      <c r="O36" s="413">
        <f t="shared" si="1"/>
        <v>0</v>
      </c>
      <c r="P36" s="413">
        <f t="shared" si="2"/>
        <v>1</v>
      </c>
      <c r="Q36" s="412" t="s">
        <v>551</v>
      </c>
    </row>
    <row r="37" spans="1:17" ht="12.75">
      <c r="A37" s="429"/>
      <c r="B37" s="416"/>
      <c r="C37" s="417" t="s">
        <v>556</v>
      </c>
      <c r="D37" s="417" t="s">
        <v>557</v>
      </c>
      <c r="E37" s="418"/>
      <c r="F37" s="410">
        <v>0</v>
      </c>
      <c r="G37" s="410">
        <v>0</v>
      </c>
      <c r="H37" s="419">
        <v>0</v>
      </c>
      <c r="I37" s="411" t="s">
        <v>551</v>
      </c>
      <c r="J37" s="410">
        <v>0</v>
      </c>
      <c r="K37" s="410">
        <v>0</v>
      </c>
      <c r="L37" s="419">
        <v>1</v>
      </c>
      <c r="M37" s="412" t="s">
        <v>551</v>
      </c>
      <c r="N37" s="413">
        <f t="shared" si="0"/>
        <v>0</v>
      </c>
      <c r="O37" s="413">
        <f t="shared" si="1"/>
        <v>0</v>
      </c>
      <c r="P37" s="413">
        <f t="shared" si="2"/>
        <v>1</v>
      </c>
      <c r="Q37" s="412" t="s">
        <v>551</v>
      </c>
    </row>
    <row r="38" spans="1:17" ht="12.75">
      <c r="A38" s="429"/>
      <c r="B38" s="416"/>
      <c r="C38" s="417"/>
      <c r="D38" s="417" t="s">
        <v>558</v>
      </c>
      <c r="E38" s="418"/>
      <c r="F38" s="410">
        <f>F39+F40</f>
        <v>0</v>
      </c>
      <c r="G38" s="410">
        <f>G39+G40</f>
        <v>0</v>
      </c>
      <c r="H38" s="410">
        <f>H39+H40</f>
        <v>0</v>
      </c>
      <c r="I38" s="411" t="s">
        <v>551</v>
      </c>
      <c r="J38" s="410">
        <f>J39+J40</f>
        <v>0</v>
      </c>
      <c r="K38" s="410">
        <f>K39+K40</f>
        <v>0</v>
      </c>
      <c r="L38" s="410">
        <f>L39+L40</f>
        <v>0</v>
      </c>
      <c r="M38" s="412" t="s">
        <v>551</v>
      </c>
      <c r="N38" s="413">
        <f t="shared" si="0"/>
        <v>0</v>
      </c>
      <c r="O38" s="413">
        <f t="shared" si="1"/>
        <v>0</v>
      </c>
      <c r="P38" s="413">
        <f t="shared" si="2"/>
        <v>0</v>
      </c>
      <c r="Q38" s="412" t="s">
        <v>551</v>
      </c>
    </row>
    <row r="39" spans="1:17" ht="12.75">
      <c r="A39" s="429"/>
      <c r="B39" s="416"/>
      <c r="C39" s="417"/>
      <c r="D39" s="417" t="s">
        <v>556</v>
      </c>
      <c r="E39" s="418" t="s">
        <v>559</v>
      </c>
      <c r="F39" s="410">
        <v>0</v>
      </c>
      <c r="G39" s="410">
        <v>0</v>
      </c>
      <c r="H39" s="419">
        <v>0</v>
      </c>
      <c r="I39" s="411" t="s">
        <v>551</v>
      </c>
      <c r="J39" s="410">
        <v>0</v>
      </c>
      <c r="K39" s="410">
        <v>0</v>
      </c>
      <c r="L39" s="419">
        <v>0</v>
      </c>
      <c r="M39" s="412" t="s">
        <v>551</v>
      </c>
      <c r="N39" s="413">
        <f t="shared" si="0"/>
        <v>0</v>
      </c>
      <c r="O39" s="413">
        <f t="shared" si="1"/>
        <v>0</v>
      </c>
      <c r="P39" s="413">
        <f t="shared" si="2"/>
        <v>0</v>
      </c>
      <c r="Q39" s="412" t="s">
        <v>551</v>
      </c>
    </row>
    <row r="40" spans="1:17" ht="13.5" thickBot="1">
      <c r="A40" s="420"/>
      <c r="B40" s="421"/>
      <c r="C40" s="422"/>
      <c r="D40" s="422"/>
      <c r="E40" s="423" t="s">
        <v>560</v>
      </c>
      <c r="F40" s="424">
        <v>0</v>
      </c>
      <c r="G40" s="424">
        <v>0</v>
      </c>
      <c r="H40" s="424">
        <v>0</v>
      </c>
      <c r="I40" s="430" t="s">
        <v>551</v>
      </c>
      <c r="J40" s="424">
        <v>0</v>
      </c>
      <c r="K40" s="424">
        <v>0</v>
      </c>
      <c r="L40" s="424">
        <v>0</v>
      </c>
      <c r="M40" s="431" t="s">
        <v>551</v>
      </c>
      <c r="N40" s="432">
        <f t="shared" si="0"/>
        <v>0</v>
      </c>
      <c r="O40" s="432">
        <f t="shared" si="1"/>
        <v>0</v>
      </c>
      <c r="P40" s="432">
        <f t="shared" si="2"/>
        <v>0</v>
      </c>
      <c r="Q40" s="431" t="s">
        <v>551</v>
      </c>
    </row>
    <row r="41" spans="1:17" ht="12.75">
      <c r="A41" s="429"/>
      <c r="B41" s="416"/>
      <c r="C41" s="417" t="s">
        <v>567</v>
      </c>
      <c r="D41" s="417"/>
      <c r="E41" s="418"/>
      <c r="F41" s="410">
        <f>F42+F43</f>
        <v>200</v>
      </c>
      <c r="G41" s="410">
        <f>G42+G43</f>
        <v>200</v>
      </c>
      <c r="H41" s="419">
        <f>H42+H43</f>
        <v>0</v>
      </c>
      <c r="I41" s="411">
        <f>H41/G41</f>
        <v>0</v>
      </c>
      <c r="J41" s="410">
        <f>J42+J43</f>
        <v>3656</v>
      </c>
      <c r="K41" s="410">
        <f>K42+K43</f>
        <v>3597</v>
      </c>
      <c r="L41" s="419">
        <f>L42+L43</f>
        <v>0</v>
      </c>
      <c r="M41" s="412">
        <f>L41/K41</f>
        <v>0</v>
      </c>
      <c r="N41" s="413">
        <f aca="true" t="shared" si="6" ref="N41:N72">SUM(F41,J41)</f>
        <v>3856</v>
      </c>
      <c r="O41" s="413">
        <f aca="true" t="shared" si="7" ref="O41:O72">SUM(G41,K41)</f>
        <v>3797</v>
      </c>
      <c r="P41" s="413">
        <f aca="true" t="shared" si="8" ref="P41:P72">SUM(H41,L41)</f>
        <v>0</v>
      </c>
      <c r="Q41" s="412">
        <f>P41/O41</f>
        <v>0</v>
      </c>
    </row>
    <row r="42" spans="1:17" ht="12.75">
      <c r="A42" s="429"/>
      <c r="B42" s="416"/>
      <c r="C42" s="417" t="s">
        <v>556</v>
      </c>
      <c r="D42" s="417" t="s">
        <v>557</v>
      </c>
      <c r="E42" s="418"/>
      <c r="F42" s="410">
        <v>170</v>
      </c>
      <c r="G42" s="410">
        <v>170</v>
      </c>
      <c r="H42" s="419">
        <v>0</v>
      </c>
      <c r="I42" s="411">
        <f>H42/G42</f>
        <v>0</v>
      </c>
      <c r="J42" s="410">
        <v>3106</v>
      </c>
      <c r="K42" s="410">
        <v>3056</v>
      </c>
      <c r="L42" s="419">
        <v>0</v>
      </c>
      <c r="M42" s="412">
        <f>L42/K42</f>
        <v>0</v>
      </c>
      <c r="N42" s="413">
        <f t="shared" si="6"/>
        <v>3276</v>
      </c>
      <c r="O42" s="413">
        <f t="shared" si="7"/>
        <v>3226</v>
      </c>
      <c r="P42" s="413">
        <f t="shared" si="8"/>
        <v>0</v>
      </c>
      <c r="Q42" s="412">
        <f>P42/O42</f>
        <v>0</v>
      </c>
    </row>
    <row r="43" spans="1:17" ht="12.75">
      <c r="A43" s="429"/>
      <c r="B43" s="416"/>
      <c r="C43" s="417"/>
      <c r="D43" s="417" t="s">
        <v>558</v>
      </c>
      <c r="E43" s="418"/>
      <c r="F43" s="410">
        <f>F44+F45</f>
        <v>30</v>
      </c>
      <c r="G43" s="410">
        <f>G44+G45</f>
        <v>30</v>
      </c>
      <c r="H43" s="419">
        <f>H44+H45</f>
        <v>0</v>
      </c>
      <c r="I43" s="411">
        <f>H43/G43</f>
        <v>0</v>
      </c>
      <c r="J43" s="410">
        <f>J44+J45</f>
        <v>550</v>
      </c>
      <c r="K43" s="410">
        <f>K44+K45</f>
        <v>541</v>
      </c>
      <c r="L43" s="419">
        <f>L44+L45</f>
        <v>0</v>
      </c>
      <c r="M43" s="412">
        <f>L43/K43</f>
        <v>0</v>
      </c>
      <c r="N43" s="413">
        <f t="shared" si="6"/>
        <v>580</v>
      </c>
      <c r="O43" s="413">
        <f t="shared" si="7"/>
        <v>571</v>
      </c>
      <c r="P43" s="413">
        <f t="shared" si="8"/>
        <v>0</v>
      </c>
      <c r="Q43" s="412">
        <f>P43/O43</f>
        <v>0</v>
      </c>
    </row>
    <row r="44" spans="1:17" ht="12.75">
      <c r="A44" s="429"/>
      <c r="B44" s="416"/>
      <c r="C44" s="417"/>
      <c r="D44" s="417" t="s">
        <v>556</v>
      </c>
      <c r="E44" s="418" t="s">
        <v>559</v>
      </c>
      <c r="F44" s="410">
        <v>30</v>
      </c>
      <c r="G44" s="410">
        <v>30</v>
      </c>
      <c r="H44" s="419">
        <v>0</v>
      </c>
      <c r="I44" s="411">
        <f>H44/G44</f>
        <v>0</v>
      </c>
      <c r="J44" s="410">
        <v>550</v>
      </c>
      <c r="K44" s="410">
        <v>541</v>
      </c>
      <c r="L44" s="419">
        <v>0</v>
      </c>
      <c r="M44" s="412">
        <f>L44/K44</f>
        <v>0</v>
      </c>
      <c r="N44" s="413">
        <f t="shared" si="6"/>
        <v>580</v>
      </c>
      <c r="O44" s="413">
        <f t="shared" si="7"/>
        <v>571</v>
      </c>
      <c r="P44" s="413">
        <f t="shared" si="8"/>
        <v>0</v>
      </c>
      <c r="Q44" s="412">
        <f>P44/O44</f>
        <v>0</v>
      </c>
    </row>
    <row r="45" spans="1:17" ht="13.5" thickBot="1">
      <c r="A45" s="420"/>
      <c r="B45" s="421"/>
      <c r="C45" s="422"/>
      <c r="D45" s="422"/>
      <c r="E45" s="423" t="s">
        <v>560</v>
      </c>
      <c r="F45" s="424">
        <v>0</v>
      </c>
      <c r="G45" s="424">
        <v>0</v>
      </c>
      <c r="H45" s="424">
        <v>0</v>
      </c>
      <c r="I45" s="430" t="s">
        <v>551</v>
      </c>
      <c r="J45" s="424">
        <v>0</v>
      </c>
      <c r="K45" s="424">
        <v>0</v>
      </c>
      <c r="L45" s="424">
        <v>0</v>
      </c>
      <c r="M45" s="431" t="s">
        <v>551</v>
      </c>
      <c r="N45" s="432">
        <f t="shared" si="6"/>
        <v>0</v>
      </c>
      <c r="O45" s="432">
        <f t="shared" si="7"/>
        <v>0</v>
      </c>
      <c r="P45" s="432">
        <f t="shared" si="8"/>
        <v>0</v>
      </c>
      <c r="Q45" s="431" t="s">
        <v>551</v>
      </c>
    </row>
    <row r="46" spans="1:17" ht="12.75">
      <c r="A46" s="429"/>
      <c r="B46" s="416"/>
      <c r="C46" s="417" t="s">
        <v>568</v>
      </c>
      <c r="D46" s="417"/>
      <c r="E46" s="418"/>
      <c r="F46" s="410">
        <f>F47+F48</f>
        <v>0</v>
      </c>
      <c r="G46" s="410">
        <f>G47+G48</f>
        <v>0</v>
      </c>
      <c r="H46" s="419">
        <f>H47+H48</f>
        <v>85</v>
      </c>
      <c r="I46" s="411" t="s">
        <v>551</v>
      </c>
      <c r="J46" s="410">
        <f>J47+J48</f>
        <v>0</v>
      </c>
      <c r="K46" s="410">
        <f>K47+K48</f>
        <v>0</v>
      </c>
      <c r="L46" s="419">
        <f>L47+L48</f>
        <v>0</v>
      </c>
      <c r="M46" s="412" t="s">
        <v>551</v>
      </c>
      <c r="N46" s="413">
        <f t="shared" si="6"/>
        <v>0</v>
      </c>
      <c r="O46" s="413">
        <f t="shared" si="7"/>
        <v>0</v>
      </c>
      <c r="P46" s="413">
        <f t="shared" si="8"/>
        <v>85</v>
      </c>
      <c r="Q46" s="412" t="s">
        <v>551</v>
      </c>
    </row>
    <row r="47" spans="1:17" ht="12.75">
      <c r="A47" s="429"/>
      <c r="B47" s="416"/>
      <c r="C47" s="417" t="s">
        <v>556</v>
      </c>
      <c r="D47" s="417" t="s">
        <v>557</v>
      </c>
      <c r="E47" s="418"/>
      <c r="F47" s="410"/>
      <c r="G47" s="410">
        <v>0</v>
      </c>
      <c r="H47" s="419">
        <v>72</v>
      </c>
      <c r="I47" s="411" t="s">
        <v>551</v>
      </c>
      <c r="J47" s="410"/>
      <c r="K47" s="410">
        <v>0</v>
      </c>
      <c r="L47" s="419">
        <v>0</v>
      </c>
      <c r="M47" s="412" t="s">
        <v>551</v>
      </c>
      <c r="N47" s="413">
        <f t="shared" si="6"/>
        <v>0</v>
      </c>
      <c r="O47" s="413">
        <f t="shared" si="7"/>
        <v>0</v>
      </c>
      <c r="P47" s="413">
        <f t="shared" si="8"/>
        <v>72</v>
      </c>
      <c r="Q47" s="412" t="s">
        <v>551</v>
      </c>
    </row>
    <row r="48" spans="1:17" ht="12.75">
      <c r="A48" s="429"/>
      <c r="B48" s="416"/>
      <c r="C48" s="417"/>
      <c r="D48" s="417" t="s">
        <v>558</v>
      </c>
      <c r="E48" s="418"/>
      <c r="F48" s="410">
        <f>F49+F50</f>
        <v>0</v>
      </c>
      <c r="G48" s="410">
        <f>G49+G50</f>
        <v>0</v>
      </c>
      <c r="H48" s="419">
        <f>H49+H50</f>
        <v>13</v>
      </c>
      <c r="I48" s="411" t="s">
        <v>551</v>
      </c>
      <c r="J48" s="410">
        <f>J49+J50</f>
        <v>0</v>
      </c>
      <c r="K48" s="410">
        <f>K49+K50</f>
        <v>0</v>
      </c>
      <c r="L48" s="419">
        <f>L49+L50</f>
        <v>0</v>
      </c>
      <c r="M48" s="412" t="s">
        <v>551</v>
      </c>
      <c r="N48" s="413">
        <f t="shared" si="6"/>
        <v>0</v>
      </c>
      <c r="O48" s="413">
        <f t="shared" si="7"/>
        <v>0</v>
      </c>
      <c r="P48" s="413">
        <f t="shared" si="8"/>
        <v>13</v>
      </c>
      <c r="Q48" s="412" t="s">
        <v>551</v>
      </c>
    </row>
    <row r="49" spans="1:17" ht="12.75">
      <c r="A49" s="429"/>
      <c r="B49" s="416"/>
      <c r="C49" s="417"/>
      <c r="D49" s="417" t="s">
        <v>556</v>
      </c>
      <c r="E49" s="418" t="s">
        <v>559</v>
      </c>
      <c r="F49" s="410"/>
      <c r="G49" s="410">
        <v>0</v>
      </c>
      <c r="H49" s="419">
        <v>13</v>
      </c>
      <c r="I49" s="411" t="s">
        <v>551</v>
      </c>
      <c r="J49" s="410"/>
      <c r="K49" s="410">
        <v>0</v>
      </c>
      <c r="L49" s="419">
        <v>0</v>
      </c>
      <c r="M49" s="412" t="s">
        <v>551</v>
      </c>
      <c r="N49" s="413">
        <f t="shared" si="6"/>
        <v>0</v>
      </c>
      <c r="O49" s="413">
        <f t="shared" si="7"/>
        <v>0</v>
      </c>
      <c r="P49" s="413">
        <f t="shared" si="8"/>
        <v>13</v>
      </c>
      <c r="Q49" s="412" t="s">
        <v>551</v>
      </c>
    </row>
    <row r="50" spans="1:17" ht="13.5" thickBot="1">
      <c r="A50" s="420"/>
      <c r="B50" s="421"/>
      <c r="C50" s="422"/>
      <c r="D50" s="422"/>
      <c r="E50" s="423" t="s">
        <v>560</v>
      </c>
      <c r="F50" s="424"/>
      <c r="G50" s="424">
        <v>0</v>
      </c>
      <c r="H50" s="424">
        <v>0</v>
      </c>
      <c r="I50" s="430" t="s">
        <v>551</v>
      </c>
      <c r="J50" s="424"/>
      <c r="K50" s="424">
        <v>0</v>
      </c>
      <c r="L50" s="424">
        <v>0</v>
      </c>
      <c r="M50" s="431" t="s">
        <v>551</v>
      </c>
      <c r="N50" s="432">
        <f t="shared" si="6"/>
        <v>0</v>
      </c>
      <c r="O50" s="432">
        <f t="shared" si="7"/>
        <v>0</v>
      </c>
      <c r="P50" s="432">
        <f t="shared" si="8"/>
        <v>0</v>
      </c>
      <c r="Q50" s="433" t="s">
        <v>551</v>
      </c>
    </row>
    <row r="51" spans="1:17" ht="12.75">
      <c r="A51" s="429"/>
      <c r="B51" s="416"/>
      <c r="C51" s="417" t="s">
        <v>569</v>
      </c>
      <c r="D51" s="417"/>
      <c r="E51" s="418"/>
      <c r="F51" s="410">
        <f>F52+F53</f>
        <v>0</v>
      </c>
      <c r="G51" s="410">
        <f>G52+G53</f>
        <v>0</v>
      </c>
      <c r="H51" s="410">
        <f>H52+H53</f>
        <v>118</v>
      </c>
      <c r="I51" s="411" t="s">
        <v>551</v>
      </c>
      <c r="J51" s="410">
        <f>J52+J53</f>
        <v>0</v>
      </c>
      <c r="K51" s="410">
        <f>K52+K53</f>
        <v>0</v>
      </c>
      <c r="L51" s="410">
        <f>L52+L53</f>
        <v>200</v>
      </c>
      <c r="M51" s="412" t="s">
        <v>551</v>
      </c>
      <c r="N51" s="413">
        <f t="shared" si="6"/>
        <v>0</v>
      </c>
      <c r="O51" s="413">
        <f t="shared" si="7"/>
        <v>0</v>
      </c>
      <c r="P51" s="413">
        <f t="shared" si="8"/>
        <v>318</v>
      </c>
      <c r="Q51" s="412" t="s">
        <v>551</v>
      </c>
    </row>
    <row r="52" spans="1:17" ht="12.75">
      <c r="A52" s="429"/>
      <c r="B52" s="416"/>
      <c r="C52" s="417" t="s">
        <v>556</v>
      </c>
      <c r="D52" s="417" t="s">
        <v>557</v>
      </c>
      <c r="E52" s="418"/>
      <c r="F52" s="410">
        <v>0</v>
      </c>
      <c r="G52" s="410">
        <v>0</v>
      </c>
      <c r="H52" s="419">
        <v>118</v>
      </c>
      <c r="I52" s="411" t="s">
        <v>551</v>
      </c>
      <c r="J52" s="410">
        <v>0</v>
      </c>
      <c r="K52" s="410">
        <v>0</v>
      </c>
      <c r="L52" s="419">
        <v>161</v>
      </c>
      <c r="M52" s="412" t="s">
        <v>551</v>
      </c>
      <c r="N52" s="413">
        <f t="shared" si="6"/>
        <v>0</v>
      </c>
      <c r="O52" s="413">
        <f t="shared" si="7"/>
        <v>0</v>
      </c>
      <c r="P52" s="413">
        <f t="shared" si="8"/>
        <v>279</v>
      </c>
      <c r="Q52" s="412" t="s">
        <v>551</v>
      </c>
    </row>
    <row r="53" spans="1:17" ht="12.75">
      <c r="A53" s="429"/>
      <c r="B53" s="416"/>
      <c r="C53" s="417"/>
      <c r="D53" s="417" t="s">
        <v>558</v>
      </c>
      <c r="E53" s="418"/>
      <c r="F53" s="410">
        <f>F54+F55</f>
        <v>0</v>
      </c>
      <c r="G53" s="410">
        <f>G54+G55</f>
        <v>0</v>
      </c>
      <c r="H53" s="410">
        <f>H54+H55</f>
        <v>0</v>
      </c>
      <c r="I53" s="411" t="s">
        <v>551</v>
      </c>
      <c r="J53" s="410">
        <f>J54+J55</f>
        <v>0</v>
      </c>
      <c r="K53" s="410">
        <f>K54+K55</f>
        <v>0</v>
      </c>
      <c r="L53" s="410">
        <f>L54+L55</f>
        <v>39</v>
      </c>
      <c r="M53" s="412" t="s">
        <v>551</v>
      </c>
      <c r="N53" s="413">
        <f t="shared" si="6"/>
        <v>0</v>
      </c>
      <c r="O53" s="413">
        <f t="shared" si="7"/>
        <v>0</v>
      </c>
      <c r="P53" s="413">
        <f t="shared" si="8"/>
        <v>39</v>
      </c>
      <c r="Q53" s="412" t="s">
        <v>551</v>
      </c>
    </row>
    <row r="54" spans="1:17" ht="12.75">
      <c r="A54" s="429"/>
      <c r="B54" s="416"/>
      <c r="C54" s="417"/>
      <c r="D54" s="417" t="s">
        <v>556</v>
      </c>
      <c r="E54" s="418" t="s">
        <v>559</v>
      </c>
      <c r="F54" s="410">
        <v>0</v>
      </c>
      <c r="G54" s="410">
        <v>0</v>
      </c>
      <c r="H54" s="419">
        <v>0</v>
      </c>
      <c r="I54" s="411" t="s">
        <v>551</v>
      </c>
      <c r="J54" s="410">
        <v>0</v>
      </c>
      <c r="K54" s="410">
        <v>0</v>
      </c>
      <c r="L54" s="419">
        <v>39</v>
      </c>
      <c r="M54" s="412" t="s">
        <v>551</v>
      </c>
      <c r="N54" s="413">
        <f t="shared" si="6"/>
        <v>0</v>
      </c>
      <c r="O54" s="413">
        <f t="shared" si="7"/>
        <v>0</v>
      </c>
      <c r="P54" s="413">
        <f t="shared" si="8"/>
        <v>39</v>
      </c>
      <c r="Q54" s="412" t="s">
        <v>551</v>
      </c>
    </row>
    <row r="55" spans="1:17" ht="13.5" thickBot="1">
      <c r="A55" s="420"/>
      <c r="B55" s="421"/>
      <c r="C55" s="422"/>
      <c r="D55" s="422"/>
      <c r="E55" s="423" t="s">
        <v>560</v>
      </c>
      <c r="F55" s="424">
        <v>0</v>
      </c>
      <c r="G55" s="424">
        <v>0</v>
      </c>
      <c r="H55" s="424">
        <v>0</v>
      </c>
      <c r="I55" s="430" t="s">
        <v>551</v>
      </c>
      <c r="J55" s="424">
        <v>0</v>
      </c>
      <c r="K55" s="424">
        <v>0</v>
      </c>
      <c r="L55" s="424">
        <v>0</v>
      </c>
      <c r="M55" s="431" t="s">
        <v>551</v>
      </c>
      <c r="N55" s="432">
        <f t="shared" si="6"/>
        <v>0</v>
      </c>
      <c r="O55" s="432">
        <f t="shared" si="7"/>
        <v>0</v>
      </c>
      <c r="P55" s="432">
        <f t="shared" si="8"/>
        <v>0</v>
      </c>
      <c r="Q55" s="433" t="s">
        <v>551</v>
      </c>
    </row>
    <row r="56" spans="1:17" ht="12.75">
      <c r="A56" s="429"/>
      <c r="B56" s="416"/>
      <c r="C56" s="417" t="s">
        <v>570</v>
      </c>
      <c r="D56" s="417"/>
      <c r="E56" s="418"/>
      <c r="F56" s="410">
        <f>F57+F58</f>
        <v>16370</v>
      </c>
      <c r="G56" s="410">
        <f>G57+G58</f>
        <v>36049</v>
      </c>
      <c r="H56" s="410">
        <f>H57+H58</f>
        <v>15329</v>
      </c>
      <c r="I56" s="411">
        <f aca="true" t="shared" si="9" ref="I56:I67">H56/G56</f>
        <v>0.4252</v>
      </c>
      <c r="J56" s="410">
        <f>J57+J58</f>
        <v>0</v>
      </c>
      <c r="K56" s="410">
        <f>K57+K58</f>
        <v>9964</v>
      </c>
      <c r="L56" s="410">
        <f>L57+L58</f>
        <v>1345</v>
      </c>
      <c r="M56" s="412">
        <f aca="true" t="shared" si="10" ref="M56:M62">L56/K56</f>
        <v>0.135</v>
      </c>
      <c r="N56" s="413">
        <f t="shared" si="6"/>
        <v>16370</v>
      </c>
      <c r="O56" s="413">
        <f t="shared" si="7"/>
        <v>46013</v>
      </c>
      <c r="P56" s="413">
        <f t="shared" si="8"/>
        <v>16674</v>
      </c>
      <c r="Q56" s="412">
        <f aca="true" t="shared" si="11" ref="Q56:Q67">P56/O56</f>
        <v>0.3624</v>
      </c>
    </row>
    <row r="57" spans="1:17" ht="12.75">
      <c r="A57" s="429"/>
      <c r="B57" s="416"/>
      <c r="C57" s="417" t="s">
        <v>556</v>
      </c>
      <c r="D57" s="417" t="s">
        <v>557</v>
      </c>
      <c r="E57" s="418"/>
      <c r="F57" s="410">
        <v>0</v>
      </c>
      <c r="G57" s="410">
        <v>15939</v>
      </c>
      <c r="H57" s="419">
        <v>7358</v>
      </c>
      <c r="I57" s="411">
        <f t="shared" si="9"/>
        <v>0.4616</v>
      </c>
      <c r="J57" s="410">
        <v>0</v>
      </c>
      <c r="K57" s="410">
        <v>7337</v>
      </c>
      <c r="L57" s="419">
        <v>1009</v>
      </c>
      <c r="M57" s="412">
        <f t="shared" si="10"/>
        <v>0.1375</v>
      </c>
      <c r="N57" s="413">
        <f t="shared" si="6"/>
        <v>0</v>
      </c>
      <c r="O57" s="413">
        <f t="shared" si="7"/>
        <v>23276</v>
      </c>
      <c r="P57" s="413">
        <f t="shared" si="8"/>
        <v>8367</v>
      </c>
      <c r="Q57" s="412">
        <f t="shared" si="11"/>
        <v>0.3595</v>
      </c>
    </row>
    <row r="58" spans="1:17" ht="12.75">
      <c r="A58" s="429"/>
      <c r="B58" s="416"/>
      <c r="C58" s="417"/>
      <c r="D58" s="417" t="s">
        <v>558</v>
      </c>
      <c r="E58" s="418"/>
      <c r="F58" s="410">
        <f>F59+F60</f>
        <v>16370</v>
      </c>
      <c r="G58" s="410">
        <f>G59+G60</f>
        <v>20110</v>
      </c>
      <c r="H58" s="410">
        <f>H59+H60</f>
        <v>7971</v>
      </c>
      <c r="I58" s="411">
        <f t="shared" si="9"/>
        <v>0.3964</v>
      </c>
      <c r="J58" s="410">
        <f>J59+J60</f>
        <v>0</v>
      </c>
      <c r="K58" s="410">
        <f>K59+K60</f>
        <v>2627</v>
      </c>
      <c r="L58" s="410">
        <f>L59+L60</f>
        <v>336</v>
      </c>
      <c r="M58" s="412">
        <f t="shared" si="10"/>
        <v>0.1279</v>
      </c>
      <c r="N58" s="413">
        <f t="shared" si="6"/>
        <v>16370</v>
      </c>
      <c r="O58" s="413">
        <f t="shared" si="7"/>
        <v>22737</v>
      </c>
      <c r="P58" s="413">
        <f t="shared" si="8"/>
        <v>8307</v>
      </c>
      <c r="Q58" s="412">
        <f t="shared" si="11"/>
        <v>0.3654</v>
      </c>
    </row>
    <row r="59" spans="1:17" ht="12.75">
      <c r="A59" s="429"/>
      <c r="B59" s="416"/>
      <c r="C59" s="417"/>
      <c r="D59" s="417" t="s">
        <v>556</v>
      </c>
      <c r="E59" s="418" t="s">
        <v>559</v>
      </c>
      <c r="F59" s="410">
        <v>16370</v>
      </c>
      <c r="G59" s="410">
        <v>17999</v>
      </c>
      <c r="H59" s="419">
        <v>5861</v>
      </c>
      <c r="I59" s="411">
        <f t="shared" si="9"/>
        <v>0.3256</v>
      </c>
      <c r="J59" s="410">
        <v>0</v>
      </c>
      <c r="K59" s="410">
        <v>2510</v>
      </c>
      <c r="L59" s="419">
        <v>219</v>
      </c>
      <c r="M59" s="412">
        <f t="shared" si="10"/>
        <v>0.0873</v>
      </c>
      <c r="N59" s="413">
        <f t="shared" si="6"/>
        <v>16370</v>
      </c>
      <c r="O59" s="413">
        <f t="shared" si="7"/>
        <v>20509</v>
      </c>
      <c r="P59" s="413">
        <f t="shared" si="8"/>
        <v>6080</v>
      </c>
      <c r="Q59" s="412">
        <f t="shared" si="11"/>
        <v>0.2965</v>
      </c>
    </row>
    <row r="60" spans="1:17" ht="13.5" thickBot="1">
      <c r="A60" s="429"/>
      <c r="B60" s="416"/>
      <c r="C60" s="417"/>
      <c r="D60" s="417"/>
      <c r="E60" s="418" t="s">
        <v>560</v>
      </c>
      <c r="F60" s="410">
        <v>0</v>
      </c>
      <c r="G60" s="410">
        <v>2111</v>
      </c>
      <c r="H60" s="419">
        <v>2110</v>
      </c>
      <c r="I60" s="430">
        <f t="shared" si="9"/>
        <v>0.9995</v>
      </c>
      <c r="J60" s="410">
        <v>0</v>
      </c>
      <c r="K60" s="410">
        <v>117</v>
      </c>
      <c r="L60" s="419">
        <v>117</v>
      </c>
      <c r="M60" s="412">
        <f t="shared" si="10"/>
        <v>1</v>
      </c>
      <c r="N60" s="413">
        <f t="shared" si="6"/>
        <v>0</v>
      </c>
      <c r="O60" s="413">
        <f t="shared" si="7"/>
        <v>2228</v>
      </c>
      <c r="P60" s="413">
        <f t="shared" si="8"/>
        <v>2227</v>
      </c>
      <c r="Q60" s="412">
        <f t="shared" si="11"/>
        <v>0.9996</v>
      </c>
    </row>
    <row r="61" spans="1:17" ht="13.5" thickBot="1">
      <c r="A61" s="397">
        <v>114210</v>
      </c>
      <c r="B61" s="1418" t="s">
        <v>571</v>
      </c>
      <c r="C61" s="1419"/>
      <c r="D61" s="1419"/>
      <c r="E61" s="1420"/>
      <c r="F61" s="401">
        <v>65874</v>
      </c>
      <c r="G61" s="401">
        <v>62328</v>
      </c>
      <c r="H61" s="401">
        <v>83576</v>
      </c>
      <c r="I61" s="402">
        <f t="shared" si="9"/>
        <v>1.3409</v>
      </c>
      <c r="J61" s="401">
        <v>0</v>
      </c>
      <c r="K61" s="401">
        <v>60</v>
      </c>
      <c r="L61" s="401">
        <v>428</v>
      </c>
      <c r="M61" s="403">
        <f t="shared" si="10"/>
        <v>7.1333</v>
      </c>
      <c r="N61" s="404">
        <f t="shared" si="6"/>
        <v>65874</v>
      </c>
      <c r="O61" s="404">
        <f t="shared" si="7"/>
        <v>62388</v>
      </c>
      <c r="P61" s="404">
        <f t="shared" si="8"/>
        <v>84004</v>
      </c>
      <c r="Q61" s="405">
        <f t="shared" si="11"/>
        <v>1.3465</v>
      </c>
    </row>
    <row r="62" spans="1:17" ht="12.75">
      <c r="A62" s="434"/>
      <c r="B62" s="416" t="s">
        <v>556</v>
      </c>
      <c r="C62" s="417" t="s">
        <v>564</v>
      </c>
      <c r="D62" s="417"/>
      <c r="E62" s="418"/>
      <c r="F62" s="410">
        <f>F63+F64</f>
        <v>1874</v>
      </c>
      <c r="G62" s="410">
        <f>G63+G64</f>
        <v>4321</v>
      </c>
      <c r="H62" s="419">
        <f>H63+H64</f>
        <v>6968</v>
      </c>
      <c r="I62" s="411">
        <f t="shared" si="9"/>
        <v>1.6126</v>
      </c>
      <c r="J62" s="410">
        <f>J63+J64</f>
        <v>0</v>
      </c>
      <c r="K62" s="410">
        <f>K63+K64</f>
        <v>60</v>
      </c>
      <c r="L62" s="419">
        <f>L63+L64</f>
        <v>398</v>
      </c>
      <c r="M62" s="412">
        <f t="shared" si="10"/>
        <v>6.6333</v>
      </c>
      <c r="N62" s="413">
        <f t="shared" si="6"/>
        <v>1874</v>
      </c>
      <c r="O62" s="413">
        <f t="shared" si="7"/>
        <v>4381</v>
      </c>
      <c r="P62" s="413">
        <f t="shared" si="8"/>
        <v>7366</v>
      </c>
      <c r="Q62" s="412">
        <f t="shared" si="11"/>
        <v>1.6814</v>
      </c>
    </row>
    <row r="63" spans="1:17" ht="12.75">
      <c r="A63" s="434"/>
      <c r="B63" s="416"/>
      <c r="C63" s="417" t="s">
        <v>556</v>
      </c>
      <c r="D63" s="417" t="s">
        <v>557</v>
      </c>
      <c r="E63" s="418"/>
      <c r="F63" s="410">
        <v>1676</v>
      </c>
      <c r="G63" s="410">
        <v>1676</v>
      </c>
      <c r="H63" s="419">
        <v>4379</v>
      </c>
      <c r="I63" s="411">
        <f t="shared" si="9"/>
        <v>2.6128</v>
      </c>
      <c r="J63" s="410">
        <v>0</v>
      </c>
      <c r="K63" s="410">
        <v>0</v>
      </c>
      <c r="L63" s="419">
        <v>334</v>
      </c>
      <c r="M63" s="412" t="s">
        <v>551</v>
      </c>
      <c r="N63" s="413">
        <f t="shared" si="6"/>
        <v>1676</v>
      </c>
      <c r="O63" s="413">
        <f t="shared" si="7"/>
        <v>1676</v>
      </c>
      <c r="P63" s="413">
        <f t="shared" si="8"/>
        <v>4713</v>
      </c>
      <c r="Q63" s="412">
        <f t="shared" si="11"/>
        <v>2.8121</v>
      </c>
    </row>
    <row r="64" spans="1:17" ht="12.75">
      <c r="A64" s="434"/>
      <c r="B64" s="416"/>
      <c r="C64" s="417"/>
      <c r="D64" s="417" t="s">
        <v>558</v>
      </c>
      <c r="E64" s="418"/>
      <c r="F64" s="410">
        <f>F65+F66</f>
        <v>198</v>
      </c>
      <c r="G64" s="410">
        <f>G65+G66</f>
        <v>2645</v>
      </c>
      <c r="H64" s="419">
        <f>H65+H66</f>
        <v>2589</v>
      </c>
      <c r="I64" s="411">
        <f t="shared" si="9"/>
        <v>0.9788</v>
      </c>
      <c r="J64" s="410">
        <f>J65+J66</f>
        <v>0</v>
      </c>
      <c r="K64" s="410">
        <f>K65+K66</f>
        <v>60</v>
      </c>
      <c r="L64" s="419">
        <f>L65+L66</f>
        <v>64</v>
      </c>
      <c r="M64" s="412">
        <f>L64/K64</f>
        <v>1.0667</v>
      </c>
      <c r="N64" s="413">
        <f t="shared" si="6"/>
        <v>198</v>
      </c>
      <c r="O64" s="413">
        <f t="shared" si="7"/>
        <v>2705</v>
      </c>
      <c r="P64" s="413">
        <f t="shared" si="8"/>
        <v>2653</v>
      </c>
      <c r="Q64" s="412">
        <f t="shared" si="11"/>
        <v>0.9808</v>
      </c>
    </row>
    <row r="65" spans="1:17" ht="12.75">
      <c r="A65" s="434"/>
      <c r="B65" s="416"/>
      <c r="C65" s="417"/>
      <c r="D65" s="417" t="s">
        <v>556</v>
      </c>
      <c r="E65" s="418" t="s">
        <v>559</v>
      </c>
      <c r="F65" s="410">
        <v>198</v>
      </c>
      <c r="G65" s="410">
        <v>1044</v>
      </c>
      <c r="H65" s="419">
        <v>608</v>
      </c>
      <c r="I65" s="411">
        <f t="shared" si="9"/>
        <v>0.5824</v>
      </c>
      <c r="J65" s="410">
        <v>0</v>
      </c>
      <c r="K65" s="410">
        <v>0</v>
      </c>
      <c r="L65" s="419">
        <v>59</v>
      </c>
      <c r="M65" s="412" t="s">
        <v>551</v>
      </c>
      <c r="N65" s="413">
        <f t="shared" si="6"/>
        <v>198</v>
      </c>
      <c r="O65" s="413">
        <f t="shared" si="7"/>
        <v>1044</v>
      </c>
      <c r="P65" s="413">
        <f t="shared" si="8"/>
        <v>667</v>
      </c>
      <c r="Q65" s="412">
        <f t="shared" si="11"/>
        <v>0.6389</v>
      </c>
    </row>
    <row r="66" spans="1:17" ht="13.5" thickBot="1">
      <c r="A66" s="420"/>
      <c r="B66" s="421"/>
      <c r="C66" s="422"/>
      <c r="D66" s="422"/>
      <c r="E66" s="423" t="s">
        <v>560</v>
      </c>
      <c r="F66" s="424">
        <v>0</v>
      </c>
      <c r="G66" s="424">
        <v>1601</v>
      </c>
      <c r="H66" s="424">
        <v>1981</v>
      </c>
      <c r="I66" s="430">
        <f t="shared" si="9"/>
        <v>1.2374</v>
      </c>
      <c r="J66" s="424"/>
      <c r="K66" s="424">
        <v>60</v>
      </c>
      <c r="L66" s="424">
        <v>5</v>
      </c>
      <c r="M66" s="412">
        <f>L66/K66</f>
        <v>0.0833</v>
      </c>
      <c r="N66" s="432">
        <f t="shared" si="6"/>
        <v>0</v>
      </c>
      <c r="O66" s="432">
        <f t="shared" si="7"/>
        <v>1661</v>
      </c>
      <c r="P66" s="432">
        <f t="shared" si="8"/>
        <v>1986</v>
      </c>
      <c r="Q66" s="433">
        <f t="shared" si="11"/>
        <v>1.1957</v>
      </c>
    </row>
    <row r="67" spans="1:17" ht="13.5" thickBot="1">
      <c r="A67" s="397">
        <v>114240</v>
      </c>
      <c r="B67" s="398" t="s">
        <v>572</v>
      </c>
      <c r="C67" s="399"/>
      <c r="D67" s="399"/>
      <c r="E67" s="400"/>
      <c r="F67" s="401">
        <v>104141</v>
      </c>
      <c r="G67" s="401">
        <v>160306</v>
      </c>
      <c r="H67" s="401">
        <v>220090</v>
      </c>
      <c r="I67" s="402">
        <f t="shared" si="9"/>
        <v>1.3729</v>
      </c>
      <c r="J67" s="401">
        <v>392</v>
      </c>
      <c r="K67" s="401">
        <v>407</v>
      </c>
      <c r="L67" s="401">
        <v>542</v>
      </c>
      <c r="M67" s="403">
        <f>L67/K67</f>
        <v>1.3317</v>
      </c>
      <c r="N67" s="404">
        <f t="shared" si="6"/>
        <v>104533</v>
      </c>
      <c r="O67" s="404">
        <f t="shared" si="7"/>
        <v>160713</v>
      </c>
      <c r="P67" s="404">
        <f t="shared" si="8"/>
        <v>220632</v>
      </c>
      <c r="Q67" s="405">
        <f t="shared" si="11"/>
        <v>1.3728</v>
      </c>
    </row>
    <row r="68" spans="1:17" ht="12.75">
      <c r="A68" s="434"/>
      <c r="B68" s="416" t="s">
        <v>556</v>
      </c>
      <c r="C68" s="417" t="s">
        <v>564</v>
      </c>
      <c r="D68" s="417"/>
      <c r="E68" s="418"/>
      <c r="F68" s="410">
        <f>F69+F70</f>
        <v>8385</v>
      </c>
      <c r="G68" s="410">
        <f>G69+G70</f>
        <v>0</v>
      </c>
      <c r="H68" s="419">
        <f>H69+H70</f>
        <v>0</v>
      </c>
      <c r="I68" s="411" t="s">
        <v>551</v>
      </c>
      <c r="J68" s="410">
        <f>J69+J70</f>
        <v>332</v>
      </c>
      <c r="K68" s="410">
        <f>K69+K70</f>
        <v>0</v>
      </c>
      <c r="L68" s="419">
        <f>L69+L70</f>
        <v>0</v>
      </c>
      <c r="M68" s="412" t="s">
        <v>551</v>
      </c>
      <c r="N68" s="413">
        <f t="shared" si="6"/>
        <v>8717</v>
      </c>
      <c r="O68" s="413">
        <f t="shared" si="7"/>
        <v>0</v>
      </c>
      <c r="P68" s="413">
        <f t="shared" si="8"/>
        <v>0</v>
      </c>
      <c r="Q68" s="411" t="s">
        <v>551</v>
      </c>
    </row>
    <row r="69" spans="1:17" ht="12.75">
      <c r="A69" s="434"/>
      <c r="B69" s="416"/>
      <c r="C69" s="417" t="s">
        <v>556</v>
      </c>
      <c r="D69" s="417" t="s">
        <v>557</v>
      </c>
      <c r="E69" s="418"/>
      <c r="F69" s="410">
        <v>7502</v>
      </c>
      <c r="G69" s="410">
        <v>0</v>
      </c>
      <c r="H69" s="419">
        <v>0</v>
      </c>
      <c r="I69" s="411" t="s">
        <v>551</v>
      </c>
      <c r="J69" s="410">
        <v>297</v>
      </c>
      <c r="K69" s="410">
        <v>0</v>
      </c>
      <c r="L69" s="419">
        <v>0</v>
      </c>
      <c r="M69" s="412" t="s">
        <v>551</v>
      </c>
      <c r="N69" s="413">
        <f t="shared" si="6"/>
        <v>7799</v>
      </c>
      <c r="O69" s="413">
        <f t="shared" si="7"/>
        <v>0</v>
      </c>
      <c r="P69" s="413">
        <f t="shared" si="8"/>
        <v>0</v>
      </c>
      <c r="Q69" s="411" t="s">
        <v>551</v>
      </c>
    </row>
    <row r="70" spans="1:17" ht="12.75">
      <c r="A70" s="434"/>
      <c r="B70" s="416"/>
      <c r="C70" s="417"/>
      <c r="D70" s="417" t="s">
        <v>558</v>
      </c>
      <c r="E70" s="418"/>
      <c r="F70" s="410">
        <f>F71+F72</f>
        <v>883</v>
      </c>
      <c r="G70" s="410">
        <f>G71+G72</f>
        <v>0</v>
      </c>
      <c r="H70" s="419">
        <f>H71+H72</f>
        <v>0</v>
      </c>
      <c r="I70" s="411" t="s">
        <v>551</v>
      </c>
      <c r="J70" s="410">
        <f>J71+J72</f>
        <v>35</v>
      </c>
      <c r="K70" s="410">
        <f>K71+K72</f>
        <v>0</v>
      </c>
      <c r="L70" s="419">
        <f>L71+L72</f>
        <v>0</v>
      </c>
      <c r="M70" s="412" t="s">
        <v>551</v>
      </c>
      <c r="N70" s="413">
        <f t="shared" si="6"/>
        <v>918</v>
      </c>
      <c r="O70" s="413">
        <f t="shared" si="7"/>
        <v>0</v>
      </c>
      <c r="P70" s="413">
        <f t="shared" si="8"/>
        <v>0</v>
      </c>
      <c r="Q70" s="411" t="s">
        <v>551</v>
      </c>
    </row>
    <row r="71" spans="1:17" ht="12.75">
      <c r="A71" s="434"/>
      <c r="B71" s="416"/>
      <c r="C71" s="417"/>
      <c r="D71" s="417" t="s">
        <v>556</v>
      </c>
      <c r="E71" s="418" t="s">
        <v>559</v>
      </c>
      <c r="F71" s="410">
        <v>883</v>
      </c>
      <c r="G71" s="410">
        <v>0</v>
      </c>
      <c r="H71" s="419">
        <v>0</v>
      </c>
      <c r="I71" s="411" t="s">
        <v>551</v>
      </c>
      <c r="J71" s="410">
        <v>35</v>
      </c>
      <c r="K71" s="410">
        <v>0</v>
      </c>
      <c r="L71" s="419">
        <v>0</v>
      </c>
      <c r="M71" s="412" t="s">
        <v>551</v>
      </c>
      <c r="N71" s="413">
        <f t="shared" si="6"/>
        <v>918</v>
      </c>
      <c r="O71" s="413">
        <f t="shared" si="7"/>
        <v>0</v>
      </c>
      <c r="P71" s="413">
        <f t="shared" si="8"/>
        <v>0</v>
      </c>
      <c r="Q71" s="411" t="s">
        <v>551</v>
      </c>
    </row>
    <row r="72" spans="1:17" ht="13.5" thickBot="1">
      <c r="A72" s="420"/>
      <c r="B72" s="421"/>
      <c r="C72" s="422"/>
      <c r="D72" s="422"/>
      <c r="E72" s="423" t="s">
        <v>560</v>
      </c>
      <c r="F72" s="424"/>
      <c r="G72" s="424">
        <v>0</v>
      </c>
      <c r="H72" s="424">
        <v>0</v>
      </c>
      <c r="I72" s="411" t="s">
        <v>551</v>
      </c>
      <c r="J72" s="424"/>
      <c r="K72" s="424">
        <v>0</v>
      </c>
      <c r="L72" s="424">
        <v>0</v>
      </c>
      <c r="M72" s="412" t="s">
        <v>551</v>
      </c>
      <c r="N72" s="432">
        <f t="shared" si="6"/>
        <v>0</v>
      </c>
      <c r="O72" s="432">
        <f t="shared" si="7"/>
        <v>0</v>
      </c>
      <c r="P72" s="432">
        <f t="shared" si="8"/>
        <v>0</v>
      </c>
      <c r="Q72" s="411" t="s">
        <v>551</v>
      </c>
    </row>
    <row r="73" spans="1:17" ht="13.5" thickBot="1">
      <c r="A73" s="397">
        <v>114410</v>
      </c>
      <c r="B73" s="1418" t="s">
        <v>573</v>
      </c>
      <c r="C73" s="1419"/>
      <c r="D73" s="1419"/>
      <c r="E73" s="1420"/>
      <c r="F73" s="401">
        <v>0</v>
      </c>
      <c r="G73" s="401">
        <v>1800</v>
      </c>
      <c r="H73" s="401">
        <v>8410</v>
      </c>
      <c r="I73" s="402">
        <f>H73/G73</f>
        <v>4.6722</v>
      </c>
      <c r="J73" s="401">
        <v>0</v>
      </c>
      <c r="K73" s="401">
        <v>0</v>
      </c>
      <c r="L73" s="401">
        <v>0</v>
      </c>
      <c r="M73" s="403" t="s">
        <v>551</v>
      </c>
      <c r="N73" s="404">
        <f aca="true" t="shared" si="12" ref="N73:N97">SUM(F73,J73)</f>
        <v>0</v>
      </c>
      <c r="O73" s="404">
        <f aca="true" t="shared" si="13" ref="O73:O97">SUM(G73,K73)</f>
        <v>1800</v>
      </c>
      <c r="P73" s="404">
        <f aca="true" t="shared" si="14" ref="P73:P97">SUM(H73,L73)</f>
        <v>8410</v>
      </c>
      <c r="Q73" s="405">
        <f>P73/O73</f>
        <v>4.6722</v>
      </c>
    </row>
    <row r="74" spans="1:17" ht="13.5" thickBot="1">
      <c r="A74" s="397">
        <v>214020</v>
      </c>
      <c r="B74" s="1418" t="s">
        <v>549</v>
      </c>
      <c r="C74" s="1419"/>
      <c r="D74" s="1419"/>
      <c r="E74" s="1420"/>
      <c r="F74" s="401">
        <v>0</v>
      </c>
      <c r="G74" s="401">
        <v>0</v>
      </c>
      <c r="H74" s="401">
        <v>4619</v>
      </c>
      <c r="I74" s="402" t="s">
        <v>551</v>
      </c>
      <c r="J74" s="401">
        <v>0</v>
      </c>
      <c r="K74" s="401">
        <v>0</v>
      </c>
      <c r="L74" s="401">
        <v>0</v>
      </c>
      <c r="M74" s="403" t="s">
        <v>551</v>
      </c>
      <c r="N74" s="404">
        <f t="shared" si="12"/>
        <v>0</v>
      </c>
      <c r="O74" s="404">
        <f t="shared" si="13"/>
        <v>0</v>
      </c>
      <c r="P74" s="404">
        <f t="shared" si="14"/>
        <v>4619</v>
      </c>
      <c r="Q74" s="405" t="e">
        <f>P74/O74</f>
        <v>#DIV/0!</v>
      </c>
    </row>
    <row r="75" spans="1:17" ht="13.5" thickBot="1">
      <c r="A75" s="397">
        <v>214030</v>
      </c>
      <c r="B75" s="1418" t="s">
        <v>550</v>
      </c>
      <c r="C75" s="1419"/>
      <c r="D75" s="1419"/>
      <c r="E75" s="1420"/>
      <c r="F75" s="401">
        <v>12000</v>
      </c>
      <c r="G75" s="401">
        <v>13591</v>
      </c>
      <c r="H75" s="401">
        <v>7186</v>
      </c>
      <c r="I75" s="402">
        <f>H75/G75</f>
        <v>0.5287</v>
      </c>
      <c r="J75" s="401">
        <v>0</v>
      </c>
      <c r="K75" s="401">
        <v>0</v>
      </c>
      <c r="L75" s="401">
        <v>53</v>
      </c>
      <c r="M75" s="403" t="s">
        <v>551</v>
      </c>
      <c r="N75" s="404">
        <f t="shared" si="12"/>
        <v>12000</v>
      </c>
      <c r="O75" s="404">
        <f t="shared" si="13"/>
        <v>13591</v>
      </c>
      <c r="P75" s="404">
        <f t="shared" si="14"/>
        <v>7239</v>
      </c>
      <c r="Q75" s="405">
        <f>P75/O75</f>
        <v>0.5326</v>
      </c>
    </row>
    <row r="76" spans="1:17" ht="12.75">
      <c r="A76" s="434"/>
      <c r="B76" s="416" t="s">
        <v>556</v>
      </c>
      <c r="C76" s="417" t="s">
        <v>566</v>
      </c>
      <c r="D76" s="417"/>
      <c r="E76" s="418"/>
      <c r="F76" s="410">
        <f>F77+F78</f>
        <v>0</v>
      </c>
      <c r="G76" s="410">
        <f>G77+G78</f>
        <v>0</v>
      </c>
      <c r="H76" s="419">
        <f>H77+H78</f>
        <v>0</v>
      </c>
      <c r="I76" s="411" t="s">
        <v>551</v>
      </c>
      <c r="J76" s="410">
        <f>J77+J78</f>
        <v>0</v>
      </c>
      <c r="K76" s="410">
        <f>K77+K78</f>
        <v>0</v>
      </c>
      <c r="L76" s="419">
        <f>L77+L78</f>
        <v>53</v>
      </c>
      <c r="M76" s="412" t="s">
        <v>551</v>
      </c>
      <c r="N76" s="413">
        <f t="shared" si="12"/>
        <v>0</v>
      </c>
      <c r="O76" s="413">
        <f t="shared" si="13"/>
        <v>0</v>
      </c>
      <c r="P76" s="413">
        <f t="shared" si="14"/>
        <v>53</v>
      </c>
      <c r="Q76" s="412" t="s">
        <v>551</v>
      </c>
    </row>
    <row r="77" spans="1:17" ht="12.75">
      <c r="A77" s="434"/>
      <c r="B77" s="435"/>
      <c r="C77" s="417" t="s">
        <v>556</v>
      </c>
      <c r="D77" s="417" t="s">
        <v>557</v>
      </c>
      <c r="E77" s="418"/>
      <c r="F77" s="410">
        <v>0</v>
      </c>
      <c r="G77" s="410">
        <v>0</v>
      </c>
      <c r="H77" s="419">
        <v>0</v>
      </c>
      <c r="I77" s="411" t="s">
        <v>551</v>
      </c>
      <c r="J77" s="410">
        <v>0</v>
      </c>
      <c r="K77" s="410">
        <v>0</v>
      </c>
      <c r="L77" s="419">
        <v>45</v>
      </c>
      <c r="M77" s="412" t="s">
        <v>551</v>
      </c>
      <c r="N77" s="413">
        <f t="shared" si="12"/>
        <v>0</v>
      </c>
      <c r="O77" s="413">
        <f t="shared" si="13"/>
        <v>0</v>
      </c>
      <c r="P77" s="413">
        <f t="shared" si="14"/>
        <v>45</v>
      </c>
      <c r="Q77" s="412" t="s">
        <v>551</v>
      </c>
    </row>
    <row r="78" spans="1:17" ht="12.75">
      <c r="A78" s="434"/>
      <c r="B78" s="435"/>
      <c r="C78" s="417"/>
      <c r="D78" s="417" t="s">
        <v>558</v>
      </c>
      <c r="E78" s="418"/>
      <c r="F78" s="410">
        <f>F79+F80</f>
        <v>0</v>
      </c>
      <c r="G78" s="410">
        <f>G79+G80</f>
        <v>0</v>
      </c>
      <c r="H78" s="419">
        <f>H79+H80</f>
        <v>0</v>
      </c>
      <c r="I78" s="411" t="s">
        <v>551</v>
      </c>
      <c r="J78" s="410">
        <f>J79+J80</f>
        <v>0</v>
      </c>
      <c r="K78" s="410">
        <v>0</v>
      </c>
      <c r="L78" s="419">
        <f>L79+L80</f>
        <v>8</v>
      </c>
      <c r="M78" s="412" t="s">
        <v>551</v>
      </c>
      <c r="N78" s="413">
        <f t="shared" si="12"/>
        <v>0</v>
      </c>
      <c r="O78" s="413">
        <f t="shared" si="13"/>
        <v>0</v>
      </c>
      <c r="P78" s="413">
        <f t="shared" si="14"/>
        <v>8</v>
      </c>
      <c r="Q78" s="412" t="s">
        <v>551</v>
      </c>
    </row>
    <row r="79" spans="1:17" ht="12.75">
      <c r="A79" s="434"/>
      <c r="B79" s="435"/>
      <c r="C79" s="417"/>
      <c r="D79" s="417" t="s">
        <v>556</v>
      </c>
      <c r="E79" s="418" t="s">
        <v>559</v>
      </c>
      <c r="F79" s="410">
        <v>0</v>
      </c>
      <c r="G79" s="410">
        <v>0</v>
      </c>
      <c r="H79" s="419">
        <v>0</v>
      </c>
      <c r="I79" s="411" t="s">
        <v>551</v>
      </c>
      <c r="J79" s="410">
        <v>0</v>
      </c>
      <c r="K79" s="410">
        <v>0</v>
      </c>
      <c r="L79" s="419">
        <v>8</v>
      </c>
      <c r="M79" s="412" t="s">
        <v>551</v>
      </c>
      <c r="N79" s="413">
        <f t="shared" si="12"/>
        <v>0</v>
      </c>
      <c r="O79" s="413">
        <f t="shared" si="13"/>
        <v>0</v>
      </c>
      <c r="P79" s="413">
        <f t="shared" si="14"/>
        <v>8</v>
      </c>
      <c r="Q79" s="412" t="s">
        <v>551</v>
      </c>
    </row>
    <row r="80" spans="1:17" ht="13.5" thickBot="1">
      <c r="A80" s="434"/>
      <c r="B80" s="435"/>
      <c r="C80" s="417"/>
      <c r="D80" s="417"/>
      <c r="E80" s="418" t="s">
        <v>560</v>
      </c>
      <c r="F80" s="424">
        <v>0</v>
      </c>
      <c r="G80" s="424">
        <v>0</v>
      </c>
      <c r="H80" s="424">
        <v>0</v>
      </c>
      <c r="I80" s="411" t="s">
        <v>551</v>
      </c>
      <c r="J80" s="424">
        <v>0</v>
      </c>
      <c r="K80" s="424">
        <v>0</v>
      </c>
      <c r="L80" s="424">
        <v>0</v>
      </c>
      <c r="M80" s="412" t="s">
        <v>551</v>
      </c>
      <c r="N80" s="413">
        <f t="shared" si="12"/>
        <v>0</v>
      </c>
      <c r="O80" s="413">
        <f t="shared" si="13"/>
        <v>0</v>
      </c>
      <c r="P80" s="413">
        <f t="shared" si="14"/>
        <v>0</v>
      </c>
      <c r="Q80" s="412" t="e">
        <f aca="true" t="shared" si="15" ref="Q80:Q86">P80/O80</f>
        <v>#DIV/0!</v>
      </c>
    </row>
    <row r="81" spans="1:17" ht="13.5" thickBot="1">
      <c r="A81" s="397">
        <v>214110</v>
      </c>
      <c r="B81" s="1418" t="s">
        <v>563</v>
      </c>
      <c r="C81" s="1419"/>
      <c r="D81" s="1419"/>
      <c r="E81" s="1420"/>
      <c r="F81" s="401">
        <v>168449</v>
      </c>
      <c r="G81" s="401">
        <v>123405</v>
      </c>
      <c r="H81" s="401">
        <v>244185</v>
      </c>
      <c r="I81" s="402">
        <f>H81/G81</f>
        <v>1.9787</v>
      </c>
      <c r="J81" s="401">
        <v>15862</v>
      </c>
      <c r="K81" s="401">
        <v>33993</v>
      </c>
      <c r="L81" s="401">
        <v>52484</v>
      </c>
      <c r="M81" s="403">
        <f aca="true" t="shared" si="16" ref="M81:M86">L81/K81</f>
        <v>1.544</v>
      </c>
      <c r="N81" s="404">
        <f t="shared" si="12"/>
        <v>184311</v>
      </c>
      <c r="O81" s="404">
        <f t="shared" si="13"/>
        <v>157398</v>
      </c>
      <c r="P81" s="404">
        <f t="shared" si="14"/>
        <v>296669</v>
      </c>
      <c r="Q81" s="405">
        <f t="shared" si="15"/>
        <v>1.8848</v>
      </c>
    </row>
    <row r="82" spans="1:17" ht="12.75">
      <c r="A82" s="434"/>
      <c r="B82" s="416" t="s">
        <v>556</v>
      </c>
      <c r="C82" s="417" t="s">
        <v>562</v>
      </c>
      <c r="D82" s="417"/>
      <c r="E82" s="418"/>
      <c r="F82" s="410">
        <f>F83+F84</f>
        <v>0</v>
      </c>
      <c r="G82" s="410">
        <f>G83+G84</f>
        <v>18093</v>
      </c>
      <c r="H82" s="419">
        <f>H83+H84</f>
        <v>117075</v>
      </c>
      <c r="I82" s="411">
        <f>H82/G82</f>
        <v>6.4707</v>
      </c>
      <c r="J82" s="410">
        <f>J83+J84</f>
        <v>504</v>
      </c>
      <c r="K82" s="410">
        <f>K83+K84</f>
        <v>729</v>
      </c>
      <c r="L82" s="419">
        <f>L83+L84</f>
        <v>20690</v>
      </c>
      <c r="M82" s="412">
        <f t="shared" si="16"/>
        <v>28.3813</v>
      </c>
      <c r="N82" s="413">
        <f t="shared" si="12"/>
        <v>504</v>
      </c>
      <c r="O82" s="413">
        <f t="shared" si="13"/>
        <v>18822</v>
      </c>
      <c r="P82" s="413">
        <f t="shared" si="14"/>
        <v>137765</v>
      </c>
      <c r="Q82" s="412">
        <f t="shared" si="15"/>
        <v>7.3194</v>
      </c>
    </row>
    <row r="83" spans="1:17" ht="12.75">
      <c r="A83" s="434"/>
      <c r="B83" s="416"/>
      <c r="C83" s="417" t="s">
        <v>556</v>
      </c>
      <c r="D83" s="417" t="s">
        <v>557</v>
      </c>
      <c r="E83" s="418"/>
      <c r="F83" s="410">
        <v>0</v>
      </c>
      <c r="G83" s="410">
        <v>0</v>
      </c>
      <c r="H83" s="419">
        <v>87145</v>
      </c>
      <c r="I83" s="411" t="s">
        <v>551</v>
      </c>
      <c r="J83" s="410">
        <v>272</v>
      </c>
      <c r="K83" s="410">
        <v>306</v>
      </c>
      <c r="L83" s="419">
        <v>16447</v>
      </c>
      <c r="M83" s="412">
        <f t="shared" si="16"/>
        <v>53.7484</v>
      </c>
      <c r="N83" s="413">
        <f t="shared" si="12"/>
        <v>272</v>
      </c>
      <c r="O83" s="413">
        <f t="shared" si="13"/>
        <v>306</v>
      </c>
      <c r="P83" s="413">
        <f t="shared" si="14"/>
        <v>103592</v>
      </c>
      <c r="Q83" s="412">
        <f t="shared" si="15"/>
        <v>338.5359</v>
      </c>
    </row>
    <row r="84" spans="1:17" ht="12.75">
      <c r="A84" s="434"/>
      <c r="B84" s="416"/>
      <c r="C84" s="417"/>
      <c r="D84" s="417" t="s">
        <v>558</v>
      </c>
      <c r="E84" s="418"/>
      <c r="F84" s="410">
        <f>F85+F86</f>
        <v>0</v>
      </c>
      <c r="G84" s="410">
        <f>G85+G86</f>
        <v>18093</v>
      </c>
      <c r="H84" s="419">
        <f>H85+H86</f>
        <v>29930</v>
      </c>
      <c r="I84" s="411">
        <f>H84/G84</f>
        <v>1.6542</v>
      </c>
      <c r="J84" s="410">
        <f>J85+J86</f>
        <v>232</v>
      </c>
      <c r="K84" s="410">
        <f>K85+K86</f>
        <v>423</v>
      </c>
      <c r="L84" s="419">
        <f>L85+L86</f>
        <v>4243</v>
      </c>
      <c r="M84" s="412">
        <f t="shared" si="16"/>
        <v>10.0307</v>
      </c>
      <c r="N84" s="413">
        <f t="shared" si="12"/>
        <v>232</v>
      </c>
      <c r="O84" s="413">
        <f t="shared" si="13"/>
        <v>18516</v>
      </c>
      <c r="P84" s="413">
        <f t="shared" si="14"/>
        <v>34173</v>
      </c>
      <c r="Q84" s="412">
        <f t="shared" si="15"/>
        <v>1.8456</v>
      </c>
    </row>
    <row r="85" spans="1:17" ht="12.75">
      <c r="A85" s="434"/>
      <c r="B85" s="416"/>
      <c r="C85" s="417"/>
      <c r="D85" s="417" t="s">
        <v>556</v>
      </c>
      <c r="E85" s="418" t="s">
        <v>559</v>
      </c>
      <c r="F85" s="410">
        <v>0</v>
      </c>
      <c r="G85" s="410">
        <v>3112</v>
      </c>
      <c r="H85" s="419">
        <v>14091</v>
      </c>
      <c r="I85" s="411">
        <f>H85/G85</f>
        <v>4.528</v>
      </c>
      <c r="J85" s="410">
        <v>232</v>
      </c>
      <c r="K85" s="410">
        <v>180</v>
      </c>
      <c r="L85" s="419">
        <v>3653</v>
      </c>
      <c r="M85" s="412">
        <f t="shared" si="16"/>
        <v>20.2944</v>
      </c>
      <c r="N85" s="413">
        <f t="shared" si="12"/>
        <v>232</v>
      </c>
      <c r="O85" s="413">
        <f t="shared" si="13"/>
        <v>3292</v>
      </c>
      <c r="P85" s="413">
        <f t="shared" si="14"/>
        <v>17744</v>
      </c>
      <c r="Q85" s="412">
        <f t="shared" si="15"/>
        <v>5.39</v>
      </c>
    </row>
    <row r="86" spans="1:17" ht="13.5" thickBot="1">
      <c r="A86" s="420"/>
      <c r="B86" s="421"/>
      <c r="C86" s="422"/>
      <c r="D86" s="422"/>
      <c r="E86" s="423" t="s">
        <v>560</v>
      </c>
      <c r="F86" s="424">
        <v>0</v>
      </c>
      <c r="G86" s="424">
        <v>14981</v>
      </c>
      <c r="H86" s="424">
        <v>15839</v>
      </c>
      <c r="I86" s="430">
        <f>H86/G86</f>
        <v>1.0573</v>
      </c>
      <c r="J86" s="424">
        <v>0</v>
      </c>
      <c r="K86" s="424">
        <v>243</v>
      </c>
      <c r="L86" s="424">
        <v>590</v>
      </c>
      <c r="M86" s="431">
        <f t="shared" si="16"/>
        <v>2.428</v>
      </c>
      <c r="N86" s="432">
        <f t="shared" si="12"/>
        <v>0</v>
      </c>
      <c r="O86" s="432">
        <f t="shared" si="13"/>
        <v>15224</v>
      </c>
      <c r="P86" s="432">
        <f t="shared" si="14"/>
        <v>16429</v>
      </c>
      <c r="Q86" s="433">
        <f t="shared" si="15"/>
        <v>1.0792</v>
      </c>
    </row>
    <row r="87" spans="1:17" ht="12.75">
      <c r="A87" s="429"/>
      <c r="B87" s="416"/>
      <c r="C87" s="417" t="s">
        <v>565</v>
      </c>
      <c r="D87" s="417"/>
      <c r="E87" s="418"/>
      <c r="F87" s="410">
        <f>F88+F89</f>
        <v>0</v>
      </c>
      <c r="G87" s="410">
        <f>G88+G89</f>
        <v>0</v>
      </c>
      <c r="H87" s="419">
        <f>H88+H89</f>
        <v>0</v>
      </c>
      <c r="I87" s="411" t="s">
        <v>551</v>
      </c>
      <c r="J87" s="410">
        <f>J88+J89</f>
        <v>0</v>
      </c>
      <c r="K87" s="410">
        <f>K88+K89</f>
        <v>0</v>
      </c>
      <c r="L87" s="419">
        <f>L88+L89</f>
        <v>28</v>
      </c>
      <c r="M87" s="412" t="s">
        <v>551</v>
      </c>
      <c r="N87" s="413">
        <f t="shared" si="12"/>
        <v>0</v>
      </c>
      <c r="O87" s="413">
        <f t="shared" si="13"/>
        <v>0</v>
      </c>
      <c r="P87" s="413">
        <f t="shared" si="14"/>
        <v>28</v>
      </c>
      <c r="Q87" s="412" t="s">
        <v>551</v>
      </c>
    </row>
    <row r="88" spans="1:17" ht="12.75">
      <c r="A88" s="429"/>
      <c r="B88" s="416"/>
      <c r="C88" s="417" t="s">
        <v>556</v>
      </c>
      <c r="D88" s="417" t="s">
        <v>557</v>
      </c>
      <c r="E88" s="418"/>
      <c r="F88" s="410">
        <v>0</v>
      </c>
      <c r="G88" s="410">
        <v>0</v>
      </c>
      <c r="H88" s="419">
        <v>0</v>
      </c>
      <c r="I88" s="411" t="s">
        <v>551</v>
      </c>
      <c r="J88" s="410">
        <v>0</v>
      </c>
      <c r="K88" s="410">
        <v>0</v>
      </c>
      <c r="L88" s="419">
        <v>24</v>
      </c>
      <c r="M88" s="412" t="s">
        <v>551</v>
      </c>
      <c r="N88" s="413">
        <f t="shared" si="12"/>
        <v>0</v>
      </c>
      <c r="O88" s="413">
        <f t="shared" si="13"/>
        <v>0</v>
      </c>
      <c r="P88" s="413">
        <f t="shared" si="14"/>
        <v>24</v>
      </c>
      <c r="Q88" s="412" t="s">
        <v>551</v>
      </c>
    </row>
    <row r="89" spans="1:17" ht="12.75">
      <c r="A89" s="429"/>
      <c r="B89" s="416"/>
      <c r="C89" s="417"/>
      <c r="D89" s="417" t="s">
        <v>558</v>
      </c>
      <c r="E89" s="418"/>
      <c r="F89" s="410">
        <f>F90+F91</f>
        <v>0</v>
      </c>
      <c r="G89" s="410">
        <f>G90+G91</f>
        <v>0</v>
      </c>
      <c r="H89" s="419">
        <f>H90+H91</f>
        <v>0</v>
      </c>
      <c r="I89" s="411" t="s">
        <v>551</v>
      </c>
      <c r="J89" s="410">
        <f>J90+J91</f>
        <v>0</v>
      </c>
      <c r="K89" s="410">
        <f>K90+K91</f>
        <v>0</v>
      </c>
      <c r="L89" s="419">
        <f>L90+L91</f>
        <v>4</v>
      </c>
      <c r="M89" s="412" t="s">
        <v>551</v>
      </c>
      <c r="N89" s="413">
        <f t="shared" si="12"/>
        <v>0</v>
      </c>
      <c r="O89" s="413">
        <f t="shared" si="13"/>
        <v>0</v>
      </c>
      <c r="P89" s="413">
        <f t="shared" si="14"/>
        <v>4</v>
      </c>
      <c r="Q89" s="412" t="s">
        <v>551</v>
      </c>
    </row>
    <row r="90" spans="1:17" ht="12.75">
      <c r="A90" s="429"/>
      <c r="B90" s="416"/>
      <c r="C90" s="417"/>
      <c r="D90" s="417" t="s">
        <v>556</v>
      </c>
      <c r="E90" s="418" t="s">
        <v>559</v>
      </c>
      <c r="F90" s="410">
        <v>0</v>
      </c>
      <c r="G90" s="410">
        <v>0</v>
      </c>
      <c r="H90" s="419">
        <v>0</v>
      </c>
      <c r="I90" s="411" t="s">
        <v>551</v>
      </c>
      <c r="J90" s="410">
        <v>0</v>
      </c>
      <c r="K90" s="410">
        <v>0</v>
      </c>
      <c r="L90" s="419">
        <v>4</v>
      </c>
      <c r="M90" s="412" t="s">
        <v>551</v>
      </c>
      <c r="N90" s="413">
        <f t="shared" si="12"/>
        <v>0</v>
      </c>
      <c r="O90" s="413">
        <f t="shared" si="13"/>
        <v>0</v>
      </c>
      <c r="P90" s="413">
        <f t="shared" si="14"/>
        <v>4</v>
      </c>
      <c r="Q90" s="412" t="s">
        <v>551</v>
      </c>
    </row>
    <row r="91" spans="1:17" ht="13.5" thickBot="1">
      <c r="A91" s="420"/>
      <c r="B91" s="421"/>
      <c r="C91" s="422"/>
      <c r="D91" s="422"/>
      <c r="E91" s="423" t="s">
        <v>560</v>
      </c>
      <c r="F91" s="424">
        <v>0</v>
      </c>
      <c r="G91" s="424">
        <v>0</v>
      </c>
      <c r="H91" s="424">
        <v>0</v>
      </c>
      <c r="I91" s="430" t="s">
        <v>551</v>
      </c>
      <c r="J91" s="424">
        <v>0</v>
      </c>
      <c r="K91" s="424">
        <v>0</v>
      </c>
      <c r="L91" s="424">
        <v>0</v>
      </c>
      <c r="M91" s="431" t="s">
        <v>551</v>
      </c>
      <c r="N91" s="432">
        <f t="shared" si="12"/>
        <v>0</v>
      </c>
      <c r="O91" s="432">
        <f t="shared" si="13"/>
        <v>0</v>
      </c>
      <c r="P91" s="432">
        <f t="shared" si="14"/>
        <v>0</v>
      </c>
      <c r="Q91" s="431" t="s">
        <v>551</v>
      </c>
    </row>
    <row r="92" spans="1:17" ht="12.75">
      <c r="A92" s="429"/>
      <c r="B92" s="416"/>
      <c r="C92" s="417" t="s">
        <v>570</v>
      </c>
      <c r="D92" s="417"/>
      <c r="E92" s="418"/>
      <c r="F92" s="410">
        <f>F93+F94</f>
        <v>0</v>
      </c>
      <c r="G92" s="410">
        <f>G93+G94</f>
        <v>0</v>
      </c>
      <c r="H92" s="419">
        <f>H93+H94</f>
        <v>27015</v>
      </c>
      <c r="I92" s="411" t="s">
        <v>551</v>
      </c>
      <c r="J92" s="410">
        <f>J93+J94</f>
        <v>0</v>
      </c>
      <c r="K92" s="410">
        <f>K93+K94</f>
        <v>2742</v>
      </c>
      <c r="L92" s="419">
        <f>L93+L94</f>
        <v>10957</v>
      </c>
      <c r="M92" s="412">
        <f>L92/K92</f>
        <v>3.996</v>
      </c>
      <c r="N92" s="413">
        <f t="shared" si="12"/>
        <v>0</v>
      </c>
      <c r="O92" s="413">
        <f t="shared" si="13"/>
        <v>2742</v>
      </c>
      <c r="P92" s="413">
        <f t="shared" si="14"/>
        <v>37972</v>
      </c>
      <c r="Q92" s="412">
        <f>P92/O92</f>
        <v>13.8483</v>
      </c>
    </row>
    <row r="93" spans="1:17" ht="12.75">
      <c r="A93" s="429"/>
      <c r="B93" s="416"/>
      <c r="C93" s="417" t="s">
        <v>556</v>
      </c>
      <c r="D93" s="417" t="s">
        <v>557</v>
      </c>
      <c r="E93" s="418"/>
      <c r="F93" s="410">
        <v>0</v>
      </c>
      <c r="G93" s="410">
        <v>0</v>
      </c>
      <c r="H93" s="419">
        <v>20259</v>
      </c>
      <c r="I93" s="411" t="s">
        <v>551</v>
      </c>
      <c r="J93" s="410">
        <v>0</v>
      </c>
      <c r="K93" s="410">
        <v>0</v>
      </c>
      <c r="L93" s="419">
        <v>8218</v>
      </c>
      <c r="M93" s="411" t="s">
        <v>551</v>
      </c>
      <c r="N93" s="413">
        <f t="shared" si="12"/>
        <v>0</v>
      </c>
      <c r="O93" s="413">
        <f t="shared" si="13"/>
        <v>0</v>
      </c>
      <c r="P93" s="413">
        <f t="shared" si="14"/>
        <v>28477</v>
      </c>
      <c r="Q93" s="411" t="s">
        <v>551</v>
      </c>
    </row>
    <row r="94" spans="1:17" ht="12.75">
      <c r="A94" s="429"/>
      <c r="B94" s="416"/>
      <c r="C94" s="417"/>
      <c r="D94" s="417" t="s">
        <v>558</v>
      </c>
      <c r="E94" s="418"/>
      <c r="F94" s="410">
        <f>F95+F96</f>
        <v>0</v>
      </c>
      <c r="G94" s="410">
        <f>G95+G96</f>
        <v>0</v>
      </c>
      <c r="H94" s="419">
        <f>H95+H96</f>
        <v>6756</v>
      </c>
      <c r="I94" s="411" t="s">
        <v>551</v>
      </c>
      <c r="J94" s="410">
        <f>J95+J96</f>
        <v>0</v>
      </c>
      <c r="K94" s="410">
        <f>K95+K96</f>
        <v>2742</v>
      </c>
      <c r="L94" s="419">
        <f>L95+L96</f>
        <v>2739</v>
      </c>
      <c r="M94" s="412">
        <f>L94/K94</f>
        <v>0.9989</v>
      </c>
      <c r="N94" s="413">
        <f t="shared" si="12"/>
        <v>0</v>
      </c>
      <c r="O94" s="413">
        <f t="shared" si="13"/>
        <v>2742</v>
      </c>
      <c r="P94" s="413">
        <f t="shared" si="14"/>
        <v>9495</v>
      </c>
      <c r="Q94" s="412">
        <f>P94/O94</f>
        <v>3.4628</v>
      </c>
    </row>
    <row r="95" spans="1:17" ht="12.75">
      <c r="A95" s="429"/>
      <c r="B95" s="416"/>
      <c r="C95" s="417"/>
      <c r="D95" s="417" t="s">
        <v>556</v>
      </c>
      <c r="E95" s="418" t="s">
        <v>559</v>
      </c>
      <c r="F95" s="410">
        <v>0</v>
      </c>
      <c r="G95" s="410">
        <v>0</v>
      </c>
      <c r="H95" s="419">
        <v>6756</v>
      </c>
      <c r="I95" s="411" t="s">
        <v>551</v>
      </c>
      <c r="J95" s="410">
        <v>0</v>
      </c>
      <c r="K95" s="410">
        <v>914</v>
      </c>
      <c r="L95" s="419">
        <v>913</v>
      </c>
      <c r="M95" s="412">
        <f>L95/K95</f>
        <v>0.9989</v>
      </c>
      <c r="N95" s="413">
        <f t="shared" si="12"/>
        <v>0</v>
      </c>
      <c r="O95" s="413">
        <f t="shared" si="13"/>
        <v>914</v>
      </c>
      <c r="P95" s="413">
        <f t="shared" si="14"/>
        <v>7669</v>
      </c>
      <c r="Q95" s="412">
        <f>P95/O95</f>
        <v>8.3906</v>
      </c>
    </row>
    <row r="96" spans="1:17" ht="13.5" thickBot="1">
      <c r="A96" s="420"/>
      <c r="B96" s="421"/>
      <c r="C96" s="422"/>
      <c r="D96" s="422"/>
      <c r="E96" s="423" t="s">
        <v>560</v>
      </c>
      <c r="F96" s="424">
        <v>0</v>
      </c>
      <c r="G96" s="424">
        <v>0</v>
      </c>
      <c r="H96" s="424">
        <v>0</v>
      </c>
      <c r="I96" s="430" t="s">
        <v>551</v>
      </c>
      <c r="J96" s="424">
        <v>0</v>
      </c>
      <c r="K96" s="424">
        <v>1828</v>
      </c>
      <c r="L96" s="424">
        <v>1826</v>
      </c>
      <c r="M96" s="412">
        <f>L96/K96</f>
        <v>0.9989</v>
      </c>
      <c r="N96" s="432">
        <f t="shared" si="12"/>
        <v>0</v>
      </c>
      <c r="O96" s="432">
        <f t="shared" si="13"/>
        <v>1828</v>
      </c>
      <c r="P96" s="432">
        <f t="shared" si="14"/>
        <v>1826</v>
      </c>
      <c r="Q96" s="433">
        <f>P96/O96</f>
        <v>0.9989</v>
      </c>
    </row>
    <row r="97" spans="1:17" ht="13.5" thickBot="1">
      <c r="A97" s="397">
        <v>214910</v>
      </c>
      <c r="B97" s="1418" t="s">
        <v>574</v>
      </c>
      <c r="C97" s="1419"/>
      <c r="D97" s="1419"/>
      <c r="E97" s="1420"/>
      <c r="F97" s="401">
        <v>159</v>
      </c>
      <c r="G97" s="401">
        <v>57161</v>
      </c>
      <c r="H97" s="401">
        <v>73910</v>
      </c>
      <c r="I97" s="402">
        <f>H97/G97</f>
        <v>1.293</v>
      </c>
      <c r="J97" s="401">
        <v>0</v>
      </c>
      <c r="K97" s="401">
        <v>789</v>
      </c>
      <c r="L97" s="401">
        <v>1007</v>
      </c>
      <c r="M97" s="403">
        <f>L97/K97</f>
        <v>1.2763</v>
      </c>
      <c r="N97" s="404">
        <f t="shared" si="12"/>
        <v>159</v>
      </c>
      <c r="O97" s="404">
        <f t="shared" si="13"/>
        <v>57950</v>
      </c>
      <c r="P97" s="404">
        <f t="shared" si="14"/>
        <v>74917</v>
      </c>
      <c r="Q97" s="405">
        <f>P97/O97</f>
        <v>1.2928</v>
      </c>
    </row>
    <row r="98" spans="1:17" s="439" customFormat="1" ht="13.5" thickBot="1">
      <c r="A98" s="1421" t="s">
        <v>575</v>
      </c>
      <c r="B98" s="1422"/>
      <c r="C98" s="1422"/>
      <c r="D98" s="1422"/>
      <c r="E98" s="1423"/>
      <c r="F98" s="401">
        <f>SUM(F9,F10,F11,F12,F13,F19,F25,F61,F67,F73,F74,F75,F81,F97)</f>
        <v>1305516</v>
      </c>
      <c r="G98" s="401">
        <f>SUM(G9,G10,G11,G12,G13,G19,G25,G61,G67,G73,G74,G75,G81,G97)</f>
        <v>1964429</v>
      </c>
      <c r="H98" s="401">
        <f>SUM(H9,H10,H11,H12,H13,H19,H25,H61,H67,H73,H74,H75,H81,H97)</f>
        <v>2284382</v>
      </c>
      <c r="I98" s="402">
        <f>H98/G98</f>
        <v>1.1629</v>
      </c>
      <c r="J98" s="401">
        <f>SUM(J9,J10,J11,J12,J13,J19,J25,J61,J67,J73,J74,J75,J81,J97)</f>
        <v>42888</v>
      </c>
      <c r="K98" s="401">
        <f>SUM(K9,K10,K11,K12,K13,K19,K25,K61,K67,K73,K74,K75,K81,K97)</f>
        <v>99670</v>
      </c>
      <c r="L98" s="401">
        <f>SUM(L9,L10,L11,L12,L19,L25,L61,L73,L74,L75,L81,L97)</f>
        <v>231311</v>
      </c>
      <c r="M98" s="436">
        <f>L98/K98</f>
        <v>2.3208</v>
      </c>
      <c r="N98" s="437">
        <f>SUM(N9,N10,N11,N12,N13,N19,N25,N61,N67,N73,N74,N75,N81,N97)</f>
        <v>1348404</v>
      </c>
      <c r="O98" s="437">
        <f>SUM(O9,O10,O11,O12,O13,O19,O25,O61,O67,O73,O74,O75,O81,O97)</f>
        <v>2064099</v>
      </c>
      <c r="P98" s="437">
        <f>SUM(P9,P10,P11,P12,P13,P19,P25,P61,P67,P73,P74,P75,P81,P97)</f>
        <v>2516273</v>
      </c>
      <c r="Q98" s="438">
        <f>P98/O98</f>
        <v>1.2191</v>
      </c>
    </row>
    <row r="100" spans="1:14" s="442" customFormat="1" ht="15">
      <c r="A100" s="440" t="s">
        <v>576</v>
      </c>
      <c r="B100" s="441"/>
      <c r="C100" s="440"/>
      <c r="D100" s="440"/>
      <c r="E100" s="440"/>
      <c r="F100" s="440"/>
      <c r="G100" s="440"/>
      <c r="H100" s="440" t="s">
        <v>577</v>
      </c>
      <c r="I100" s="440"/>
      <c r="N100" s="1080" t="s">
        <v>530</v>
      </c>
    </row>
  </sheetData>
  <sheetProtection/>
  <mergeCells count="30">
    <mergeCell ref="B10:E10"/>
    <mergeCell ref="B73:E73"/>
    <mergeCell ref="B11:E11"/>
    <mergeCell ref="B12:E12"/>
    <mergeCell ref="B25:E25"/>
    <mergeCell ref="B61:E61"/>
    <mergeCell ref="B19:E19"/>
    <mergeCell ref="A8:Q8"/>
    <mergeCell ref="B9:E9"/>
    <mergeCell ref="P6:P7"/>
    <mergeCell ref="J5:M5"/>
    <mergeCell ref="N5:Q5"/>
    <mergeCell ref="B5:E7"/>
    <mergeCell ref="A5:A7"/>
    <mergeCell ref="P4:Q4"/>
    <mergeCell ref="I6:I7"/>
    <mergeCell ref="M6:M7"/>
    <mergeCell ref="Q6:Q7"/>
    <mergeCell ref="B81:E81"/>
    <mergeCell ref="B74:E74"/>
    <mergeCell ref="B75:E75"/>
    <mergeCell ref="A98:E98"/>
    <mergeCell ref="B97:E97"/>
    <mergeCell ref="A2:O2"/>
    <mergeCell ref="F6:G6"/>
    <mergeCell ref="H6:H7"/>
    <mergeCell ref="J6:K6"/>
    <mergeCell ref="L6:L7"/>
    <mergeCell ref="N6:O6"/>
    <mergeCell ref="F5:I5"/>
  </mergeCells>
  <printOptions horizontalCentered="1"/>
  <pageMargins left="0.3937007874015748" right="0.3937007874015748" top="1.3779527559055118" bottom="0.984251968503937" header="0.9055118110236221" footer="0.5118110236220472"/>
  <pageSetup blackAndWhite="1" fitToHeight="3" horizontalDpi="600" verticalDpi="600" orientation="landscape" paperSize="9" scale="69" r:id="rId1"/>
  <headerFooter alignWithMargins="0">
    <oddHeader>&amp;C&amp;"Arial CE,Tučné"&amp;12Výdaje účelově určené na financování programů vedené v EDS/SMVS&amp;R&amp;"Arial CE,Tučné"&amp;12Tabulka č. 7&amp;"Arial CE,Obyčejné"&amp;10
List č. &amp;P/&amp;N</oddHeader>
    <oddFooter>&amp;C&amp;12&amp;P+49&amp;10
</oddFooter>
  </headerFooter>
  <rowBreaks count="2" manualBreakCount="2">
    <brk id="40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Landsingerova</cp:lastModifiedBy>
  <cp:lastPrinted>2013-03-05T09:00:33Z</cp:lastPrinted>
  <dcterms:created xsi:type="dcterms:W3CDTF">2005-01-27T13:09:07Z</dcterms:created>
  <dcterms:modified xsi:type="dcterms:W3CDTF">2013-03-05T10:28:09Z</dcterms:modified>
  <cp:category/>
  <cp:version/>
  <cp:contentType/>
  <cp:contentStatus/>
</cp:coreProperties>
</file>