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tabRatio="961" firstSheet="3" activeTab="11"/>
  </bookViews>
  <sheets>
    <sheet name="úvod" sheetId="1" r:id="rId1"/>
    <sheet name="tab" sheetId="2" r:id="rId2"/>
    <sheet name="Tab. 1 Bilance" sheetId="3" r:id="rId3"/>
    <sheet name="Tab. 2 ukazatele" sheetId="4" r:id="rId4"/>
    <sheet name="tab. 3 mzdy" sheetId="5" r:id="rId5"/>
    <sheet name="tab.4 v+v" sheetId="6" r:id="rId6"/>
    <sheet name="tab.5-výdaje kraje" sheetId="7" r:id="rId7"/>
    <sheet name="tab.6-transfery" sheetId="8" r:id="rId8"/>
    <sheet name="tab.7 PF" sheetId="9" r:id="rId9"/>
    <sheet name="tab.8 výdaje EU" sheetId="10" r:id="rId10"/>
    <sheet name="tab.9 EU platy" sheetId="11" r:id="rId11"/>
    <sheet name="tab.10-příjmy EU,FM" sheetId="12" r:id="rId12"/>
  </sheets>
  <externalReferences>
    <externalReference r:id="rId15"/>
    <externalReference r:id="rId16"/>
    <externalReference r:id="rId17"/>
    <externalReference r:id="rId18"/>
    <externalReference r:id="rId19"/>
  </externalReferences>
  <definedNames>
    <definedName name="AccessDatabase">"C:\Dokumenty\Borisek\Excel\1998\ROZPIS1998\1LEDEN1998\akce98-1.mdb"</definedName>
    <definedName name="AV" localSheetId="4">'[1]301-KPR'!#REF!</definedName>
    <definedName name="AV" localSheetId="10">'[1]301-KPR'!#REF!</definedName>
    <definedName name="AV">'[1]301-KPR'!#REF!</definedName>
    <definedName name="AVC">'[1]301-KPR'!#REF!</definedName>
    <definedName name="BIS">#REF!</definedName>
    <definedName name="CBU" localSheetId="4">'[1]301-KPR'!#REF!</definedName>
    <definedName name="CBU" localSheetId="10">'[1]301-KPR'!#REF!</definedName>
    <definedName name="CBU">'[1]301-KPR'!#REF!</definedName>
    <definedName name="celkem1">'[1]301-KPR'!#REF!</definedName>
    <definedName name="CSU" localSheetId="4">'[1]301-KPR'!#REF!</definedName>
    <definedName name="CSU" localSheetId="10">'[1]301-KPR'!#REF!</definedName>
    <definedName name="CSU">'[1]301-KPR'!#REF!</definedName>
    <definedName name="CUZK" localSheetId="4">'[1]301-KPR'!#REF!</definedName>
    <definedName name="CUZK" localSheetId="10">'[1]301-KPR'!#REF!</definedName>
    <definedName name="CUZK">'[1]301-KPR'!#REF!</definedName>
    <definedName name="CÚZK">'[2]301'!#REF!</definedName>
    <definedName name="CUZKL">'[1]301-KPR'!#REF!</definedName>
    <definedName name="DF_GRID_1">#REF!</definedName>
    <definedName name="GA" localSheetId="4">'[1]301-KPR'!#REF!</definedName>
    <definedName name="GA" localSheetId="10">'[1]301-KPR'!#REF!</definedName>
    <definedName name="GA">'[1]301-KPR'!#REF!</definedName>
    <definedName name="GAE">'[1]301-KPR'!#REF!</definedName>
    <definedName name="gggg">#REF!</definedName>
    <definedName name="hhh">#REF!</definedName>
    <definedName name="jik">#REF!</definedName>
    <definedName name="jjj">#REF!</definedName>
    <definedName name="jksefjnsdf">'[1]301-KPR'!#REF!</definedName>
    <definedName name="KK">#REF!</definedName>
    <definedName name="kontrolní">'[3]301'!#REF!</definedName>
    <definedName name="KPR">#REF!</definedName>
    <definedName name="MDS" localSheetId="4">'[1]301-KPR'!#REF!</definedName>
    <definedName name="MDS" localSheetId="10">'[1]301-KPR'!#REF!</definedName>
    <definedName name="MDS">'[1]301-KPR'!#REF!</definedName>
    <definedName name="MF">#REF!</definedName>
    <definedName name="min_obdobi">#REF!</definedName>
    <definedName name="MK" localSheetId="4">'[1]301-KPR'!#REF!</definedName>
    <definedName name="MK" localSheetId="10">'[1]301-KPR'!#REF!</definedName>
    <definedName name="MK">'[1]301-KPR'!#REF!</definedName>
    <definedName name="MMR">#REF!</definedName>
    <definedName name="MO">#REF!</definedName>
    <definedName name="MPO" localSheetId="4">'[1]301-KPR'!#REF!</definedName>
    <definedName name="MPO" localSheetId="10">'[1]301-KPR'!#REF!</definedName>
    <definedName name="MPO">'[1]301-KPR'!#REF!</definedName>
    <definedName name="MPSV">#REF!</definedName>
    <definedName name="MS" localSheetId="4">'[1]301-KPR'!#REF!</definedName>
    <definedName name="MS" localSheetId="10">'[1]301-KPR'!#REF!</definedName>
    <definedName name="MS">'[1]301-KPR'!#REF!</definedName>
    <definedName name="MSMT" localSheetId="4">'[1]301-KPR'!#REF!</definedName>
    <definedName name="MSMT" localSheetId="10">'[1]301-KPR'!#REF!</definedName>
    <definedName name="MSMT">'[1]301-KPR'!#REF!</definedName>
    <definedName name="MSMT1">'[1]301-KPR'!#REF!</definedName>
    <definedName name="MV">#REF!</definedName>
    <definedName name="MZdr" localSheetId="4">'[1]301-KPR'!#REF!</definedName>
    <definedName name="MZdr" localSheetId="10">'[1]301-KPR'!#REF!</definedName>
    <definedName name="MZdr">'[1]301-KPR'!#REF!</definedName>
    <definedName name="MZe" localSheetId="4">'[1]301-KPR'!#REF!</definedName>
    <definedName name="MZe" localSheetId="10">'[1]301-KPR'!#REF!</definedName>
    <definedName name="MZe">'[1]301-KPR'!#REF!</definedName>
    <definedName name="MZP">#REF!</definedName>
    <definedName name="MZv">#REF!</definedName>
    <definedName name="_xlnm.Print_Titles" localSheetId="2">'Tab. 1 Bilance'!$1:$8</definedName>
    <definedName name="_xlnm.Print_Titles" localSheetId="4">'tab. 3 mzdy'!$A:$A</definedName>
    <definedName name="NKU" localSheetId="4">'[1]301-KPR'!#REF!</definedName>
    <definedName name="NKU" localSheetId="10">'[1]301-KPR'!#REF!</definedName>
    <definedName name="NKU">'[1]301-KPR'!#REF!</definedName>
    <definedName name="obdobi">#REF!</definedName>
    <definedName name="_xlnm.Print_Area" localSheetId="2">'Tab. 1 Bilance'!$A$1:$G$266</definedName>
    <definedName name="_xlnm.Print_Area" localSheetId="11">'tab.10-příjmy EU,FM'!$A$1:$G$74</definedName>
    <definedName name="_xlnm.Print_Area" localSheetId="6">'tab.5-výdaje kraje'!$A:$H</definedName>
    <definedName name="_xlnm.Print_Area" localSheetId="9">'tab.8 výdaje EU'!$A$1:$O$101</definedName>
    <definedName name="_xlnm.Print_Area" localSheetId="10">'tab.9 EU platy'!$A$1:$T$60</definedName>
    <definedName name="pol">#REF!</definedName>
    <definedName name="PSP">#REF!</definedName>
    <definedName name="RRTV" localSheetId="4">'[1]301-KPR'!#REF!</definedName>
    <definedName name="RRTV" localSheetId="10">'[1]301-KPR'!#REF!</definedName>
    <definedName name="RRTV">'[1]301-KPR'!#REF!</definedName>
    <definedName name="SAPBEXhrIndnt" hidden="1">"Wide"</definedName>
    <definedName name="SAPsysID" hidden="1">"708C5W7SBKP804JT78WJ0JNKI"</definedName>
    <definedName name="SAPwbID" hidden="1">"ARS"</definedName>
    <definedName name="SD">#REF!</definedName>
    <definedName name="SP">#REF!</definedName>
    <definedName name="ss">#REF!</definedName>
    <definedName name="SSHR" localSheetId="4">'[1]301-KPR'!#REF!</definedName>
    <definedName name="SSHR" localSheetId="10">'[1]301-KPR'!#REF!</definedName>
    <definedName name="SSHR">'[1]301-KPR'!#REF!</definedName>
    <definedName name="SUJB" localSheetId="4">'[1]301-KPR'!#REF!</definedName>
    <definedName name="SUJB" localSheetId="10">'[1]301-KPR'!#REF!</definedName>
    <definedName name="SUJB">'[1]301-KPR'!#REF!</definedName>
    <definedName name="TABULKA_1">#N/A</definedName>
    <definedName name="TABULKA_2">#N/A</definedName>
    <definedName name="UOHS" localSheetId="4">'[1]301-KPR'!#REF!</definedName>
    <definedName name="UOHS" localSheetId="10">'[1]301-KPR'!#REF!</definedName>
    <definedName name="UOHS">'[1]301-KPR'!#REF!</definedName>
    <definedName name="UPV" localSheetId="4">'[1]301-KPR'!#REF!</definedName>
    <definedName name="UPV" localSheetId="10">'[1]301-KPR'!#REF!</definedName>
    <definedName name="UPV">'[1]301-KPR'!#REF!</definedName>
    <definedName name="US" localSheetId="4">'[1]301-KPR'!#REF!</definedName>
    <definedName name="US" localSheetId="10">'[1]301-KPR'!#REF!</definedName>
    <definedName name="US">'[1]301-KPR'!#REF!</definedName>
    <definedName name="USIS" localSheetId="4">'[1]301-KPR'!#REF!</definedName>
    <definedName name="USIS" localSheetId="10">'[1]301-KPR'!#REF!</definedName>
    <definedName name="USIS">'[1]301-KPR'!#REF!</definedName>
    <definedName name="UV">#REF!</definedName>
    <definedName name="VSTUPY_1">#N/A</definedName>
    <definedName name="VSTUPY_2">#N/A</definedName>
  </definedNames>
  <calcPr fullCalcOnLoad="1" fullPrecision="0"/>
</workbook>
</file>

<file path=xl/sharedStrings.xml><?xml version="1.0" encoding="utf-8"?>
<sst xmlns="http://schemas.openxmlformats.org/spreadsheetml/2006/main" count="1452" uniqueCount="810">
  <si>
    <t xml:space="preserve">Údaje schváleného rozpočtu, rozpočtu po změnách a skutečnosti musí být shodné s údaji v tabulce č. 1  - Bilance příjmů a výdajů státního rozpočtu za hodnocený rok a v tabulce č. 2  - Plnění závazných ukazatelů státního rozpočtu za rok 2013.  </t>
  </si>
  <si>
    <t>U příspěvkových organizací se ve sloupcích prostředky na platy a ostatní platby za provedenou práci uvedou mzdové náklady a ve sloupcích ostatní platby za provedenou práci se uvedou ostatní osobní náklady</t>
  </si>
  <si>
    <t>Kapitola: 314 Ministerstvo vnitra</t>
  </si>
  <si>
    <t>Výdaje na platy a ostatní platby za provedenou práci v rámci společných programů České republiky a Evropské unie/finančních  mechanismů čerpané v roce 2013</t>
  </si>
  <si>
    <t>program</t>
  </si>
  <si>
    <t>průměrná měsíční motivace v Kč</t>
  </si>
  <si>
    <t xml:space="preserve">Platy zaměstnanců a ostatní platby za provedenou práci v  Kč </t>
  </si>
  <si>
    <t>spolufinancování ČR ze SR</t>
  </si>
  <si>
    <t>Pozn. Údaje navazují na tabulku, která je součástí dokumentace k návrhu státního rozpočtu na hodnocený rok</t>
  </si>
  <si>
    <t>Platy a ostatní platby za provedenou práci se uvádějí v  Kč, průměrný plat v celých Kč (bez desetinných  míst) a průměrný roční přepočtený počet zaměstnanců se zaokrouhluje na celá čísla.</t>
  </si>
  <si>
    <r>
      <t xml:space="preserve">1) </t>
    </r>
    <r>
      <rPr>
        <sz val="10"/>
        <rFont val="Arial"/>
        <family val="2"/>
      </rPr>
      <t xml:space="preserve">Organizace odměňující podle zákona č. 262/2006 Sb., zákoník práce, a financované ze státního rozpočtu. </t>
    </r>
  </si>
  <si>
    <r>
      <t xml:space="preserve">    Kapitola MŠMT uvede údaje </t>
    </r>
    <r>
      <rPr>
        <b/>
        <sz val="10"/>
        <rFont val="Arial"/>
        <family val="2"/>
      </rPr>
      <t>příspěvkových organizací</t>
    </r>
    <r>
      <rPr>
        <sz val="10"/>
        <rFont val="Arial"/>
        <family val="2"/>
      </rPr>
      <t xml:space="preserve"> v členění OPŘO, regionální školství územních celků a regionální školství MŠMT. </t>
    </r>
    <r>
      <rPr>
        <b/>
        <sz val="10"/>
        <rFont val="Arial"/>
        <family val="2"/>
      </rPr>
      <t>U regionálního školství vykáže údaje vyčleněné z mzdové regulace ještě i v samostatném řádku .</t>
    </r>
  </si>
  <si>
    <r>
      <t>2)</t>
    </r>
    <r>
      <rPr>
        <sz val="10"/>
        <rFont val="Arial"/>
        <family val="2"/>
      </rPr>
      <t xml:space="preserve"> Systemizovaná místa (bez jednorázového navýšení počtu zaměstnanců) v roce 20xx.</t>
    </r>
  </si>
  <si>
    <r>
      <t xml:space="preserve">3) </t>
    </r>
    <r>
      <rPr>
        <sz val="10"/>
        <rFont val="Arial"/>
        <family val="2"/>
      </rPr>
      <t>Počet zaměstnanců v ročním průměru; zaměstnanci hrazeni ze SR a odměňováni podle usnesení vlády č. 1332/2009 a zaměstanci dle definice ostatních personálních kapacit hrazeni ze SR a odměňováni z projektů EU,SZP,FM.</t>
    </r>
  </si>
  <si>
    <r>
      <t>4)</t>
    </r>
    <r>
      <rPr>
        <sz val="10"/>
        <rFont val="Arial"/>
        <family val="2"/>
      </rPr>
      <t xml:space="preserve">  Počet zaměstnanců nad rámec schválené systemizace podle usnesení vlády č. 818/2007 k postupu při řešení administrativní kapacity čerpání zdrojů strukturálních fondů a Fondu soudržnosti na období 2007-2013 část II bod 4 a jednorázové navýšení u ostatní</t>
    </r>
  </si>
  <si>
    <r>
      <t>5)</t>
    </r>
    <r>
      <rPr>
        <sz val="10"/>
        <rFont val="Arial"/>
        <family val="2"/>
      </rPr>
      <t xml:space="preserve"> Počet zaměstnanců podle usnesení vlády č. 1332/2009 o Metodice finančního ohodnocení zaměstnanců implementujících Národní strategický referenční rámec v programovém období 2007-2013 a usnesení vlády č. 884/2007 k zabezpečení auditního orgánu a pověřený</t>
    </r>
  </si>
  <si>
    <r>
      <t>6)</t>
    </r>
    <r>
      <rPr>
        <sz val="10"/>
        <rFont val="Arial"/>
        <family val="2"/>
      </rPr>
      <t xml:space="preserve"> Počet zaměstnanců v ročním průměru; zaměstnanci realizující projekty spolufinancované ze strukturálních fondů a Fondu soudržnosti, zaměstnanci administrující nebo realizující finanční mechanismy, komunitární programy, společnou zemědělskou politiku a o</t>
    </r>
  </si>
  <si>
    <t>kryto příjmy z rozpočtu EU/FM</t>
  </si>
  <si>
    <t xml:space="preserve">platy a ostatní platby za provedenou práci </t>
  </si>
  <si>
    <t>prostředky na platy</t>
  </si>
  <si>
    <t>motivace</t>
  </si>
  <si>
    <t>ostatní platby za provedenou práci</t>
  </si>
  <si>
    <t>7=4+5+6</t>
  </si>
  <si>
    <t>11=8+9+10</t>
  </si>
  <si>
    <t>15=12+13+14</t>
  </si>
  <si>
    <t>16=8+12</t>
  </si>
  <si>
    <t>17=9+13</t>
  </si>
  <si>
    <t>18=10+14</t>
  </si>
  <si>
    <t>19=11+15</t>
  </si>
  <si>
    <t>Organizační složky státu celkem</t>
  </si>
  <si>
    <t>Státní správa celkem</t>
  </si>
  <si>
    <t xml:space="preserve">Ústřední orgán státní správy   </t>
  </si>
  <si>
    <t>vlastní MV</t>
  </si>
  <si>
    <t>OP LZZ (033)</t>
  </si>
  <si>
    <t>OP LZZ (033) TP</t>
  </si>
  <si>
    <t>IOP (036) TP</t>
  </si>
  <si>
    <t>IOP (036)</t>
  </si>
  <si>
    <t>EMS (046)</t>
  </si>
  <si>
    <t>Solidarita (047)</t>
  </si>
  <si>
    <t>IOS+CP (036)</t>
  </si>
  <si>
    <t>IS oper.řízení (036)</t>
  </si>
  <si>
    <t>Jednotlivé organizační složky státu - státní správa</t>
  </si>
  <si>
    <t>- jednotlivá organizační složka</t>
  </si>
  <si>
    <t>NA Praha</t>
  </si>
  <si>
    <t>NDA (036)</t>
  </si>
  <si>
    <t>SOA Plzeň</t>
  </si>
  <si>
    <t>Archivní průvodce (041)</t>
  </si>
  <si>
    <t>Nové cesty  (041)</t>
  </si>
  <si>
    <t>Jednotlivé organizační složky správy ve složkách obrany, bezpečnosti, celní a právní ochrany</t>
  </si>
  <si>
    <t>Taranis (047)</t>
  </si>
  <si>
    <t>OP ČR-R (041)</t>
  </si>
  <si>
    <t>LZ+IOS (036)</t>
  </si>
  <si>
    <t>Ostatní organizační složky státu</t>
  </si>
  <si>
    <t>Vzdělávání žáků (032)</t>
  </si>
  <si>
    <t>Podpora vzdělávání (032)</t>
  </si>
  <si>
    <t>SUZ MV</t>
  </si>
  <si>
    <t>EIF (047)</t>
  </si>
  <si>
    <t>EUF (047)</t>
  </si>
  <si>
    <t>ELVIS (033)</t>
  </si>
  <si>
    <t>VPŠ MV Praha</t>
  </si>
  <si>
    <t>Videokonference (033)</t>
  </si>
  <si>
    <t>Organizační složky státu a příspěvkové organizace celkem</t>
  </si>
  <si>
    <t>SOŠ PO a VOŠ PO Frýdek-Místek</t>
  </si>
  <si>
    <t xml:space="preserve">z toho: administrativní personální kapacity </t>
  </si>
  <si>
    <t>ostatní personální kapacity</t>
  </si>
  <si>
    <t xml:space="preserve">Příspěvkové organizace celkem </t>
  </si>
  <si>
    <t>systemizo- vaná místa</t>
  </si>
  <si>
    <t>jednorázové navýšení</t>
  </si>
  <si>
    <t xml:space="preserve">       ZA  ROK  2013</t>
  </si>
  <si>
    <t>Výdaje na platy a ostatní platby za provedenou práci v rámci společných programů České republiky a Evropské unie/ finančních mechanismů čerpané v roce 2013</t>
  </si>
  <si>
    <t>Příjmy do rozpočtu kapitoly z rozpočtu Evropské unie na financování společných programů Evropské unie  a České republiky v roce 2013</t>
  </si>
  <si>
    <t xml:space="preserve">Přehled o důchodech v roce 2013                                            </t>
  </si>
  <si>
    <t xml:space="preserve">Přehled o ostatních dávkách, dávkách nemocenského pojištění v roce 2013                                      </t>
  </si>
  <si>
    <t>Výdaje státního rozpočtu na financování akcí reprodukce majetku v roce 2013</t>
  </si>
  <si>
    <t>Přehled čerpání výdajů v roce 2013 dle jednotlivých čtvrtletí</t>
  </si>
  <si>
    <t xml:space="preserve">Výdaje HZS celkem a detail dle jednotlivých HZS krajů v roce 2013 </t>
  </si>
  <si>
    <t xml:space="preserve">Výdaje Policie ČR celkem a detail dle jednotlivých krajských ředitelství P ČR v roce 2013 </t>
  </si>
  <si>
    <t xml:space="preserve">Výdaje za oblast policejního školství a Muzea P ČR v roce 2013 </t>
  </si>
  <si>
    <t xml:space="preserve">Výdaje za oblast archivnictví v roce 2013 </t>
  </si>
  <si>
    <t xml:space="preserve">Přehled o vývoji čerpání rozpočtu Ministerstva vnitra v letech 2006 až 2013 včetně schváleného rozpočtu na rok 2014  </t>
  </si>
  <si>
    <t>Organizační schéma kapitoly 314 -Ministerstvo vnitra se stavem k 31. 12. 2013</t>
  </si>
  <si>
    <t>Rozpočet 2013</t>
  </si>
  <si>
    <t xml:space="preserve"> k 31. 12. 2013</t>
  </si>
  <si>
    <t>Datum: 18. února 2014</t>
  </si>
  <si>
    <t xml:space="preserve"> k 31. 12.2013</t>
  </si>
  <si>
    <t>Výdaje účelově určené na financování programů vedené v EDS/SMVS</t>
  </si>
  <si>
    <t>Účelové neinvestiční transfery krajům celkem</t>
  </si>
  <si>
    <t>Účelové investiční transfery krajům celkem</t>
  </si>
  <si>
    <t xml:space="preserve">Účelové neinvestiční půjčené prostředky (návratné finanční výpomoci) </t>
  </si>
  <si>
    <t xml:space="preserve">Účelové investiční půjčené prostředky (návratné finanční výpomoci) </t>
  </si>
  <si>
    <t>Účelové neinvestiční transfery obcím celkem</t>
  </si>
  <si>
    <t>Účelové investiční transfery obcím celkem</t>
  </si>
  <si>
    <t xml:space="preserve">        NÁVRH  ZÁVĚREČNÉHO  ÚČTU</t>
  </si>
  <si>
    <t xml:space="preserve"> KAPITOLY  314 - MINISTERSTVO  VNITRA </t>
  </si>
  <si>
    <t xml:space="preserve">          TABULKOVÁ   ČÁST</t>
  </si>
  <si>
    <t>TABULKOVÁ ČÁST</t>
  </si>
  <si>
    <t xml:space="preserve">strana </t>
  </si>
  <si>
    <t>Tabulka č. 1</t>
  </si>
  <si>
    <t>Tabulka č. 2</t>
  </si>
  <si>
    <t>Tabulka č. 3</t>
  </si>
  <si>
    <t>Tabulka č. 4</t>
  </si>
  <si>
    <t>Tabulka č. 5</t>
  </si>
  <si>
    <t>Tabulka č. 6</t>
  </si>
  <si>
    <t>Tabulka č. 7</t>
  </si>
  <si>
    <t>Tabulka č. 8</t>
  </si>
  <si>
    <t>Tabulka č. 10</t>
  </si>
  <si>
    <t>Tabulka č. 12</t>
  </si>
  <si>
    <t>Tabulka č. 13</t>
  </si>
  <si>
    <t>Tabulka č. 14</t>
  </si>
  <si>
    <t>x</t>
  </si>
  <si>
    <t>Číselné sestavy:</t>
  </si>
  <si>
    <t>Sestava č. 1</t>
  </si>
  <si>
    <t>Sestava č. 2</t>
  </si>
  <si>
    <t>Rozpočtové příjmy správců kapitol a jimi zřízených organizačních složek státu podle položek druhového třídění (Fin 2-04 U)</t>
  </si>
  <si>
    <t>Tabulkové přílohy:</t>
  </si>
  <si>
    <t>Bilance příjmů a výdajů státního rozpočtu v druhovém členění rozpočtové skladby</t>
  </si>
  <si>
    <t>Plnění závazných ukazatelů státního rozpočtu</t>
  </si>
  <si>
    <t>Rozbor zaměstnanosti a čerpání mzdových prostředků</t>
  </si>
  <si>
    <t>Doplňující tabulky:</t>
  </si>
  <si>
    <t>Tabulka č. 15</t>
  </si>
  <si>
    <t>Tabulka č. 17</t>
  </si>
  <si>
    <t>Tabulka č. 11</t>
  </si>
  <si>
    <t>Tabulka č. 18</t>
  </si>
  <si>
    <t>Tabulka č. 19</t>
  </si>
  <si>
    <t>Tabulka č. 16</t>
  </si>
  <si>
    <t>Přehled výdajů programového financování v jednotlivých programech</t>
  </si>
  <si>
    <t>Rozpočtové výdaje správců kapitol a jimi zřízených organizačních složek státu podle položek  druhého třídění  a  paragrafů odvětvového třídění a rozpočtové položky financování (Fin 2-04 U)</t>
  </si>
  <si>
    <t xml:space="preserve">Přehled výdajů státního rozpočtu na podporu výzkumu, vývoje a inovací    </t>
  </si>
  <si>
    <t>Přehled výdajů organizačních složek státu, příspěvků a dotací příspěvkovým a podobným organizacím, transferů a půjčených prostředků (návratných finančních výpomocí) krajům a obcím, podnikatelským a jiným subjektům z rozpočtu kapitoly</t>
  </si>
  <si>
    <t>Přehled účelových transferů a půjčených prostředků (návratných finančních výpomocí) krajům a obcím a jiným subjektům z rozpočtu kapitoly</t>
  </si>
  <si>
    <t>Výdaje kapitoly na financování společných programů/projektů České republiky, Evropské unie a finančních mechanismů</t>
  </si>
  <si>
    <t>Tabulka č. 9</t>
  </si>
  <si>
    <t>schválený</t>
  </si>
  <si>
    <t>Skutečnost</t>
  </si>
  <si>
    <t>Kapitola: 314 - Ministerstvo vnitra</t>
  </si>
  <si>
    <t xml:space="preserve">transferů a půjčených prostředků (návratných finančních výpomocí) krajům a obcím, podnikatelským  </t>
  </si>
  <si>
    <t xml:space="preserve">a jiným subjektům z rozpočtu kapitoly </t>
  </si>
  <si>
    <t xml:space="preserve"> (v tis.Kč)</t>
  </si>
  <si>
    <t>po změnách</t>
  </si>
  <si>
    <t>Běžné výdaje organizačních složek státu celkem</t>
  </si>
  <si>
    <t xml:space="preserve"> z toho: </t>
  </si>
  <si>
    <t>na škody způsobené živelními katastrofami</t>
  </si>
  <si>
    <t>Kapitálové výdaje organizačních složek státu celkem</t>
  </si>
  <si>
    <t>Neinvestiční příspěvky příspěvkovým organizacím celkem</t>
  </si>
  <si>
    <t>Investiční příspěvky příspěvkovým organizacím celkem</t>
  </si>
  <si>
    <t>transfery</t>
  </si>
  <si>
    <t>Transfery a půjčené prostředky (návratné finanční výpomoci) regionálním radám regionů soudržnosti celkem</t>
  </si>
  <si>
    <t>neinvestiční</t>
  </si>
  <si>
    <t>investiční</t>
  </si>
  <si>
    <t>Běžné výdaje kapitoly celkem</t>
  </si>
  <si>
    <t>Kapitálové výdaje kapitoly celkem</t>
  </si>
  <si>
    <t xml:space="preserve">  Tabulka č. 6</t>
  </si>
  <si>
    <t xml:space="preserve">Přehled  účelových transferů a půjčených prostředků (návratných finančních výpomocí) </t>
  </si>
  <si>
    <t>krajům celkem</t>
  </si>
  <si>
    <t>obcím celkem</t>
  </si>
  <si>
    <t xml:space="preserve">Účelové transfery a půjčené prostředky (návratné finanční výpomoci) </t>
  </si>
  <si>
    <t>regionálním radám regionů soudržnosti celkem</t>
  </si>
  <si>
    <t>Neinvestiční transfery a půjčené prostředky (návratné finanční výpomoci) krajům a obcím celkem</t>
  </si>
  <si>
    <t>půjčené prostředky (návratné finanční výpomoci)</t>
  </si>
  <si>
    <t>Investiční transfery a půjčené prostředky krajům a obcím celkem</t>
  </si>
  <si>
    <t>Přehled  výdajů organizačních složek státu, příspěvků a dotací příspěvkovým a podobným organizacím,</t>
  </si>
  <si>
    <t>krajům a obcím a jiným subjektům z rozpočtu kapitoly</t>
  </si>
  <si>
    <t>Investiční transfery a půjčené prostředky (návratné finanční výpomoci) podnikatelským subjektům a neziskovým institucím celkem</t>
  </si>
  <si>
    <t>Neinvestiční transfery a půjčené prostředky (návratné finanční výpomoci) podnikatelským subjektům a neziskovým institucím celkem</t>
  </si>
  <si>
    <t>%</t>
  </si>
  <si>
    <t>Index</t>
  </si>
  <si>
    <t>U K A Z A T E L</t>
  </si>
  <si>
    <t>Schválený</t>
  </si>
  <si>
    <t>Rozpočet</t>
  </si>
  <si>
    <t>plnění</t>
  </si>
  <si>
    <t xml:space="preserve"> rozpočet</t>
  </si>
  <si>
    <t>3:2</t>
  </si>
  <si>
    <t>3:0</t>
  </si>
  <si>
    <t xml:space="preserve"> P Ř Í J M Y</t>
  </si>
  <si>
    <t xml:space="preserve"> Daně z příjmů fyzických osob</t>
  </si>
  <si>
    <t xml:space="preserve">    v tom: Daň z příjmů fyzických osob 
              ze závislé činnosti a funkčních požitků</t>
  </si>
  <si>
    <t xml:space="preserve">               Daň z příjmů fyzických osob 
               ze samostatně výdělečné činnosti</t>
  </si>
  <si>
    <t xml:space="preserve">               Daň z příjmů fyzických osob
               z kapitálových výnosů</t>
  </si>
  <si>
    <t xml:space="preserve"> Daně z příjmů právnických osob</t>
  </si>
  <si>
    <t xml:space="preserve"> Daně z příjmů, zisku a kapitálových výnosů</t>
  </si>
  <si>
    <t xml:space="preserve"> Obecné daně ze zboží a služeb v tuzemsku </t>
  </si>
  <si>
    <t xml:space="preserve">     v tom: Daň z přidané hodnoty  </t>
  </si>
  <si>
    <t xml:space="preserve"> Zvláštní daně a poplatky ze zboží a služeb v tuzemsku </t>
  </si>
  <si>
    <t xml:space="preserve"> Daně ze zboží a služeb v tuzemsku </t>
  </si>
  <si>
    <t xml:space="preserve"> Daně a poplatky z provozu motorových vozidel</t>
  </si>
  <si>
    <t xml:space="preserve"> Poplatky a odvody v oblasti životního prostředí  ***) </t>
  </si>
  <si>
    <t xml:space="preserve"> Místní poplatky z vybraných činností a služeb </t>
  </si>
  <si>
    <t xml:space="preserve"> Ostatní odvody z vybraných činností a služeb </t>
  </si>
  <si>
    <t xml:space="preserve"> Správní poplatky </t>
  </si>
  <si>
    <t>Poplatky na činnost správních úřadů</t>
  </si>
  <si>
    <t xml:space="preserve"> Daně a poplatky z vybraných činností a služeb </t>
  </si>
  <si>
    <t xml:space="preserve"> Daně a cla za zboží a služby ze zahraničí </t>
  </si>
  <si>
    <t xml:space="preserve">    v tom: Clo</t>
  </si>
  <si>
    <t xml:space="preserve">               Podíl na vybraných clech</t>
  </si>
  <si>
    <t xml:space="preserve"> Daně z majetku</t>
  </si>
  <si>
    <t xml:space="preserve"> Daně z majetkových a kapitálových převodů</t>
  </si>
  <si>
    <t xml:space="preserve">    v tom:  Daň dědická, darovací a z převodu nemovitostí</t>
  </si>
  <si>
    <t xml:space="preserve"> Majetkové daně</t>
  </si>
  <si>
    <t xml:space="preserve"> Pojistné na sociální zabezpečení 
 a příspěvek na státní politiku zaměstnanosti  *) </t>
  </si>
  <si>
    <t xml:space="preserve">         z toho: Pojistné na důchodové pojištění 
                     (z PSP 161 a 162)</t>
  </si>
  <si>
    <t xml:space="preserve"> Pojistné na veřejné zdravotní pojištění </t>
  </si>
  <si>
    <t xml:space="preserve"> Pojistné na úrazové pojištění</t>
  </si>
  <si>
    <t xml:space="preserve"> Zrušené daně z objemu mezd </t>
  </si>
  <si>
    <t>Povinné pojistné</t>
  </si>
  <si>
    <t>Účelová podpora na programy aplikovaného výzkumu, vývoje a inovací</t>
  </si>
  <si>
    <t>Výdaje vedené v informačním systému programového financování EDS/SMVS celkem</t>
  </si>
  <si>
    <t>Výdaje spolufinancované z rozpočtu Evropské unie bez společné zemědělské politiky</t>
  </si>
  <si>
    <t xml:space="preserve"> Ostatní daňové příjmy</t>
  </si>
  <si>
    <t xml:space="preserve"> Příjmy z vlastní činnosti</t>
  </si>
  <si>
    <t xml:space="preserve"> Odvody přebytků organizací s přímým vztahem</t>
  </si>
  <si>
    <t xml:space="preserve">    z toho: Odvody příspěvkových organizací</t>
  </si>
  <si>
    <t xml:space="preserve">                Ostatní odvody příspěvkových organizací</t>
  </si>
  <si>
    <t xml:space="preserve"> Příjmy z pronájmu majetku</t>
  </si>
  <si>
    <t>Výnosy z finančního majetku</t>
  </si>
  <si>
    <t xml:space="preserve"> Soudní poplatky </t>
  </si>
  <si>
    <t xml:space="preserve"> Příjmy z vlastní činnosti a odvody přebytků
 organizací s přímým vztahem</t>
  </si>
  <si>
    <t xml:space="preserve"> Přijaté sankční platby </t>
  </si>
  <si>
    <t xml:space="preserve"> Přijaté vratky transferů a ostatní příjmy 
 z finančního vypořádání předchozích let</t>
  </si>
  <si>
    <t xml:space="preserve"> Přijaté sankční platby a vratky transferů</t>
  </si>
  <si>
    <t xml:space="preserve"> Příjmy z prodeje krátkodobého a drobného 
 dlouhodobého majetku </t>
  </si>
  <si>
    <t xml:space="preserve"> Ostatní nedaňové příjmy (PSP 233 zrušeno) </t>
  </si>
  <si>
    <t xml:space="preserve"> Příjmy z využívání výhradních práv k přírodním zdrojům </t>
  </si>
  <si>
    <t xml:space="preserve"> Příjmy za využívání dalších majetkových práv</t>
  </si>
  <si>
    <t xml:space="preserve"> Dobrovolné pojistné </t>
  </si>
  <si>
    <t xml:space="preserve"> Příjmy z prodeje nekapitálového majetku
 a ostatní nedaňové příjmy</t>
  </si>
  <si>
    <t xml:space="preserve"> Splátky půjčených prostředků od podnikatelských subjektů </t>
  </si>
  <si>
    <t xml:space="preserve"> Splátky půjčených prostředků od obecně prospěšných
 společností a podobných subjektů</t>
  </si>
  <si>
    <t xml:space="preserve"> Splátky půjčených prostředků od zřízených
 a podobných subjektů</t>
  </si>
  <si>
    <t xml:space="preserve"> Splátky půjčených prostředků od obyvatelstva </t>
  </si>
  <si>
    <t xml:space="preserve"> Splátky půjčených prostředků ze zahraničí</t>
  </si>
  <si>
    <t xml:space="preserve"> Splátky za úhradu dluhů nebo dodávek </t>
  </si>
  <si>
    <t xml:space="preserve"> Přijaté splátky půjčených prostředků  </t>
  </si>
  <si>
    <t xml:space="preserve"> Příjmy sdílené s Evropskou unií</t>
  </si>
  <si>
    <t xml:space="preserve">    Mgr. Beránková, tel.: 974 849 664</t>
  </si>
  <si>
    <t xml:space="preserve"> Příjmy sdílené s nadnárodním orgánem</t>
  </si>
  <si>
    <t xml:space="preserve"> NEDAŇOVÉ PŘÍJMY CELKEM</t>
  </si>
  <si>
    <t xml:space="preserve"> Příjmy z prodeje dlouhodobého majetku 
  a ostatní kapitálové příjmy  </t>
  </si>
  <si>
    <t xml:space="preserve"> Příjmy z prodeje dlouhodobého finančního majetku</t>
  </si>
  <si>
    <t xml:space="preserve"> KAPITÁLOVÉ PŘÍJMY CELKEM</t>
  </si>
  <si>
    <t xml:space="preserve"> Neinvestiční přijaté transfery od veřejných rozpočtů ústř. úrovně</t>
  </si>
  <si>
    <t xml:space="preserve">   z toho: Neinvestiční převody z Národního fondu</t>
  </si>
  <si>
    <t xml:space="preserve"> Neinvestiční přijaté transfery od veřejných rozpočtů 
 územní úrovně </t>
  </si>
  <si>
    <t xml:space="preserve"> Převody z vlastních fondů</t>
  </si>
  <si>
    <t xml:space="preserve"> Neinvestiční přijaté transfery ze zahraničí</t>
  </si>
  <si>
    <t xml:space="preserve">   z toho: Neinvestiční transfery přijaté od Evropské unie</t>
  </si>
  <si>
    <t xml:space="preserve"> Neinvestiční přijaté transfery ze státních finančních aktiv  </t>
  </si>
  <si>
    <t xml:space="preserve"> Neinvestiční přijaté transfery   </t>
  </si>
  <si>
    <t xml:space="preserve"> Investiční přijaté transfery od veřejných rozpočtů ústřední úrovně </t>
  </si>
  <si>
    <t xml:space="preserve">   z toho: Investiční převody z Národního fondu</t>
  </si>
  <si>
    <t xml:space="preserve"> Investiční přijaté transfery od veřejných rozpočtů územní úrovně </t>
  </si>
  <si>
    <t xml:space="preserve"> Investiční přijaté transfery ze zahraničí</t>
  </si>
  <si>
    <t xml:space="preserve">  z toho: Investiční transfery přijaté od Evropské unie</t>
  </si>
  <si>
    <t xml:space="preserve"> Investiční přijaté transfery ze státních finančních aktiv </t>
  </si>
  <si>
    <t xml:space="preserve"> Investiční přijaté transfery  </t>
  </si>
  <si>
    <t xml:space="preserve">  PŘIJATÉ TRANSFERY CELKEM</t>
  </si>
  <si>
    <t xml:space="preserve"> PŘÍJMY STÁTNÍHO ROZPOČTU CELKEM</t>
  </si>
  <si>
    <t xml:space="preserve"> Kontrolní součet (seskupení položek)</t>
  </si>
  <si>
    <t>V Ý D A J E</t>
  </si>
  <si>
    <t xml:space="preserve"> Platy    </t>
  </si>
  <si>
    <t xml:space="preserve">                  Platy zaměstnanců ozbrojených 
                  sborů a složek ve služebním poměru </t>
  </si>
  <si>
    <t xml:space="preserve">                  Platy státních zaměstnanců 
                  ve správních úřadech</t>
  </si>
  <si>
    <t xml:space="preserve">                  Platy zaměstnanců v pracovním 
                  poměru odvozované od platů 
                  ústavních činitelů</t>
  </si>
  <si>
    <t xml:space="preserve">                  Ostatní platy</t>
  </si>
  <si>
    <t xml:space="preserve"> Ostatní platby za provedenou práci </t>
  </si>
  <si>
    <t xml:space="preserve">        v tom: Ostatní osobní výdaje</t>
  </si>
  <si>
    <t xml:space="preserve">                   Platy představitelů státní moci 
                   a některých orgánů</t>
  </si>
  <si>
    <t xml:space="preserve">                   Odměny členů zastupitelstev obcí a krajů</t>
  </si>
  <si>
    <t xml:space="preserve">                   Odstupné</t>
  </si>
  <si>
    <t xml:space="preserve">                   Odbytné</t>
  </si>
  <si>
    <t xml:space="preserve">                   Odchodné </t>
  </si>
  <si>
    <t xml:space="preserve">                   Náležitosti osob vykonávajících 
                   vojenská cvičení a další vojenskou 
                   službu </t>
  </si>
  <si>
    <t xml:space="preserve">                   Ostatní platby za provedenou práci
                   jinde nezařazené  </t>
  </si>
  <si>
    <t xml:space="preserve"> Odměny za užití duševního vlastnictví</t>
  </si>
  <si>
    <t xml:space="preserve"> Mzdové náhrady</t>
  </si>
  <si>
    <t xml:space="preserve"> Výdaje na platy, ostatní platby za provedenou 
  práci a pojistné   </t>
  </si>
  <si>
    <t xml:space="preserve"> Nákup materiálu </t>
  </si>
  <si>
    <t xml:space="preserve"> Úroky a ostatní finanční výdaje</t>
  </si>
  <si>
    <t xml:space="preserve"> Nákup vody, paliv a energie</t>
  </si>
  <si>
    <t xml:space="preserve"> Nákup služeb</t>
  </si>
  <si>
    <t xml:space="preserve"> Ostatní nákupy</t>
  </si>
  <si>
    <t xml:space="preserve">    z toho: Opravy a udržování</t>
  </si>
  <si>
    <t xml:space="preserve">                 Cestovné (tuzemské i zahraniční)</t>
  </si>
  <si>
    <t xml:space="preserve"> Poskytnuté zálohy, jistiny, záruky a vládní úvěry    </t>
  </si>
  <si>
    <t xml:space="preserve"> Neinvestiční nákupy a související výdaje</t>
  </si>
  <si>
    <t xml:space="preserve"> Neinvestiční transfery podnikatelským subjektům </t>
  </si>
  <si>
    <t xml:space="preserve"> Neinvestiční transfery neziskovým a pod.organizacím </t>
  </si>
  <si>
    <t xml:space="preserve">        z toho:  Neinvestiční transfery občanským sdružením</t>
  </si>
  <si>
    <t xml:space="preserve">                     Ostatní neinvestiční transfery neziskovým 
                     a podobným organizacím   </t>
  </si>
  <si>
    <t xml:space="preserve">  Neinvestiční nedotační transfery
  podnikatelským subjektům </t>
  </si>
  <si>
    <t xml:space="preserve">  Neinvestiční nedotační transfery 
  neziskovým a pod. organizacím</t>
  </si>
  <si>
    <t xml:space="preserve">  Neinvestiční transfery v souvislosti s nemocenským pojištěním</t>
  </si>
  <si>
    <t xml:space="preserve">Neinvestiční transfery soukromoprávním subjektům </t>
  </si>
  <si>
    <t xml:space="preserve">   z toho: Neinvestiční transfery státním fondům</t>
  </si>
  <si>
    <t xml:space="preserve">                Neinvestiční transfery prostředků 
                do státních finančních aktiv  </t>
  </si>
  <si>
    <t xml:space="preserve">     v tom: Neinvestiční transfery obcím</t>
  </si>
  <si>
    <t xml:space="preserve">                Neinvestiční transfery obcím v rámci  
                souhrnného dotačního vztahu</t>
  </si>
  <si>
    <t xml:space="preserve">                Neinvestiční transfery krajům</t>
  </si>
  <si>
    <t xml:space="preserve">                Neinvestiční transfery krajům v rámci 
                souhrnného dotačního vztahu</t>
  </si>
  <si>
    <t xml:space="preserve">               Neinvestiční transfery regionálním radám</t>
  </si>
  <si>
    <t xml:space="preserve">                Ostatní neinvestiční transfery veřejným 
                rozpočtům územní úrovně </t>
  </si>
  <si>
    <t xml:space="preserve"> Převody vlastním fondům</t>
  </si>
  <si>
    <t xml:space="preserve">   z toho:  Převody fondu kulturních a sociálních potřeb
                a sociálnímu fondu obcí a krajů   </t>
  </si>
  <si>
    <t xml:space="preserve">                Převody do fondů organizačních složek státu</t>
  </si>
  <si>
    <t xml:space="preserve"> Ostatní neinvestiční transfery jiným veřejným rozpočtům</t>
  </si>
  <si>
    <t xml:space="preserve"> Sociální dávky</t>
  </si>
  <si>
    <t xml:space="preserve"> Náhrady placené obyvatelstvu </t>
  </si>
  <si>
    <t xml:space="preserve"> Ostatní neinvestiční transfery obyvatelstvu</t>
  </si>
  <si>
    <t xml:space="preserve"> Neinvestiční transfery obyvatelstvu</t>
  </si>
  <si>
    <t xml:space="preserve"> Neinvestiční transfery mezinárodním organizacím 
  a nadnárodním orgánům</t>
  </si>
  <si>
    <t xml:space="preserve">     z toho: Odvody vlastních zdrojů Evropských 
                 společenství do rozpočtu Evropské 
                 unie podle daně z přidané hodnoty</t>
  </si>
  <si>
    <t xml:space="preserve">                 Odvody vlastních zdrojů Evropských 
                 společenství do rozpočtu Evropské
                 unie podle hrubého národního důchodu</t>
  </si>
  <si>
    <t xml:space="preserve"> Neinvestiční transfery cizím státům   </t>
  </si>
  <si>
    <t xml:space="preserve"> Ostatní neinvestiční transfery do zahraničí</t>
  </si>
  <si>
    <t xml:space="preserve"> Neinvestiční transfery do zahraničí</t>
  </si>
  <si>
    <t xml:space="preserve"> Neinvestiční půjčené prostředky </t>
  </si>
  <si>
    <t xml:space="preserve"> Převody Národnímu fondu na spolufinancování 
 ostatních programů Evropských společenství a ČR  </t>
  </si>
  <si>
    <t xml:space="preserve"> Převody Národnímu fondu na spolufinancování 
 související s poskytnutím pomoci ČR ze zahraničí  </t>
  </si>
  <si>
    <t xml:space="preserve"> Převody ze státního rozpočtu do Národního fondu 
  na vyrovnání kurzových rozdílů   </t>
  </si>
  <si>
    <t xml:space="preserve"> Ostatní převody do Národního fondu  </t>
  </si>
  <si>
    <t xml:space="preserve"> Neinvestiční převody Národnímu fondu   </t>
  </si>
  <si>
    <t xml:space="preserve"> Ostatní neinvestiční výdaje</t>
  </si>
  <si>
    <t xml:space="preserve"> BĚŽNÉ VÝDAJE CELKEM</t>
  </si>
  <si>
    <t xml:space="preserve"> Pořízení dlouhodobého nehmotného majetku </t>
  </si>
  <si>
    <t xml:space="preserve"> Pořízení dlouhodobého hmotného majetku   </t>
  </si>
  <si>
    <t xml:space="preserve"> Pozemky </t>
  </si>
  <si>
    <t xml:space="preserve"> Investiční nákupy a související výdaje</t>
  </si>
  <si>
    <t xml:space="preserve"> Nákup akcií a majetkových podílů</t>
  </si>
  <si>
    <t xml:space="preserve"> Investiční transfery podnikatelským subjektům </t>
  </si>
  <si>
    <t xml:space="preserve"> Investiční transfery neziskovým a pod. organizacím</t>
  </si>
  <si>
    <t xml:space="preserve">    z toho: Investiční transfery státním finančním aktivům</t>
  </si>
  <si>
    <t xml:space="preserve">   v tom: Investiční transfery obcím</t>
  </si>
  <si>
    <t xml:space="preserve">              Investiční transfery krajům</t>
  </si>
  <si>
    <t xml:space="preserve">              Investiční transfery obcím v rámci 
              souhrnného dotačního vztahu</t>
  </si>
  <si>
    <t xml:space="preserve">              Investiční transfery krajům v rámci 
              souhrnného dotačního vztahu</t>
  </si>
  <si>
    <t xml:space="preserve">              Investiční transfery regionálním radám</t>
  </si>
  <si>
    <t xml:space="preserve">              Ostatní investiční transfery veřejným 
              rozpočtům územní úrovně   </t>
  </si>
  <si>
    <t>Investiční transfery příspěvkovým a podobným organizacím</t>
  </si>
  <si>
    <t xml:space="preserve"> Investiční převody vlastním fondům  </t>
  </si>
  <si>
    <t xml:space="preserve"> Investiční transfery obyvatelstvu</t>
  </si>
  <si>
    <t xml:space="preserve"> Investiční transfery do zahraniční</t>
  </si>
  <si>
    <t xml:space="preserve"> Investiční transfery</t>
  </si>
  <si>
    <t xml:space="preserve"> Investiční půjčené prostředky podnikatelským subjektům   </t>
  </si>
  <si>
    <t xml:space="preserve"> Investiční půjčené prostředky neziskovým 
 a podobným organizacím   </t>
  </si>
  <si>
    <t xml:space="preserve"> Investiční půjčené prostředky příspěvkovým  
 a podobným organizacím   </t>
  </si>
  <si>
    <t xml:space="preserve"> Investiční půjčené prostředky obyvatelstvu   </t>
  </si>
  <si>
    <t xml:space="preserve"> Investiční půjčené prostředky do zahraničí  </t>
  </si>
  <si>
    <t xml:space="preserve"> Investiční půjčené prostředky </t>
  </si>
  <si>
    <t xml:space="preserve"> Investiční převody Národnímu fondu na spolufinancování 
 ostatních programů Evropských společenství a ČR   </t>
  </si>
  <si>
    <t xml:space="preserve"> Investiční převody Národnímu fondu na spolufinancování 
 související s poskytnutím pomoci ČR ze zahraničí  </t>
  </si>
  <si>
    <t xml:space="preserve"> Ostaní investiční převody do Národního fondu   </t>
  </si>
  <si>
    <t xml:space="preserve"> Investiční převody Národnímu fondu  </t>
  </si>
  <si>
    <t xml:space="preserve"> Ostatní kapitálové výdaje</t>
  </si>
  <si>
    <t xml:space="preserve"> KAPITÁLOVÉ VÝDAJE CELKEM</t>
  </si>
  <si>
    <t xml:space="preserve"> VÝDAJE STÁTNÍHO ROZPOČTU CELKEM</t>
  </si>
  <si>
    <t xml:space="preserve">  Rozdíl příjmů a výdajů státního rozpočtu</t>
  </si>
  <si>
    <t xml:space="preserve"> FINANCOVÁNÍ</t>
  </si>
  <si>
    <t xml:space="preserve"> Krátkodobé vydané dluhopisy</t>
  </si>
  <si>
    <t>Uhrazené splátky krátkodobých vydaných dluhopisů</t>
  </si>
  <si>
    <t xml:space="preserve">Krátkodobé přijaté půjčené prostředky </t>
  </si>
  <si>
    <t>Uhrazené splátky krátkodobých přijatých půjčených prostředky</t>
  </si>
  <si>
    <t xml:space="preserve"> Změna stavu krátkodobých prostředků
 na bankovních účtech</t>
  </si>
  <si>
    <t>Aktivní krátkodobé operace řízení likvidity - příjmy</t>
  </si>
  <si>
    <t xml:space="preserve">Aktivní krátkodobé operace řízení likvidity - výdaje </t>
  </si>
  <si>
    <t xml:space="preserve"> Krátkodobé financování   </t>
  </si>
  <si>
    <t xml:space="preserve"> Dlouhodobé vydané dluhopisy</t>
  </si>
  <si>
    <t>Uhrazené splátky dlouhodobých vydaných dluhopisů</t>
  </si>
  <si>
    <t>Aktivní dlouhodobé operace řízení likvidity - výdaje</t>
  </si>
  <si>
    <t xml:space="preserve"> Dlouhodobé financování   </t>
  </si>
  <si>
    <t xml:space="preserve"> Financování z tuzemska celkem</t>
  </si>
  <si>
    <t>Aktivní krátkodobé operace řízení likvidity - výdaje</t>
  </si>
  <si>
    <t>Dlouhodobé vydané dluhopisy</t>
  </si>
  <si>
    <t xml:space="preserve"> Dlouhodobé přijaté půjčené prostředky    </t>
  </si>
  <si>
    <t>Uhrazené splátky dlouhodobých přijatých půjčených prostředků</t>
  </si>
  <si>
    <t xml:space="preserve"> Dlouhodobé financování  </t>
  </si>
  <si>
    <t xml:space="preserve"> Financování ze zahraničí celkem   </t>
  </si>
  <si>
    <t xml:space="preserve"> Pohyby na účtech pro financování nepatřící na jiné financující položky</t>
  </si>
  <si>
    <t xml:space="preserve"> Opravné položky k peněžním operacím</t>
  </si>
  <si>
    <t xml:space="preserve"> FINANCOVÁNÍ CELKEM</t>
  </si>
  <si>
    <t xml:space="preserve"> Kontrola - rozdíl salda SR a financování</t>
  </si>
  <si>
    <t>*) Příjmy z pojistného na SZ a příspěvek na politiku zaměstnanosti se vykazují v podrobnějším členění položek</t>
  </si>
  <si>
    <t xml:space="preserve">    na PSP 161 a 162 rozp. skladby</t>
  </si>
  <si>
    <t xml:space="preserve">                         v PSP 170 Ostatní daňové příjmy</t>
  </si>
  <si>
    <t>***) týká se kap. Operace státních finančních aktiv (od původců radioaktivních odpadů - příjem jaderného účtu)</t>
  </si>
  <si>
    <t xml:space="preserve"> </t>
  </si>
  <si>
    <r>
      <t xml:space="preserve">       v tom: Platy zaměstnanců v pracovním
                  poměru </t>
    </r>
  </si>
  <si>
    <r>
      <t xml:space="preserve"> Neinvestiční půjčené prostředky
 </t>
    </r>
    <r>
      <rPr>
        <b/>
        <sz val="8"/>
        <rFont val="Arial CE"/>
        <family val="2"/>
      </rPr>
      <t xml:space="preserve">podnikatelským subjektům </t>
    </r>
    <r>
      <rPr>
        <sz val="8"/>
        <rFont val="Arial CE"/>
        <family val="2"/>
      </rPr>
      <t xml:space="preserve"> </t>
    </r>
  </si>
  <si>
    <r>
      <t xml:space="preserve"> Neinvestiční půjčené prostředky  
 </t>
    </r>
    <r>
      <rPr>
        <b/>
        <sz val="8"/>
        <rFont val="Arial CE"/>
        <family val="2"/>
      </rPr>
      <t>neziskovým a podobným organizacím</t>
    </r>
    <r>
      <rPr>
        <sz val="8"/>
        <rFont val="Arial CE"/>
        <family val="2"/>
      </rPr>
      <t xml:space="preserve">   </t>
    </r>
  </si>
  <si>
    <r>
      <t xml:space="preserve"> Neinvestiční půjčené prostředky 
 </t>
    </r>
    <r>
      <rPr>
        <b/>
        <sz val="8"/>
        <rFont val="Arial CE"/>
        <family val="2"/>
      </rPr>
      <t xml:space="preserve">veřejným rozpočtům ústřední úrovně  </t>
    </r>
  </si>
  <si>
    <r>
      <t xml:space="preserve"> Neinvestiční půjčené prostředky  
 </t>
    </r>
    <r>
      <rPr>
        <b/>
        <sz val="8"/>
        <rFont val="Arial CE"/>
        <family val="2"/>
      </rPr>
      <t xml:space="preserve">veřejným rozpočtům územní úrovně </t>
    </r>
    <r>
      <rPr>
        <sz val="8"/>
        <rFont val="Arial CE"/>
        <family val="2"/>
      </rPr>
      <t xml:space="preserve">  </t>
    </r>
  </si>
  <si>
    <r>
      <t xml:space="preserve"> Neinvestiční půjčené prostředky 
 </t>
    </r>
    <r>
      <rPr>
        <b/>
        <sz val="8"/>
        <rFont val="Arial CE"/>
        <family val="2"/>
      </rPr>
      <t xml:space="preserve">příspěvkovým a pod. organizacím  </t>
    </r>
  </si>
  <si>
    <r>
      <t xml:space="preserve"> Neinvestiční půjčené prostředky </t>
    </r>
    <r>
      <rPr>
        <b/>
        <sz val="8"/>
        <rFont val="Arial CE"/>
        <family val="2"/>
      </rPr>
      <t>obyvatelstvu</t>
    </r>
    <r>
      <rPr>
        <sz val="8"/>
        <rFont val="Arial CE"/>
        <family val="2"/>
      </rPr>
      <t xml:space="preserve">  </t>
    </r>
  </si>
  <si>
    <r>
      <t xml:space="preserve"> Neinvestiční půjčené prostředky </t>
    </r>
    <r>
      <rPr>
        <b/>
        <sz val="8"/>
        <rFont val="Arial CE"/>
        <family val="2"/>
      </rPr>
      <t xml:space="preserve">do zahraničí  </t>
    </r>
  </si>
  <si>
    <r>
      <t xml:space="preserve"> Převody Národnímu fondu na spolufinancování
 </t>
    </r>
    <r>
      <rPr>
        <b/>
        <sz val="8"/>
        <rFont val="Arial CE"/>
        <family val="2"/>
      </rPr>
      <t>programu PHARE</t>
    </r>
    <r>
      <rPr>
        <sz val="8"/>
        <rFont val="Arial CE"/>
        <family val="2"/>
      </rPr>
      <t xml:space="preserve"> </t>
    </r>
  </si>
  <si>
    <r>
      <t xml:space="preserve"> Převody Národnímu fondu na spolufinancování 
 </t>
    </r>
    <r>
      <rPr>
        <b/>
        <sz val="8"/>
        <rFont val="Arial CE"/>
        <family val="2"/>
      </rPr>
      <t xml:space="preserve">programu ISPA   </t>
    </r>
  </si>
  <si>
    <r>
      <t xml:space="preserve"> Převody Národnímu fondu na spolufinancování 
 </t>
    </r>
    <r>
      <rPr>
        <b/>
        <sz val="8"/>
        <rFont val="Arial CE"/>
        <family val="2"/>
      </rPr>
      <t xml:space="preserve">programu SAPARD </t>
    </r>
  </si>
  <si>
    <r>
      <t xml:space="preserve"> Převody Národnímu fondu na spolufinancování 
 </t>
    </r>
    <r>
      <rPr>
        <b/>
        <sz val="8"/>
        <rFont val="Arial CE"/>
        <family val="2"/>
      </rPr>
      <t xml:space="preserve">komunitárních programů </t>
    </r>
  </si>
  <si>
    <r>
      <t xml:space="preserve"> Investiční půjčené prostředky veřejným rozpočtům 
 </t>
    </r>
    <r>
      <rPr>
        <b/>
        <sz val="8"/>
        <rFont val="Arial CE"/>
        <family val="2"/>
      </rPr>
      <t>ústřední úrovně</t>
    </r>
    <r>
      <rPr>
        <sz val="8"/>
        <rFont val="Arial CE"/>
        <family val="2"/>
      </rPr>
      <t xml:space="preserve">  </t>
    </r>
  </si>
  <si>
    <r>
      <t xml:space="preserve"> Investiční půjčené prostředky veřejným rozpočtům 
 </t>
    </r>
    <r>
      <rPr>
        <b/>
        <sz val="8"/>
        <rFont val="Arial CE"/>
        <family val="2"/>
      </rPr>
      <t>územní úrovně</t>
    </r>
    <r>
      <rPr>
        <sz val="8"/>
        <rFont val="Arial CE"/>
        <family val="2"/>
      </rPr>
      <t xml:space="preserve"> </t>
    </r>
  </si>
  <si>
    <r>
      <t xml:space="preserve"> Investiční převody Národnímu fondu na spolufinancování  
 </t>
    </r>
    <r>
      <rPr>
        <b/>
        <sz val="8"/>
        <rFont val="Arial CE"/>
        <family val="2"/>
      </rPr>
      <t>programu PHARE</t>
    </r>
  </si>
  <si>
    <r>
      <t xml:space="preserve"> Investiční převody Národnímu fondu na spolufinancování 
 </t>
    </r>
    <r>
      <rPr>
        <b/>
        <sz val="8"/>
        <rFont val="Arial CE"/>
        <family val="2"/>
      </rPr>
      <t xml:space="preserve">programu ISPA </t>
    </r>
  </si>
  <si>
    <r>
      <t xml:space="preserve"> Investiční převody Národnímu fondu na spolufinancování 
 </t>
    </r>
    <r>
      <rPr>
        <b/>
        <sz val="8"/>
        <rFont val="Arial CE"/>
        <family val="2"/>
      </rPr>
      <t>programu SAPARD</t>
    </r>
  </si>
  <si>
    <r>
      <t xml:space="preserve"> Investiční převody Národnímu fondu na spolufinancování 
 </t>
    </r>
    <r>
      <rPr>
        <b/>
        <sz val="8"/>
        <rFont val="Arial CE"/>
        <family val="2"/>
      </rPr>
      <t>komunitárních programů</t>
    </r>
    <r>
      <rPr>
        <sz val="8"/>
        <rFont val="Arial CE"/>
        <family val="2"/>
      </rPr>
      <t xml:space="preserve">  </t>
    </r>
  </si>
  <si>
    <r>
      <t xml:space="preserve"> **) Poznámka:</t>
    </r>
    <r>
      <rPr>
        <sz val="10"/>
        <rFont val="Arial"/>
        <family val="0"/>
      </rPr>
      <t xml:space="preserve"> Položky 1119, 1129, 1219, 1409 a 1529 (příjmy ze staré daňové soustavy) zahrnuty </t>
    </r>
  </si>
  <si>
    <r>
      <t xml:space="preserve">                        </t>
    </r>
    <r>
      <rPr>
        <sz val="10"/>
        <rFont val="Arial CE"/>
        <family val="2"/>
      </rPr>
      <t xml:space="preserve"> položky 1122 a 1123 jsou příjmem územních samosprávných celků</t>
    </r>
  </si>
  <si>
    <t>Období: leden - prosinec 2013</t>
  </si>
  <si>
    <t>Druh ukazatele</t>
  </si>
  <si>
    <t>Název ukazatele</t>
  </si>
  <si>
    <t xml:space="preserve">Plnění
(%)
</t>
  </si>
  <si>
    <t>1</t>
  </si>
  <si>
    <t>2</t>
  </si>
  <si>
    <t>3</t>
  </si>
  <si>
    <t>4</t>
  </si>
  <si>
    <t>Souhrnné ukazatele</t>
  </si>
  <si>
    <t>Rozpočtové příjmy</t>
  </si>
  <si>
    <t>Rozpočtové výdaje</t>
  </si>
  <si>
    <t>Specifické ukazatele - příjmy</t>
  </si>
  <si>
    <t>Daňové příjmy</t>
  </si>
  <si>
    <t>7110</t>
  </si>
  <si>
    <t>Příjmy z pojistného na sociální zabezpečení a příspěvku na státní politiku zaměstnanosti</t>
  </si>
  <si>
    <t>7120</t>
  </si>
  <si>
    <t>v tom: pojistné na důchodové pojištění</t>
  </si>
  <si>
    <t>7121</t>
  </si>
  <si>
    <t>7122</t>
  </si>
  <si>
    <t>7130</t>
  </si>
  <si>
    <t>7132</t>
  </si>
  <si>
    <t>příjmy z prostředků finančních mechanismů</t>
  </si>
  <si>
    <t>7135</t>
  </si>
  <si>
    <t>0,00</t>
  </si>
  <si>
    <t>7136</t>
  </si>
  <si>
    <t>Specifické ukazatele - výdaje</t>
  </si>
  <si>
    <t>Výdaje Policie ČR</t>
  </si>
  <si>
    <t>7201</t>
  </si>
  <si>
    <t>Výdaje Hasičského záchranného sboru ČR</t>
  </si>
  <si>
    <t>7202</t>
  </si>
  <si>
    <t>Výdaje na zabezpečení plnění úkolů Ministerstva vnitra</t>
  </si>
  <si>
    <t>7203</t>
  </si>
  <si>
    <t>7204</t>
  </si>
  <si>
    <t>7205</t>
  </si>
  <si>
    <t>Výdaje na sportovní reprezentaci</t>
  </si>
  <si>
    <t>7206</t>
  </si>
  <si>
    <t>Dávky důchodového pojištění</t>
  </si>
  <si>
    <t>7207</t>
  </si>
  <si>
    <t>Ostatní sociální dávky</t>
  </si>
  <si>
    <t>7208</t>
  </si>
  <si>
    <t>Průřezové ukazatele</t>
  </si>
  <si>
    <t>Platy zaměstnanců a ostatní platby za provedenou práci</t>
  </si>
  <si>
    <t>7310</t>
  </si>
  <si>
    <t>Povinné pojistné placené zaměstnavatelem</t>
  </si>
  <si>
    <t>7320</t>
  </si>
  <si>
    <t>Převod fondu kulturních a sociálních potřeb</t>
  </si>
  <si>
    <t>7330</t>
  </si>
  <si>
    <t>7342</t>
  </si>
  <si>
    <t>Platy zaměstnanců v pracovním poměru</t>
  </si>
  <si>
    <t>7349</t>
  </si>
  <si>
    <t>7350</t>
  </si>
  <si>
    <t>v tom: ze státního rozpočtu celkem</t>
  </si>
  <si>
    <t>7351</t>
  </si>
  <si>
    <t>7352</t>
  </si>
  <si>
    <t>7353</t>
  </si>
  <si>
    <t>7354</t>
  </si>
  <si>
    <t>7371</t>
  </si>
  <si>
    <t>Účelová podpora na specifický vysokoškolský výzkum</t>
  </si>
  <si>
    <t>7372</t>
  </si>
  <si>
    <t>7373</t>
  </si>
  <si>
    <t>Institucionální podpora na mezinárodní spolupráci ČR ve výzkumu a vývoji</t>
  </si>
  <si>
    <t>7374</t>
  </si>
  <si>
    <t>Zahraniční rozvojová spolupráce</t>
  </si>
  <si>
    <t>7391</t>
  </si>
  <si>
    <t>Program sociální prevence a prevence kriminality</t>
  </si>
  <si>
    <t>7392</t>
  </si>
  <si>
    <t>Podpora projektů integrace příslušníků romské komunity</t>
  </si>
  <si>
    <t>7394</t>
  </si>
  <si>
    <t>Zajištění přípravy na krizové situace podle zákona č. 240/2000 Sb.</t>
  </si>
  <si>
    <t>7395</t>
  </si>
  <si>
    <t>7430</t>
  </si>
  <si>
    <t>v tom: ze státního rozpočtu</t>
  </si>
  <si>
    <t>7431</t>
  </si>
  <si>
    <t>7432</t>
  </si>
  <si>
    <t>7450</t>
  </si>
  <si>
    <t>7451</t>
  </si>
  <si>
    <t>7452</t>
  </si>
  <si>
    <t>7510</t>
  </si>
  <si>
    <t>Výdaje na programy spolufinancované z rozpočtu EU - IOP a OP LZZ celkem</t>
  </si>
  <si>
    <t xml:space="preserve">Schválený rozpočet
v tis. Kč 
</t>
  </si>
  <si>
    <t xml:space="preserve">Rozpočet po změnách
v tis. Kč 
</t>
  </si>
  <si>
    <t xml:space="preserve">Výsledek 
od poč. roku
v tis. Kč 
</t>
  </si>
  <si>
    <t>Nedaňové příjmy, kapitálové příjmy a přijaté transfery celkem</t>
  </si>
  <si>
    <t>v tom: příjmy z rozpočtu Evropské unie bez společné zemědělské politiky</t>
  </si>
  <si>
    <t>pojistné na nemocenské pojištění a příspěvek na státní politiku zaměstnanosti</t>
  </si>
  <si>
    <t>ostatní nedaňové příjmy, kapitálové příjmy a přijaté transfery celkem</t>
  </si>
  <si>
    <t>Výdaje na zabezpečení činností ostatních organizačních složek státu v působnosti MV</t>
  </si>
  <si>
    <t>Platy zaměstnanců ozbrojených sborů a složek ve služebním poměru</t>
  </si>
  <si>
    <t>Výdaje na výzkum, vývoj a inovace celkem včetně programů spolufinancovaných z prostředků zahraničních programů</t>
  </si>
  <si>
    <t xml:space="preserve">           v tom: institucionální podpora celkem</t>
  </si>
  <si>
    <t xml:space="preserve">                       účelová podpora celkem</t>
  </si>
  <si>
    <t>Institucionální podpora výzkumných organizací podle zhodnocení jim dosažených výsledků</t>
  </si>
  <si>
    <t xml:space="preserve">           podíl rozpočtu Evropské unie</t>
  </si>
  <si>
    <t xml:space="preserve">            podíl prostředků finančních mech.</t>
  </si>
  <si>
    <t xml:space="preserve">          podíl prostředků zahraničních programů</t>
  </si>
  <si>
    <t>Výdaje na společné projekty, které jsou zčásti financovány z prostředků finančních mechanismů</t>
  </si>
  <si>
    <t>zvláštní soubor</t>
  </si>
  <si>
    <t>Plnění ukazatelů výdajů státního rozpočtu na financování programů reprodukce majetku v roce 2013</t>
  </si>
  <si>
    <t xml:space="preserve">   z toho: Pojistné na SZ, přísp. na politiku zaměstnanosti, 
              veřejné zdravotní pojištění a ostatní povinné 
              pojistné placené zaměstnavatelem   </t>
  </si>
  <si>
    <t xml:space="preserve"> Výdaje související s neinvestičními nákupy, příspěvky, 
 náhrady a věcné dary</t>
  </si>
  <si>
    <t xml:space="preserve"> Neinvestiční transfery veřejnoprávním subjektům a
 mezi peněžními fondy téhož subjektu</t>
  </si>
  <si>
    <r>
      <t xml:space="preserve">Bilance příjmů a výdajů státního rozpočtu
 </t>
    </r>
    <r>
      <rPr>
        <b/>
        <sz val="11"/>
        <rFont val="Arial CE"/>
        <family val="2"/>
      </rPr>
      <t>v druhovém členění rozpočtové skladby</t>
    </r>
  </si>
  <si>
    <r>
      <t xml:space="preserve"> DAŇOVÉ PŘÍJMY CELKEM</t>
    </r>
    <r>
      <rPr>
        <b/>
        <sz val="9"/>
        <rFont val="Arial CE"/>
        <family val="2"/>
      </rPr>
      <t xml:space="preserve">
 </t>
    </r>
    <r>
      <rPr>
        <sz val="9"/>
        <rFont val="Arial CE"/>
        <family val="2"/>
      </rPr>
      <t xml:space="preserve">(daně, poplatky, pojistné) </t>
    </r>
  </si>
  <si>
    <r>
      <t xml:space="preserve"> </t>
    </r>
    <r>
      <rPr>
        <sz val="9"/>
        <rFont val="Arial CE"/>
        <family val="2"/>
      </rPr>
      <t xml:space="preserve">Z daňových příjmů celkem: </t>
    </r>
    <r>
      <rPr>
        <b/>
        <sz val="9"/>
        <rFont val="Arial CE"/>
        <family val="2"/>
      </rPr>
      <t xml:space="preserve">
 příjmy z daní a poplatků </t>
    </r>
  </si>
  <si>
    <r>
      <t xml:space="preserve"> Splátky půjčených prostředků od veřejných rozpočtů 
 </t>
    </r>
    <r>
      <rPr>
        <b/>
        <sz val="8"/>
        <rFont val="Arial CE"/>
        <family val="2"/>
      </rPr>
      <t>ústřední úrovně</t>
    </r>
  </si>
  <si>
    <r>
      <t xml:space="preserve"> Splátky půjčených prostředků od veřejných rozpočtů 
 </t>
    </r>
    <r>
      <rPr>
        <b/>
        <sz val="8"/>
        <rFont val="Arial CE"/>
        <family val="2"/>
      </rPr>
      <t>územní úrovně</t>
    </r>
    <r>
      <rPr>
        <sz val="8"/>
        <rFont val="Arial CE"/>
        <family val="2"/>
      </rPr>
      <t xml:space="preserve"> </t>
    </r>
  </si>
  <si>
    <r>
      <t xml:space="preserve"> Příjmy z prodeje dlouhodobého majetku (kromě drobného)  </t>
    </r>
    <r>
      <rPr>
        <sz val="8"/>
        <color indexed="11"/>
        <rFont val="Arial CE"/>
        <family val="2"/>
      </rPr>
      <t xml:space="preserve">  </t>
    </r>
  </si>
  <si>
    <r>
      <t xml:space="preserve"> Ostatní kapitálové příjmy  </t>
    </r>
    <r>
      <rPr>
        <sz val="8"/>
        <color indexed="11"/>
        <rFont val="Arial CE"/>
        <family val="2"/>
      </rPr>
      <t xml:space="preserve">  </t>
    </r>
  </si>
  <si>
    <r>
      <t xml:space="preserve"> Povinné pojistné placené zaměstnavatelem</t>
    </r>
    <r>
      <rPr>
        <vertAlign val="superscript"/>
        <sz val="8"/>
        <rFont val="Arial CE"/>
        <family val="2"/>
      </rPr>
      <t xml:space="preserve"> 4)  </t>
    </r>
    <r>
      <rPr>
        <sz val="8"/>
        <rFont val="Arial CE"/>
        <family val="2"/>
      </rPr>
      <t xml:space="preserve"> </t>
    </r>
  </si>
  <si>
    <r>
      <t xml:space="preserve"> Neinvestiční transfery veřejným rozpočtům
</t>
    </r>
    <r>
      <rPr>
        <b/>
        <sz val="8"/>
        <rFont val="Arial CE"/>
        <family val="2"/>
      </rPr>
      <t xml:space="preserve"> ústřední úrovně</t>
    </r>
  </si>
  <si>
    <r>
      <t xml:space="preserve">                Neinvestiční transfery fondům sociálního
                a veřejného zdravotního pojištění  </t>
    </r>
    <r>
      <rPr>
        <sz val="8"/>
        <color indexed="11"/>
        <rFont val="Arial CE"/>
        <family val="2"/>
      </rPr>
      <t xml:space="preserve"> </t>
    </r>
  </si>
  <si>
    <r>
      <t xml:space="preserve"> Neinvestiční transfery veřejným rozpočtům
 </t>
    </r>
    <r>
      <rPr>
        <b/>
        <sz val="8"/>
        <rFont val="Arial CE"/>
        <family val="2"/>
      </rPr>
      <t>územní úrovně</t>
    </r>
  </si>
  <si>
    <r>
      <t xml:space="preserve"> Neinvestiční transfery</t>
    </r>
    <r>
      <rPr>
        <b/>
        <sz val="8"/>
        <rFont val="Arial CE"/>
        <family val="2"/>
      </rPr>
      <t xml:space="preserve"> </t>
    </r>
    <r>
      <rPr>
        <sz val="8"/>
        <rFont val="Arial CE"/>
        <family val="2"/>
      </rPr>
      <t>příspěvkovým</t>
    </r>
    <r>
      <rPr>
        <b/>
        <sz val="8"/>
        <rFont val="Arial CE"/>
        <family val="2"/>
      </rPr>
      <t xml:space="preserve">
</t>
    </r>
    <r>
      <rPr>
        <sz val="8"/>
        <rFont val="Arial CE"/>
        <family val="2"/>
      </rPr>
      <t xml:space="preserve"> a podobným organizacím</t>
    </r>
  </si>
  <si>
    <r>
      <t xml:space="preserve"> Investiční transfery veřejným rozpočtům 
</t>
    </r>
    <r>
      <rPr>
        <b/>
        <sz val="8"/>
        <rFont val="Arial CE"/>
        <family val="2"/>
      </rPr>
      <t xml:space="preserve"> ústřední úrovně  </t>
    </r>
    <r>
      <rPr>
        <b/>
        <sz val="8"/>
        <color indexed="11"/>
        <rFont val="Arial CE"/>
        <family val="2"/>
      </rPr>
      <t xml:space="preserve"> </t>
    </r>
  </si>
  <si>
    <r>
      <t xml:space="preserve"> Investiční transfery veřejným rozpočtům
 </t>
    </r>
    <r>
      <rPr>
        <b/>
        <sz val="8"/>
        <rFont val="Arial CE"/>
        <family val="2"/>
      </rPr>
      <t>územní úrovně</t>
    </r>
  </si>
  <si>
    <t>Tabulka č. 13/A</t>
  </si>
  <si>
    <t>Tabulka č. 13/B</t>
  </si>
  <si>
    <t>VÝDAJE KAPITOLY NA FINANCOVÁNÍ SPOLEČNÝCH PROGRAMŮ/PROJEKTŮ ČESKÉ REPUBLIKY, EVROPSKÉ UNIE A FINANČNÍCH MECHANISMŮ</t>
  </si>
  <si>
    <t>Výdaje kapitoly na financování společných programů EU a ČR ze státního rozpočtu v roce 2013</t>
  </si>
  <si>
    <t>(bez Společné zemědělské politiky)</t>
  </si>
  <si>
    <t>tis. Kč</t>
  </si>
  <si>
    <t xml:space="preserve">Program </t>
  </si>
  <si>
    <t>Státní rozpočet</t>
  </si>
  <si>
    <t>Skutečnost k 31.12.2013</t>
  </si>
  <si>
    <t>% plnění</t>
  </si>
  <si>
    <t xml:space="preserve">spolufinan-cování ČR ze SR </t>
  </si>
  <si>
    <t>kryto příjmem z rozpočtu EU</t>
  </si>
  <si>
    <t>celkem</t>
  </si>
  <si>
    <t>slovy</t>
  </si>
  <si>
    <t>13=10:4</t>
  </si>
  <si>
    <t>14=11:5</t>
  </si>
  <si>
    <t>15=12:6</t>
  </si>
  <si>
    <t>programové období 2004-2006</t>
  </si>
  <si>
    <t>OP</t>
  </si>
  <si>
    <t>OP/FS celkem</t>
  </si>
  <si>
    <t>Ostatní (vypsat)</t>
  </si>
  <si>
    <t xml:space="preserve">C e l k e m   </t>
  </si>
  <si>
    <t>programové období 2007-2013</t>
  </si>
  <si>
    <t>OP Lidské zdroje a zaměstnanost</t>
  </si>
  <si>
    <t>Integrovaný operační program</t>
  </si>
  <si>
    <t>OP Vzdělávání pro konkurenceschopnost</t>
  </si>
  <si>
    <t>OP Přeshraniční spolupráce</t>
  </si>
  <si>
    <t>OP Životní prostředí</t>
  </si>
  <si>
    <t>Obecný program Solidarita a řízení migračních toků</t>
  </si>
  <si>
    <t>Ostatní komunitární programy</t>
  </si>
  <si>
    <t>Komunitární programy celkem</t>
  </si>
  <si>
    <t>TAIEX</t>
  </si>
  <si>
    <t>Ostatní (Evropská migrační síť)</t>
  </si>
  <si>
    <t>programové období 2014-20yy</t>
  </si>
  <si>
    <t>Komunitární program (vypsat)</t>
  </si>
  <si>
    <t xml:space="preserve">Ú h r n e m </t>
  </si>
  <si>
    <t>Nástroj</t>
  </si>
  <si>
    <t>Nároky z nespotřebovaných výdajů</t>
  </si>
  <si>
    <t>k 31.12.2013</t>
  </si>
  <si>
    <t>z let 2008 až 2013</t>
  </si>
  <si>
    <t>kód</t>
  </si>
  <si>
    <t>obecný program Solidarita a řízení migračních toků</t>
  </si>
  <si>
    <t>programové období 2014-20xx</t>
  </si>
  <si>
    <t>Výdaje kapitoly na financování společných projektů ČR a donorských zemí v rámci finančních mechanismů v roce 2013</t>
  </si>
  <si>
    <t>Finanční mechanismus</t>
  </si>
  <si>
    <t>kryto příjmem z rozpočtu donorských zemí FM</t>
  </si>
  <si>
    <t>EHP/Norsko</t>
  </si>
  <si>
    <t>Program švýcarsko-české spolupráce</t>
  </si>
  <si>
    <t>v tis. Kč</t>
  </si>
  <si>
    <t>přímé platby</t>
  </si>
  <si>
    <t>Program rozvoje venkova</t>
  </si>
  <si>
    <t>Společná organizace trhu</t>
  </si>
  <si>
    <t>Období: 2013</t>
  </si>
  <si>
    <t>Příjmy do rozpočtu kapitoly z rozpočtu EU na financování společných programů EU a ČR  v roce 2013 (bez Společné zemědělské politiky)</t>
  </si>
  <si>
    <t>Název programu (nástroj slovy)</t>
  </si>
  <si>
    <t xml:space="preserve">z toho </t>
  </si>
  <si>
    <t>mimorozpočtové zdroje</t>
  </si>
  <si>
    <t>příjem prostředků podle § 25 odst. 1 písm. c) zákona č. 218/2000 Sb., ve znění pozdějších předpisů</t>
  </si>
  <si>
    <t>KP Solidarita a řízení migračních toků</t>
  </si>
  <si>
    <t>Evropská migrační síť</t>
  </si>
  <si>
    <t xml:space="preserve">    Ú h r n e m</t>
  </si>
  <si>
    <t>z toho:</t>
  </si>
  <si>
    <t>Operační programy/FS progr.obd.2004-2006</t>
  </si>
  <si>
    <t>Operační programy progr.obd. 2007-2013</t>
  </si>
  <si>
    <t>programy progr.obd. 2014-20yy</t>
  </si>
  <si>
    <t>SLZ PP ČR</t>
  </si>
  <si>
    <t>VPŠ a SPŠ MV Holešov</t>
  </si>
  <si>
    <t>Vypracovala: S. Vondráčková, tel.: 974 849 731</t>
  </si>
  <si>
    <t>Kontroloval: Ing. Hudera, tel.: 974 849 802</t>
  </si>
  <si>
    <t>KŘ P ČR</t>
  </si>
  <si>
    <t>Vvpracovala: S. Vondráčková, tel.: 974 849 731</t>
  </si>
  <si>
    <t>Vypracovala:Ing. Bočanová, tel.: 974 849 815</t>
  </si>
  <si>
    <t>Kontrolovala: Ing. Mikulová, tel.: 974 849 327</t>
  </si>
  <si>
    <t>Vypracovala: Landsingerová, tel.: 974 849 237</t>
  </si>
  <si>
    <t xml:space="preserve">Vypracovala: Landsingerová, tel.: 974 849 237         Kontroloval: Ing. Hudera, tel.: 974 849 802        Datum: 18. února 2014                </t>
  </si>
  <si>
    <t>Kontrolovala:</t>
  </si>
  <si>
    <t>Vypracoval: Ing. Kociánová, tel.: 974 849 209, Ing. Randula, tel.: 974 849 817, Mgr. Ledvinková, tel.: 974 849 805</t>
  </si>
  <si>
    <t>Vypracovala: Ing. Hradecká, tel.: 974 849 808</t>
  </si>
  <si>
    <t>Ing. Konířová, tel.: 974 849 393</t>
  </si>
  <si>
    <t>Vypracoval: Ing. Randula, tel.: 974 849 817</t>
  </si>
  <si>
    <t>Kontrolovala: Ing. Konířová, tel.: 974 849 393</t>
  </si>
  <si>
    <t>CRZ (FM)</t>
  </si>
  <si>
    <t>GŘ HZS ČR</t>
  </si>
  <si>
    <t>HZS kraje + ZÚ HZS ČR</t>
  </si>
  <si>
    <r>
      <t>Skutečnost za rok 2013</t>
    </r>
    <r>
      <rPr>
        <b/>
        <vertAlign val="superscript"/>
        <sz val="11"/>
        <rFont val="Arial CE"/>
        <family val="0"/>
      </rPr>
      <t xml:space="preserve"> </t>
    </r>
  </si>
  <si>
    <t>Transition Facility celkem</t>
  </si>
  <si>
    <t>Ostatní celkem</t>
  </si>
  <si>
    <t>Příjmy do rozpočtu kapitoly z rozpočtu EU na Společnou zemědělskou politiku</t>
  </si>
  <si>
    <t>název (nástroj slovy)</t>
  </si>
  <si>
    <t>6=(3-5):2</t>
  </si>
  <si>
    <t>Horizontální plán rozvoje venkova</t>
  </si>
  <si>
    <t xml:space="preserve">Celkem </t>
  </si>
  <si>
    <t xml:space="preserve">   Ú h r n em </t>
  </si>
  <si>
    <t>Příjmy do rozpočtu kapitoly z finančních mechanismů</t>
  </si>
  <si>
    <t>Finanční mechnismy (název)</t>
  </si>
  <si>
    <t>Ú h r n e m</t>
  </si>
  <si>
    <t xml:space="preserve">Tabulka č. 8 </t>
  </si>
  <si>
    <t>List č. 1</t>
  </si>
  <si>
    <t>List č. 2</t>
  </si>
  <si>
    <t>Schválený rozpočet na rok 2013</t>
  </si>
  <si>
    <t>Rozpočet 2013 po změnách podle § 23 odstavec 1 písm. a)</t>
  </si>
  <si>
    <t>Změny rozpočtu 2013 podle § 23 odstavec 1 písm. b)</t>
  </si>
  <si>
    <t>Změny rozpočtu 2013 podle § 23 odstavec 1 písm. c)</t>
  </si>
  <si>
    <t>Čerpání nároku na použití úspor z minulých let podle § 47 rozpočtových pravidel</t>
  </si>
  <si>
    <t>Čerpání v dalších případech překročení povoleného MF</t>
  </si>
  <si>
    <t>Čerpání prostředků na</t>
  </si>
  <si>
    <t>Čerpání mimorozpočtových zdrojů</t>
  </si>
  <si>
    <t>Čerpání prostředků vyčleněných z limitů regulace zaměstnanosti včetně souvisejícího počtu zaměstnanců</t>
  </si>
  <si>
    <t>Prostředky</t>
  </si>
  <si>
    <t xml:space="preserve"> z toho:</t>
  </si>
  <si>
    <t>podporu</t>
  </si>
  <si>
    <t>Zůstatek</t>
  </si>
  <si>
    <t xml:space="preserve">na platy </t>
  </si>
  <si>
    <t xml:space="preserve">Ostatní platby </t>
  </si>
  <si>
    <t>Počet</t>
  </si>
  <si>
    <t>Průměr.</t>
  </si>
  <si>
    <t>vědy</t>
  </si>
  <si>
    <t>fondu</t>
  </si>
  <si>
    <t>a ostatní platby</t>
  </si>
  <si>
    <t xml:space="preserve">za provedenou </t>
  </si>
  <si>
    <t>na platy</t>
  </si>
  <si>
    <t>zaměst-</t>
  </si>
  <si>
    <t>plat</t>
  </si>
  <si>
    <t>zam. v</t>
  </si>
  <si>
    <t>přepočt.</t>
  </si>
  <si>
    <t>a</t>
  </si>
  <si>
    <t>odměn</t>
  </si>
  <si>
    <t>za provedenou</t>
  </si>
  <si>
    <t>práci</t>
  </si>
  <si>
    <t>nanců</t>
  </si>
  <si>
    <t>ročním</t>
  </si>
  <si>
    <t>počet</t>
  </si>
  <si>
    <t>výzkumu</t>
  </si>
  <si>
    <t>k 31.12.</t>
  </si>
  <si>
    <t>práci v Kč</t>
  </si>
  <si>
    <t>v Kč</t>
  </si>
  <si>
    <t>průměru</t>
  </si>
  <si>
    <t>zaměst.</t>
  </si>
  <si>
    <t>I.  Organizační složky státu</t>
  </si>
  <si>
    <t xml:space="preserve">      c e l k e m</t>
  </si>
  <si>
    <t xml:space="preserve">        z toho:</t>
  </si>
  <si>
    <t xml:space="preserve">        prostředky na vědu a výzkum</t>
  </si>
  <si>
    <t xml:space="preserve">        prostředky na platy příslušníků a vojáků</t>
  </si>
  <si>
    <t xml:space="preserve">    v tom:</t>
  </si>
  <si>
    <t xml:space="preserve">  a) státní správa celkem</t>
  </si>
  <si>
    <t xml:space="preserve">        v tom:</t>
  </si>
  <si>
    <t xml:space="preserve">    Tabulka č. 4 strana 1</t>
  </si>
  <si>
    <t>Přehled výdajů státního rozpočtu na podporu výzkumu a vývoje</t>
  </si>
  <si>
    <t xml:space="preserve"> A. Přehled účelových výdajů na podporu výzkumu a vývoje v roce 2013  </t>
  </si>
  <si>
    <t xml:space="preserve"> z toho čerpáno</t>
  </si>
  <si>
    <t xml:space="preserve">z toho nároky </t>
  </si>
  <si>
    <t>řádek</t>
  </si>
  <si>
    <t>Organizace</t>
  </si>
  <si>
    <t>po změnách 2013</t>
  </si>
  <si>
    <t xml:space="preserve"> k 31.12.2013</t>
  </si>
  <si>
    <t>z rezervního fondu</t>
  </si>
  <si>
    <t>z předchozích let</t>
  </si>
  <si>
    <t>běžné</t>
  </si>
  <si>
    <t>kapitálové</t>
  </si>
  <si>
    <t>výdaje</t>
  </si>
  <si>
    <t>1.</t>
  </si>
  <si>
    <t>Státní organizace :    celkem</t>
  </si>
  <si>
    <t>1.1.</t>
  </si>
  <si>
    <t xml:space="preserve">v tom: </t>
  </si>
  <si>
    <t xml:space="preserve"> OSS</t>
  </si>
  <si>
    <t xml:space="preserve"> 1.2.</t>
  </si>
  <si>
    <t xml:space="preserve"> PO</t>
  </si>
  <si>
    <t>1.3.</t>
  </si>
  <si>
    <t xml:space="preserve"> PO )*</t>
  </si>
  <si>
    <t>2.</t>
  </si>
  <si>
    <t>OS a PO v působnosti ÚSC:celkem</t>
  </si>
  <si>
    <t>2.1.</t>
  </si>
  <si>
    <t xml:space="preserve"> OS</t>
  </si>
  <si>
    <t>2.2.</t>
  </si>
  <si>
    <t>3.</t>
  </si>
  <si>
    <t xml:space="preserve">Vysoké školy:           celkem          </t>
  </si>
  <si>
    <t>4.</t>
  </si>
  <si>
    <t>Veřejné výzkumné instituce</t>
  </si>
  <si>
    <t>5.</t>
  </si>
  <si>
    <t>Ostatní subjekty :      celkem</t>
  </si>
  <si>
    <t>5.1.</t>
  </si>
  <si>
    <t>v tom:  podnikatelské subjekty</t>
  </si>
  <si>
    <t>5.2.</t>
  </si>
  <si>
    <t xml:space="preserve">           neziskové apod.organizace</t>
  </si>
  <si>
    <t>6.</t>
  </si>
  <si>
    <t>Související výdaje</t>
  </si>
  <si>
    <t>7.</t>
  </si>
  <si>
    <t>Účelové výdaje celkem</t>
  </si>
  <si>
    <t>platy</t>
  </si>
  <si>
    <t>X</t>
  </si>
  <si>
    <t>OPPP</t>
  </si>
  <si>
    <t>povinné pojistné</t>
  </si>
  <si>
    <t>FKSP</t>
  </si>
  <si>
    <t>Vysvětlivky k tabulce A:</t>
  </si>
  <si>
    <t xml:space="preserve">řádek 1:  státní organizace = zřizovatelem je stát  </t>
  </si>
  <si>
    <t xml:space="preserve">řádek 1.3 )*:  PO  jiných zřizovatelů (státních) </t>
  </si>
  <si>
    <t>řádek 2:   organizační složky a příspěvkové organizace zřizované územními samosprávnými celky ve smyslu ust. § 23 zákona č. 250/2000 Sb. v platném znění</t>
  </si>
  <si>
    <t xml:space="preserve">řádek 3:   veřejné vysoké školy, vojenské a policejní vysoké školy, soukromé vysoké školy </t>
  </si>
  <si>
    <t xml:space="preserve">                bez ohledu na právní formu (o tyto údaje budou nižší ostatní uvedené právní formy)</t>
  </si>
  <si>
    <t>řádek 4: zákon č.341/2005 Sb., o veřejných výzkumných institucích</t>
  </si>
  <si>
    <t xml:space="preserve">řádek 6: náklady na zabezpečení veřejné soutěže apod., podle § 3 odst.2 zákona č. 130/2002 Sb. </t>
  </si>
  <si>
    <t>řádek 5.2.: podle podseskupení položek platné rozpočtové skladby</t>
  </si>
  <si>
    <t xml:space="preserve">    Tabulka č. 4 strana 2</t>
  </si>
  <si>
    <t xml:space="preserve"> B. Přehled institucionálních výdajů na výzkum a vývoj v roce 2013</t>
  </si>
  <si>
    <t>OSS</t>
  </si>
  <si>
    <t>PO</t>
  </si>
  <si>
    <t>OS a PO v působnosti ÚSC</t>
  </si>
  <si>
    <t>Vysoké školy</t>
  </si>
  <si>
    <t>Podnikatelské subjekty</t>
  </si>
  <si>
    <t xml:space="preserve">Neziskové a podobné organizace </t>
  </si>
  <si>
    <t>8.</t>
  </si>
  <si>
    <t>9.</t>
  </si>
  <si>
    <t>Institucionální výdaje celkem</t>
  </si>
  <si>
    <t xml:space="preserve">     C. Přehled výdajů na výzkum a vývoj na programy spolufinancované z prostředků ze zahraničních programů v roce 2013                  </t>
  </si>
  <si>
    <t>výdaje na zahraniční programy celkem</t>
  </si>
  <si>
    <t>1.a.</t>
  </si>
  <si>
    <t>ze státního rozpočtu</t>
  </si>
  <si>
    <t>1.b.</t>
  </si>
  <si>
    <t>kryté příjmy ze zahraničních programů</t>
  </si>
  <si>
    <t>výdaje na zahraniční programy celkem (EU)</t>
  </si>
  <si>
    <t>1.1.a.</t>
  </si>
  <si>
    <t>1.1.b.</t>
  </si>
  <si>
    <t>1.2.</t>
  </si>
  <si>
    <t>1.2.a.</t>
  </si>
  <si>
    <t>1.2.b.</t>
  </si>
  <si>
    <t xml:space="preserve">    Tabulka č. 4 strana 3</t>
  </si>
  <si>
    <t xml:space="preserve">     D. Přehled výdajů na výzkum a vývoj celkem, včetně programů spolufinancovaných z prostředků zahraničních programů, v roce 2013                </t>
  </si>
  <si>
    <t>výdaje na výzkum a vývoje celkem včetně zahraničních programů</t>
  </si>
  <si>
    <t>státní rozpočet (A.7.+ B.9.)</t>
  </si>
  <si>
    <t xml:space="preserve">kryté příjmy ze zahraničních programů      ( = C.1.b.) </t>
  </si>
  <si>
    <t xml:space="preserve">E. Přehled prostředků na výzkum a vývoj převedených do rezervního fondu a stav vzniklých nároků    </t>
  </si>
  <si>
    <t>Stav RF</t>
  </si>
  <si>
    <t>Nároky</t>
  </si>
  <si>
    <t xml:space="preserve">Nároky </t>
  </si>
  <si>
    <t>k 1.1.2013</t>
  </si>
  <si>
    <t>k 1.1.2014</t>
  </si>
  <si>
    <t xml:space="preserve">Účelové prostředky </t>
  </si>
  <si>
    <t>Institucionální prostředky</t>
  </si>
  <si>
    <t xml:space="preserve">    z toho spolufinancování</t>
  </si>
  <si>
    <t xml:space="preserve">kryté příjmy ze zahraničních programů </t>
  </si>
  <si>
    <t>1.+2.+3.</t>
  </si>
  <si>
    <t>Celkem</t>
  </si>
  <si>
    <t>Vysvětlivky k tabulce B :</t>
  </si>
  <si>
    <t>řádek 1 a 2 : státní organizace</t>
  </si>
  <si>
    <t xml:space="preserve">řádek 3: organizační složky a příspěvkové organizace zřizované územními samosprávnými celky ve smyslu ust. § 23 zákona č. 250/2000 Sb. </t>
  </si>
  <si>
    <t>řádek 4: veřejné vysoké školy, vojenské a policejní vysoké školy, soukromé vysoké školy bez ohledu na právní formu (o tyto údaje budou nižší ostatní uvedené právní formy)</t>
  </si>
  <si>
    <t>řádek 5: zákon č. 341/2005 Sb., o veřejných výzkumných institucích</t>
  </si>
  <si>
    <t xml:space="preserve">řádek 8: náklady na zabezpečení veřejné soutěže apod., podle § 3 odst.3 zákona č. 130/2002 Sb. </t>
  </si>
  <si>
    <t>Vysvětlivky k tabulce C:</t>
  </si>
  <si>
    <t>Jednotlivé kategorie zahraničních programů budou uvedeny jak je člení zákon o státním rozpočtu, lze přidat podřádky, např. 1.3., 1.4.</t>
  </si>
  <si>
    <t xml:space="preserve">    U příspěvkových organizací se ve sloupcích ostatní platby za provedenou práci se uvedou ostatní osobní náklady.</t>
  </si>
  <si>
    <t>průměrný měsíční plat       v Kč</t>
  </si>
  <si>
    <t>Na řádcích "ze státního rozpočtu" bude uvedeno spolufinancování jednotlivých kategorií zahraničních programů zahrnuté v institucionálních výdajích.</t>
  </si>
  <si>
    <t>Na řádcích "kryté příjmy ze zahraničních programů" bude uvedena výše předfinancování  (i v tabulkách D. a E.)</t>
  </si>
  <si>
    <t>Vysvětlivky k tabulce E :</t>
  </si>
  <si>
    <t xml:space="preserve">V případě, že má kapitola více kategorií zahraničních programů, bude řádek 3 rozdělen podle nich. </t>
  </si>
  <si>
    <t>řádek 2.1. - bude uvedeno spolufinancování ze státního rozpočtu k zahraničním programům uvedeným na řádku 3.</t>
  </si>
  <si>
    <t xml:space="preserve">Údaje v přehledech  musí odpovídat příslušným údajům v účetních a finančních výkazech a budou doloženy podrobným komentářem </t>
  </si>
  <si>
    <r>
      <t xml:space="preserve">      v</t>
    </r>
    <r>
      <rPr>
        <sz val="9"/>
        <rFont val="Arial CE"/>
        <family val="0"/>
      </rPr>
      <t>ýdaje na zahraniční programy celkem (EHP Norsko)</t>
    </r>
  </si>
  <si>
    <t xml:space="preserve">       ústřední orgán státní správy</t>
  </si>
  <si>
    <t xml:space="preserve">       Složky ministerstva vnitra</t>
  </si>
  <si>
    <t xml:space="preserve">       jednotlivé OSS - státní správa</t>
  </si>
  <si>
    <t xml:space="preserve">      OSS - státní správa celkem</t>
  </si>
  <si>
    <t xml:space="preserve">        Policie ČR celkem</t>
  </si>
  <si>
    <t xml:space="preserve">        Hasičský záchranný sbor ČR celkem</t>
  </si>
  <si>
    <t xml:space="preserve">       jednotlivé SOBCPO celkem</t>
  </si>
  <si>
    <t xml:space="preserve">       SOBCPO celkem</t>
  </si>
  <si>
    <t xml:space="preserve">  b) ostatní organiz. složky státu</t>
  </si>
  <si>
    <t>II.  Příspěvkové organizace</t>
  </si>
  <si>
    <t xml:space="preserve">     z toho:</t>
  </si>
  <si>
    <t>OPŘO</t>
  </si>
  <si>
    <t>Regionální školství územních celků</t>
  </si>
  <si>
    <t>v tom:</t>
  </si>
  <si>
    <t xml:space="preserve">   platy pedagogických pracovníků</t>
  </si>
  <si>
    <t xml:space="preserve">   platy nepedagogických pracovníků</t>
  </si>
  <si>
    <t>Regionální školství MŠMT</t>
  </si>
  <si>
    <t>Ústředně řízené</t>
  </si>
  <si>
    <t xml:space="preserve"> OSS a PO  c e l k e m</t>
  </si>
  <si>
    <t>Poznámka:</t>
  </si>
  <si>
    <t>Prostředky na platy a ostatní platby za provedenou práci organizačních složek státu a mzdové náklady příspěvkových organizací uvede správce kapitoly v Kč.</t>
  </si>
  <si>
    <t>Počet zaměstnanců, počet zaměstnanců v ročním průměru, průměrný roční přepočtený počet zaměstnanců a průměrný plat se uvede po zaokrouhlení v celých číslech (tj. bez desetinných míst).</t>
  </si>
  <si>
    <t xml:space="preserve">Ve sloupcích 6 až 8 se uvedou údaje schváleného rozpočtu upravené o rozpočtová opatření provedená podle § 23 odstavec 1 písm. a) zák. č. 218/2000 Sb., rozpočtová pravidla </t>
  </si>
  <si>
    <t xml:space="preserve">Ve sloupcích 11 až 13 se uvedou změny podle § 23 odstavec 1 písm. b)  zákona č. 218/2000 Sb., rozpočtová pravidla, nezahrnuté do rozpočtu po změnách ve sl. 6 až 9 ( tím se rozumí </t>
  </si>
  <si>
    <t xml:space="preserve">povolené překročení rozpočtu výdajů, kterým nedochází ke změně závazného ukazatele, např. evidovaný nárok na použití úspor z minulých let). </t>
  </si>
  <si>
    <t>Ve sloupcích 14 až 16 se uvede vázání prostředků státního rozpočtu v rámci rozpočtu, kterým nedochází ke změně závazného ukazatele.</t>
  </si>
  <si>
    <t xml:space="preserve">Ve sloupcích 17 až 19 se uvede skutečné čerpání všech prostředků na platy a ostatní platby za provedenou práci v roce 2013, tj. včetně použití úspor z minulých let (sl. 22 až 24), čerpání </t>
  </si>
  <si>
    <t xml:space="preserve">v dalších případech překročení povoleného MF (sl. 25 až 27), čerpání prostředků na podporu vědy a výzkumu (sl. 28), čerpání mimorozpočtových zdrojů (sl. 29 až 31) a čerpání prostředků </t>
  </si>
  <si>
    <t>vyčleněných na základě rozhodnutí vlády z limitů regulace zaměstnanosti (sl. 32 až 34).</t>
  </si>
  <si>
    <t xml:space="preserve">Ve sloupci 28 se uvede podpora na vědu a výzkum poskytnutá poskytovatelem příjemci bez provedení rozpočtového opatření podle § 10 zákona č. 130/2002 Sb.  </t>
  </si>
  <si>
    <t xml:space="preserve">SOBCPO je zkratka pro organizační složky státu ve složkách obrany, bezpečnosti, celní a právní ochrany. Jednotlivé organizační složky státu - státní správa zahrnují i skupiny složek stejného druhu. </t>
  </si>
  <si>
    <t>V řádku  "prostředky na platy přislušníků a vojáků"  se uvedou prostředky na platy rozpočtované na položce 5012.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</si>
</sst>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\o\n\th\ d\,\ \y\y\y\y"/>
    <numFmt numFmtId="165" formatCode="#,##0.00&quot; &quot;;\-#,##0.00&quot; &quot;;&quot; &quot;;&quot; &quot;\ "/>
    <numFmt numFmtId="166" formatCode="#,##0.00;\-#,##0.00;#,##0.00;@"/>
    <numFmt numFmtId="167" formatCode="#,##0&quot; 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.00&quot; &quot;"/>
    <numFmt numFmtId="172" formatCode="#,##0\ "/>
    <numFmt numFmtId="173" formatCode="#,##0.00&quot; &quot;;\-#,##0.00&quot; &quot;;&quot; 0,00&quot;;&quot; 0,00&quot;\ "/>
    <numFmt numFmtId="174" formatCode="#,###,##0"/>
    <numFmt numFmtId="175" formatCode="#,##0.0"/>
    <numFmt numFmtId="176" formatCode="#,##0.0;[Red]&quot;NELZE !&quot;"/>
    <numFmt numFmtId="177" formatCode="#,##0.00;\-\ #,##0.00"/>
    <numFmt numFmtId="178" formatCode="#,##0.0000000;\-\ #,##0.0000000"/>
    <numFmt numFmtId="179" formatCode="#,##0;\-\ #,##0"/>
    <numFmt numFmtId="180" formatCode="#,##0.00\ %"/>
    <numFmt numFmtId="181" formatCode="#,##0.00\ %;\-\ #,##0.00\ %"/>
    <numFmt numFmtId="182" formatCode="#,##0.000"/>
    <numFmt numFmtId="183" formatCode="0.0%"/>
    <numFmt numFmtId="184" formatCode="#,##0.00000000000"/>
    <numFmt numFmtId="185" formatCode="#,##0.00000"/>
  </numFmts>
  <fonts count="100">
    <font>
      <sz val="10"/>
      <name val="Arial CE"/>
      <family val="0"/>
    </font>
    <font>
      <b/>
      <sz val="12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4"/>
      <name val="Verdana"/>
      <family val="2"/>
    </font>
    <font>
      <sz val="14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 CE"/>
      <family val="0"/>
    </font>
    <font>
      <b/>
      <sz val="11"/>
      <name val="Arial CE"/>
      <family val="0"/>
    </font>
    <font>
      <sz val="12"/>
      <name val="Arial CE"/>
      <family val="2"/>
    </font>
    <font>
      <sz val="10"/>
      <color indexed="19"/>
      <name val="Arial CE"/>
      <family val="0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9"/>
      <name val="Times New Roman"/>
      <family val="0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Times New Roman CE"/>
      <family val="0"/>
    </font>
    <font>
      <sz val="8"/>
      <name val="Times New Roman CE"/>
      <family val="0"/>
    </font>
    <font>
      <b/>
      <sz val="10"/>
      <name val="Arial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9"/>
      <name val="Arial CE"/>
      <family val="2"/>
    </font>
    <font>
      <i/>
      <sz val="8"/>
      <name val="Arial CE"/>
      <family val="2"/>
    </font>
    <font>
      <b/>
      <sz val="9"/>
      <name val="Arial CE"/>
      <family val="2"/>
    </font>
    <font>
      <b/>
      <i/>
      <sz val="9"/>
      <name val="Arial CE"/>
      <family val="2"/>
    </font>
    <font>
      <vertAlign val="superscript"/>
      <sz val="8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sz val="10"/>
      <name val="Arial Unicode MS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6"/>
      <name val="Arial CE"/>
      <family val="2"/>
    </font>
    <font>
      <sz val="8"/>
      <color indexed="11"/>
      <name val="Arial CE"/>
      <family val="2"/>
    </font>
    <font>
      <b/>
      <i/>
      <sz val="8"/>
      <name val="Arial CE"/>
      <family val="2"/>
    </font>
    <font>
      <b/>
      <sz val="8"/>
      <color indexed="11"/>
      <name val="Arial CE"/>
      <family val="2"/>
    </font>
    <font>
      <b/>
      <sz val="20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sz val="11"/>
      <color indexed="10"/>
      <name val="Arial CE"/>
      <family val="0"/>
    </font>
    <font>
      <i/>
      <sz val="10"/>
      <name val="Arial CE"/>
      <family val="0"/>
    </font>
    <font>
      <b/>
      <sz val="10"/>
      <color indexed="10"/>
      <name val="Arial CE"/>
      <family val="0"/>
    </font>
    <font>
      <b/>
      <i/>
      <sz val="10"/>
      <name val="Arial CE"/>
      <family val="0"/>
    </font>
    <font>
      <b/>
      <strike/>
      <sz val="10"/>
      <name val="Arial"/>
      <family val="2"/>
    </font>
    <font>
      <sz val="14"/>
      <name val="Arial CE"/>
      <family val="0"/>
    </font>
    <font>
      <b/>
      <sz val="14"/>
      <name val="Arial"/>
      <family val="2"/>
    </font>
    <font>
      <b/>
      <i/>
      <sz val="14"/>
      <name val="Arial"/>
      <family val="2"/>
    </font>
    <font>
      <sz val="16"/>
      <name val="Arial"/>
      <family val="2"/>
    </font>
    <font>
      <sz val="8"/>
      <name val="Times New Roman"/>
      <family val="1"/>
    </font>
    <font>
      <u val="single"/>
      <sz val="9"/>
      <name val="Arial CE"/>
      <family val="2"/>
    </font>
    <font>
      <i/>
      <sz val="10"/>
      <name val="Times New Roman"/>
      <family val="1"/>
    </font>
    <font>
      <b/>
      <vertAlign val="superscript"/>
      <sz val="11"/>
      <name val="Arial CE"/>
      <family val="0"/>
    </font>
    <font>
      <vertAlign val="superscript"/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3"/>
      <name val="Arial CE"/>
      <family val="0"/>
    </font>
    <font>
      <b/>
      <sz val="13"/>
      <name val="Arial CE"/>
      <family val="0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</fills>
  <borders count="2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/>
      <right style="thin"/>
      <top style="thin"/>
      <bottom style="thin"/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thin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medium"/>
      <bottom style="hair"/>
    </border>
    <border>
      <left style="medium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medium"/>
      <right style="thin"/>
      <top style="medium"/>
      <bottom style="hair"/>
    </border>
    <border>
      <left style="medium"/>
      <right style="medium"/>
      <top>
        <color indexed="63"/>
      </top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medium"/>
      <top style="hair"/>
      <bottom style="thin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hair"/>
      <bottom style="medium"/>
    </border>
    <border>
      <left style="medium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hair"/>
      <right style="thin"/>
      <top style="medium"/>
      <bottom style="medium"/>
    </border>
    <border>
      <left style="thin"/>
      <right style="medium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 style="thin"/>
      <top style="medium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medium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medium"/>
      <top style="thin"/>
      <bottom>
        <color indexed="63"/>
      </bottom>
    </border>
    <border>
      <left style="thick"/>
      <right style="medium"/>
      <top style="thin"/>
      <bottom style="medium"/>
    </border>
    <border>
      <left>
        <color indexed="63"/>
      </left>
      <right style="thick"/>
      <top style="thin"/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 style="medium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medium"/>
      <right style="medium"/>
      <top style="medium"/>
      <bottom style="thin"/>
    </border>
    <border>
      <left style="thick"/>
      <right style="medium"/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ck"/>
      <right style="medium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/>
      <top style="medium"/>
      <bottom style="medium"/>
    </border>
    <border>
      <left style="medium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/>
      <bottom style="double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 style="thin"/>
      <right style="medium"/>
      <top/>
      <bottom style="double"/>
    </border>
    <border>
      <left style="medium"/>
      <right/>
      <top/>
      <bottom style="double"/>
    </border>
    <border>
      <left style="medium"/>
      <right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/>
      <right style="thin"/>
      <top style="double"/>
      <bottom style="hair"/>
    </border>
    <border>
      <left style="thin"/>
      <right/>
      <top style="double"/>
      <bottom style="hair"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ck"/>
      <top style="thin"/>
      <bottom>
        <color indexed="63"/>
      </bottom>
    </border>
  </borders>
  <cellStyleXfs count="2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3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3" fillId="24" borderId="0" applyNumberFormat="0" applyBorder="0" applyAlignment="0" applyProtection="0"/>
    <xf numFmtId="0" fontId="12" fillId="19" borderId="0" applyNumberFormat="0" applyBorder="0" applyAlignment="0" applyProtection="0"/>
    <xf numFmtId="0" fontId="12" fillId="25" borderId="0" applyNumberFormat="0" applyBorder="0" applyAlignment="0" applyProtection="0"/>
    <xf numFmtId="0" fontId="13" fillId="20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3" fillId="18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3" fillId="30" borderId="0" applyNumberFormat="0" applyBorder="0" applyAlignment="0" applyProtection="0"/>
    <xf numFmtId="0" fontId="39" fillId="21" borderId="0" applyNumberFormat="0" applyBorder="0" applyAlignment="0" applyProtection="0"/>
    <xf numFmtId="0" fontId="40" fillId="31" borderId="1" applyNumberFormat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167" fontId="0" fillId="0" borderId="0">
      <alignment/>
      <protection/>
    </xf>
    <xf numFmtId="0" fontId="15" fillId="0" borderId="0">
      <alignment/>
      <protection locked="0"/>
    </xf>
    <xf numFmtId="0" fontId="15" fillId="0" borderId="0">
      <alignment/>
      <protection locked="0"/>
    </xf>
    <xf numFmtId="43" fontId="0" fillId="0" borderId="0" applyFont="0" applyFill="0" applyBorder="0" applyAlignment="0" applyProtection="0"/>
    <xf numFmtId="41" fontId="7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5" fillId="0" borderId="0">
      <alignment/>
      <protection locked="0"/>
    </xf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41" fillId="0" borderId="0" applyNumberFormat="0" applyFill="0" applyBorder="0" applyAlignment="0" applyProtection="0"/>
    <xf numFmtId="0" fontId="15" fillId="0" borderId="0">
      <alignment/>
      <protection locked="0"/>
    </xf>
    <xf numFmtId="0" fontId="25" fillId="35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6" fillId="0" borderId="0">
      <alignment/>
      <protection locked="0"/>
    </xf>
    <xf numFmtId="0" fontId="16" fillId="0" borderId="0">
      <alignment/>
      <protection locked="0"/>
    </xf>
    <xf numFmtId="0" fontId="5" fillId="0" borderId="0" applyNumberFormat="0" applyFill="0" applyBorder="0" applyAlignment="0" applyProtection="0"/>
    <xf numFmtId="0" fontId="18" fillId="25" borderId="6" applyNumberFormat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45" fillId="29" borderId="1" applyNumberFormat="0" applyAlignment="0" applyProtection="0"/>
    <xf numFmtId="0" fontId="18" fillId="36" borderId="6" applyNumberFormat="0" applyAlignment="0" applyProtection="0"/>
    <xf numFmtId="0" fontId="18" fillId="36" borderId="6" applyNumberFormat="0" applyAlignment="0" applyProtection="0"/>
    <xf numFmtId="0" fontId="46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38" fillId="0" borderId="0">
      <alignment/>
      <protection/>
    </xf>
    <xf numFmtId="0" fontId="7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3" fillId="0" borderId="0">
      <alignment/>
      <protection/>
    </xf>
    <xf numFmtId="0" fontId="7" fillId="28" borderId="10" applyNumberFormat="0" applyFont="0" applyAlignment="0" applyProtection="0"/>
    <xf numFmtId="0" fontId="29" fillId="31" borderId="11" applyNumberFormat="0" applyAlignment="0" applyProtection="0"/>
    <xf numFmtId="0" fontId="15" fillId="0" borderId="0">
      <alignment/>
      <protection locked="0"/>
    </xf>
    <xf numFmtId="0" fontId="6" fillId="0" borderId="0" applyNumberFormat="0" applyFill="0" applyBorder="0" applyAlignment="0" applyProtection="0"/>
    <xf numFmtId="0" fontId="7" fillId="38" borderId="10" applyNumberFormat="0" applyFont="0" applyAlignment="0" applyProtection="0"/>
    <xf numFmtId="0" fontId="12" fillId="38" borderId="10" applyNumberFormat="0" applyFon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4" fontId="47" fillId="37" borderId="13" applyNumberFormat="0" applyProtection="0">
      <alignment vertical="center"/>
    </xf>
    <xf numFmtId="4" fontId="48" fillId="37" borderId="13" applyNumberFormat="0" applyProtection="0">
      <alignment vertical="center"/>
    </xf>
    <xf numFmtId="4" fontId="47" fillId="37" borderId="13" applyNumberFormat="0" applyProtection="0">
      <alignment horizontal="left" vertical="center" indent="1"/>
    </xf>
    <xf numFmtId="0" fontId="47" fillId="37" borderId="13" applyNumberFormat="0" applyProtection="0">
      <alignment horizontal="left" vertical="top" indent="1"/>
    </xf>
    <xf numFmtId="4" fontId="36" fillId="3" borderId="13" applyNumberFormat="0" applyProtection="0">
      <alignment horizontal="right" vertical="center"/>
    </xf>
    <xf numFmtId="4" fontId="36" fillId="9" borderId="13" applyNumberFormat="0" applyProtection="0">
      <alignment horizontal="right" vertical="center"/>
    </xf>
    <xf numFmtId="4" fontId="36" fillId="39" borderId="13" applyNumberFormat="0" applyProtection="0">
      <alignment horizontal="right" vertical="center"/>
    </xf>
    <xf numFmtId="4" fontId="36" fillId="11" borderId="13" applyNumberFormat="0" applyProtection="0">
      <alignment horizontal="right" vertical="center"/>
    </xf>
    <xf numFmtId="4" fontId="36" fillId="15" borderId="13" applyNumberFormat="0" applyProtection="0">
      <alignment horizontal="right" vertical="center"/>
    </xf>
    <xf numFmtId="4" fontId="36" fillId="40" borderId="13" applyNumberFormat="0" applyProtection="0">
      <alignment horizontal="right" vertical="center"/>
    </xf>
    <xf numFmtId="4" fontId="36" fillId="41" borderId="13" applyNumberFormat="0" applyProtection="0">
      <alignment horizontal="right" vertical="center"/>
    </xf>
    <xf numFmtId="4" fontId="36" fillId="42" borderId="13" applyNumberFormat="0" applyProtection="0">
      <alignment horizontal="right" vertical="center"/>
    </xf>
    <xf numFmtId="4" fontId="36" fillId="10" borderId="13" applyNumberFormat="0" applyProtection="0">
      <alignment horizontal="right" vertical="center"/>
    </xf>
    <xf numFmtId="4" fontId="47" fillId="43" borderId="14" applyNumberFormat="0" applyProtection="0">
      <alignment horizontal="left" vertical="center" indent="1"/>
    </xf>
    <xf numFmtId="0" fontId="11" fillId="0" borderId="0">
      <alignment/>
      <protection/>
    </xf>
    <xf numFmtId="0" fontId="10" fillId="0" borderId="0">
      <alignment horizontal="left"/>
      <protection/>
    </xf>
    <xf numFmtId="0" fontId="55" fillId="44" borderId="0">
      <alignment/>
      <protection/>
    </xf>
    <xf numFmtId="4" fontId="36" fillId="45" borderId="0" applyNumberFormat="0" applyProtection="0">
      <alignment horizontal="left" vertical="center" indent="1"/>
    </xf>
    <xf numFmtId="4" fontId="35" fillId="46" borderId="0" applyNumberFormat="0" applyProtection="0">
      <alignment horizontal="left" vertical="center" indent="1"/>
    </xf>
    <xf numFmtId="4" fontId="36" fillId="47" borderId="13" applyNumberFormat="0" applyProtection="0">
      <alignment horizontal="right" vertical="center"/>
    </xf>
    <xf numFmtId="4" fontId="36" fillId="45" borderId="0" applyNumberFormat="0" applyProtection="0">
      <alignment horizontal="left" vertical="center" indent="1"/>
    </xf>
    <xf numFmtId="4" fontId="36" fillId="47" borderId="0" applyNumberFormat="0" applyProtection="0">
      <alignment horizontal="left" vertical="center" indent="1"/>
    </xf>
    <xf numFmtId="0" fontId="7" fillId="46" borderId="13" applyNumberFormat="0" applyProtection="0">
      <alignment horizontal="left" vertical="center" indent="1"/>
    </xf>
    <xf numFmtId="0" fontId="7" fillId="46" borderId="13" applyNumberFormat="0" applyProtection="0">
      <alignment horizontal="left" vertical="top" indent="1"/>
    </xf>
    <xf numFmtId="0" fontId="7" fillId="47" borderId="13" applyNumberFormat="0" applyProtection="0">
      <alignment horizontal="left" vertical="center" indent="1"/>
    </xf>
    <xf numFmtId="0" fontId="7" fillId="47" borderId="13" applyNumberFormat="0" applyProtection="0">
      <alignment horizontal="left" vertical="top" indent="1"/>
    </xf>
    <xf numFmtId="0" fontId="7" fillId="8" borderId="13" applyNumberFormat="0" applyProtection="0">
      <alignment horizontal="left" vertical="center" indent="1"/>
    </xf>
    <xf numFmtId="0" fontId="7" fillId="8" borderId="13" applyNumberFormat="0" applyProtection="0">
      <alignment horizontal="left" vertical="top" indent="1"/>
    </xf>
    <xf numFmtId="0" fontId="7" fillId="45" borderId="13" applyNumberFormat="0" applyProtection="0">
      <alignment horizontal="left" vertical="center" indent="1"/>
    </xf>
    <xf numFmtId="0" fontId="7" fillId="45" borderId="13" applyNumberFormat="0" applyProtection="0">
      <alignment horizontal="left" vertical="top" indent="1"/>
    </xf>
    <xf numFmtId="4" fontId="10" fillId="14" borderId="15" applyNumberFormat="0" applyProtection="0">
      <alignment horizontal="left" vertical="center" indent="1"/>
    </xf>
    <xf numFmtId="0" fontId="7" fillId="48" borderId="16" applyNumberFormat="0">
      <alignment/>
      <protection locked="0"/>
    </xf>
    <xf numFmtId="0" fontId="11" fillId="46" borderId="17" applyBorder="0">
      <alignment/>
      <protection/>
    </xf>
    <xf numFmtId="4" fontId="36" fillId="38" borderId="13" applyNumberFormat="0" applyProtection="0">
      <alignment vertical="center"/>
    </xf>
    <xf numFmtId="4" fontId="49" fillId="38" borderId="13" applyNumberFormat="0" applyProtection="0">
      <alignment vertical="center"/>
    </xf>
    <xf numFmtId="4" fontId="36" fillId="38" borderId="13" applyNumberFormat="0" applyProtection="0">
      <alignment horizontal="left" vertical="center" indent="1"/>
    </xf>
    <xf numFmtId="0" fontId="36" fillId="38" borderId="13" applyNumberFormat="0" applyProtection="0">
      <alignment horizontal="left" vertical="top" indent="1"/>
    </xf>
    <xf numFmtId="4" fontId="10" fillId="0" borderId="15" applyNumberFormat="0" applyProtection="0">
      <alignment horizontal="right" vertical="center"/>
    </xf>
    <xf numFmtId="4" fontId="49" fillId="45" borderId="13" applyNumberFormat="0" applyProtection="0">
      <alignment horizontal="right" vertical="center"/>
    </xf>
    <xf numFmtId="4" fontId="10" fillId="14" borderId="15" applyNumberFormat="0" applyProtection="0">
      <alignment horizontal="left" vertical="center" indent="1"/>
    </xf>
    <xf numFmtId="0" fontId="36" fillId="47" borderId="13" applyNumberFormat="0" applyProtection="0">
      <alignment horizontal="left" vertical="top" indent="1"/>
    </xf>
    <xf numFmtId="4" fontId="50" fillId="49" borderId="0" applyNumberFormat="0" applyProtection="0">
      <alignment horizontal="left" vertical="center" indent="1"/>
    </xf>
    <xf numFmtId="0" fontId="10" fillId="50" borderId="16">
      <alignment/>
      <protection/>
    </xf>
    <xf numFmtId="4" fontId="51" fillId="45" borderId="13" applyNumberFormat="0" applyProtection="0">
      <alignment horizontal="right" vertical="center"/>
    </xf>
    <xf numFmtId="0" fontId="52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5" fillId="0" borderId="18">
      <alignment/>
      <protection locked="0"/>
    </xf>
    <xf numFmtId="0" fontId="27" fillId="7" borderId="1" applyNumberFormat="0" applyAlignment="0" applyProtection="0"/>
    <xf numFmtId="0" fontId="27" fillId="7" borderId="1" applyNumberFormat="0" applyAlignment="0" applyProtection="0"/>
    <xf numFmtId="0" fontId="28" fillId="51" borderId="1" applyNumberFormat="0" applyAlignment="0" applyProtection="0"/>
    <xf numFmtId="0" fontId="28" fillId="51" borderId="1" applyNumberFormat="0" applyAlignment="0" applyProtection="0"/>
    <xf numFmtId="0" fontId="29" fillId="51" borderId="11" applyNumberFormat="0" applyAlignment="0" applyProtection="0"/>
    <xf numFmtId="0" fontId="29" fillId="51" borderId="11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</cellStyleXfs>
  <cellXfs count="1591">
    <xf numFmtId="0" fontId="0" fillId="0" borderId="0" xfId="0" applyAlignment="1">
      <alignment/>
    </xf>
    <xf numFmtId="14" fontId="3" fillId="0" borderId="0" xfId="137" applyNumberFormat="1" applyFont="1" applyFill="1" applyAlignment="1">
      <alignment horizontal="right"/>
      <protection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readingOrder="1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1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7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/>
    </xf>
    <xf numFmtId="0" fontId="4" fillId="0" borderId="28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34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0" fontId="4" fillId="0" borderId="38" xfId="0" applyFont="1" applyFill="1" applyBorder="1" applyAlignment="1">
      <alignment vertical="center"/>
    </xf>
    <xf numFmtId="0" fontId="0" fillId="0" borderId="0" xfId="0" applyFill="1" applyAlignment="1">
      <alignment/>
    </xf>
    <xf numFmtId="0" fontId="4" fillId="0" borderId="39" xfId="0" applyFont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144">
      <alignment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139" applyFont="1" applyFill="1">
      <alignment/>
      <protection/>
    </xf>
    <xf numFmtId="0" fontId="0" fillId="0" borderId="0" xfId="141" applyFont="1">
      <alignment/>
      <protection/>
    </xf>
    <xf numFmtId="0" fontId="7" fillId="0" borderId="0" xfId="0" applyFont="1" applyFill="1" applyAlignment="1">
      <alignment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Border="1" applyAlignment="1">
      <alignment vertical="center"/>
    </xf>
    <xf numFmtId="0" fontId="4" fillId="0" borderId="42" xfId="0" applyFont="1" applyBorder="1" applyAlignment="1">
      <alignment horizontal="center" vertical="center"/>
    </xf>
    <xf numFmtId="0" fontId="3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33" fillId="0" borderId="0" xfId="0" applyFont="1" applyAlignment="1">
      <alignment horizontal="centerContinuous"/>
    </xf>
    <xf numFmtId="0" fontId="33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31" fillId="0" borderId="43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2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31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0" fillId="0" borderId="44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0" fontId="32" fillId="0" borderId="0" xfId="0" applyFont="1" applyAlignment="1">
      <alignment/>
    </xf>
    <xf numFmtId="0" fontId="31" fillId="0" borderId="46" xfId="0" applyFont="1" applyBorder="1" applyAlignment="1">
      <alignment/>
    </xf>
    <xf numFmtId="0" fontId="31" fillId="0" borderId="47" xfId="0" applyFont="1" applyBorder="1" applyAlignment="1">
      <alignment/>
    </xf>
    <xf numFmtId="0" fontId="31" fillId="0" borderId="46" xfId="0" applyFont="1" applyBorder="1" applyAlignment="1">
      <alignment horizontal="centerContinuous"/>
    </xf>
    <xf numFmtId="0" fontId="31" fillId="0" borderId="47" xfId="0" applyFont="1" applyBorder="1" applyAlignment="1">
      <alignment horizontal="centerContinuous"/>
    </xf>
    <xf numFmtId="0" fontId="31" fillId="0" borderId="0" xfId="0" applyFont="1" applyAlignment="1">
      <alignment/>
    </xf>
    <xf numFmtId="0" fontId="31" fillId="0" borderId="44" xfId="0" applyFont="1" applyBorder="1" applyAlignment="1">
      <alignment/>
    </xf>
    <xf numFmtId="0" fontId="31" fillId="0" borderId="19" xfId="0" applyFont="1" applyBorder="1" applyAlignment="1">
      <alignment/>
    </xf>
    <xf numFmtId="0" fontId="31" fillId="0" borderId="30" xfId="0" applyFont="1" applyBorder="1" applyAlignment="1">
      <alignment/>
    </xf>
    <xf numFmtId="0" fontId="31" fillId="0" borderId="19" xfId="0" applyFont="1" applyBorder="1" applyAlignment="1">
      <alignment horizontal="centerContinuous"/>
    </xf>
    <xf numFmtId="0" fontId="31" fillId="0" borderId="30" xfId="0" applyFont="1" applyBorder="1" applyAlignment="1">
      <alignment horizontal="centerContinuous"/>
    </xf>
    <xf numFmtId="0" fontId="0" fillId="0" borderId="3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26" xfId="0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31" fillId="0" borderId="48" xfId="0" applyFont="1" applyBorder="1" applyAlignment="1">
      <alignment horizontal="centerContinuous"/>
    </xf>
    <xf numFmtId="0" fontId="31" fillId="0" borderId="49" xfId="0" applyFont="1" applyBorder="1" applyAlignment="1">
      <alignment horizontal="centerContinuous"/>
    </xf>
    <xf numFmtId="0" fontId="31" fillId="0" borderId="50" xfId="0" applyFont="1" applyBorder="1" applyAlignment="1">
      <alignment horizontal="centerContinuous"/>
    </xf>
    <xf numFmtId="0" fontId="0" fillId="0" borderId="0" xfId="0" applyFont="1" applyAlignment="1">
      <alignment/>
    </xf>
    <xf numFmtId="0" fontId="4" fillId="0" borderId="2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0" fillId="0" borderId="26" xfId="0" applyNumberFormat="1" applyFont="1" applyBorder="1" applyAlignment="1">
      <alignment/>
    </xf>
    <xf numFmtId="4" fontId="34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45" xfId="0" applyNumberFormat="1" applyFont="1" applyFill="1" applyBorder="1" applyAlignment="1">
      <alignment/>
    </xf>
    <xf numFmtId="4" fontId="0" fillId="0" borderId="26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0" fillId="0" borderId="19" xfId="0" applyNumberFormat="1" applyFont="1" applyBorder="1" applyAlignment="1">
      <alignment/>
    </xf>
    <xf numFmtId="4" fontId="0" fillId="0" borderId="50" xfId="0" applyNumberFormat="1" applyFont="1" applyBorder="1" applyAlignment="1">
      <alignment/>
    </xf>
    <xf numFmtId="4" fontId="0" fillId="0" borderId="30" xfId="0" applyNumberFormat="1" applyFont="1" applyBorder="1" applyAlignment="1">
      <alignment/>
    </xf>
    <xf numFmtId="0" fontId="58" fillId="0" borderId="51" xfId="139" applyFont="1" applyFill="1" applyBorder="1" applyAlignment="1">
      <alignment wrapText="1"/>
      <protection/>
    </xf>
    <xf numFmtId="0" fontId="58" fillId="0" borderId="52" xfId="139" applyFont="1" applyFill="1" applyBorder="1" applyAlignment="1">
      <alignment wrapText="1"/>
      <protection/>
    </xf>
    <xf numFmtId="0" fontId="58" fillId="0" borderId="52" xfId="139" applyFont="1" applyFill="1" applyBorder="1" applyAlignment="1">
      <alignment wrapText="1"/>
      <protection/>
    </xf>
    <xf numFmtId="0" fontId="65" fillId="0" borderId="0" xfId="142" applyFont="1" applyFill="1" applyAlignment="1">
      <alignment wrapText="1"/>
      <protection/>
    </xf>
    <xf numFmtId="0" fontId="10" fillId="0" borderId="0" xfId="142" applyFont="1" applyFill="1">
      <alignment/>
      <protection/>
    </xf>
    <xf numFmtId="0" fontId="10" fillId="0" borderId="0" xfId="142" applyFont="1" applyFill="1" applyAlignment="1">
      <alignment horizontal="center"/>
      <protection/>
    </xf>
    <xf numFmtId="49" fontId="55" fillId="0" borderId="53" xfId="142" applyNumberFormat="1" applyFont="1" applyFill="1" applyBorder="1" applyAlignment="1">
      <alignment horizontal="left" vertical="center" wrapText="1"/>
      <protection/>
    </xf>
    <xf numFmtId="49" fontId="55" fillId="0" borderId="53" xfId="142" applyNumberFormat="1" applyFont="1" applyFill="1" applyBorder="1" applyAlignment="1">
      <alignment horizontal="center" vertical="center" wrapText="1"/>
      <protection/>
    </xf>
    <xf numFmtId="0" fontId="55" fillId="0" borderId="0" xfId="142" applyFont="1" applyFill="1">
      <alignment/>
      <protection/>
    </xf>
    <xf numFmtId="49" fontId="11" fillId="0" borderId="53" xfId="142" applyNumberFormat="1" applyFont="1" applyFill="1" applyBorder="1" applyAlignment="1">
      <alignment horizontal="left" vertical="center" wrapText="1"/>
      <protection/>
    </xf>
    <xf numFmtId="49" fontId="11" fillId="0" borderId="53" xfId="142" applyNumberFormat="1" applyFont="1" applyFill="1" applyBorder="1" applyAlignment="1">
      <alignment horizontal="center" vertical="center" wrapText="1"/>
      <protection/>
    </xf>
    <xf numFmtId="0" fontId="11" fillId="0" borderId="0" xfId="142" applyFont="1" applyFill="1">
      <alignment/>
      <protection/>
    </xf>
    <xf numFmtId="49" fontId="66" fillId="0" borderId="53" xfId="142" applyNumberFormat="1" applyFont="1" applyFill="1" applyBorder="1" applyAlignment="1">
      <alignment horizontal="left" vertical="center" wrapText="1"/>
      <protection/>
    </xf>
    <xf numFmtId="49" fontId="66" fillId="0" borderId="53" xfId="142" applyNumberFormat="1" applyFont="1" applyFill="1" applyBorder="1" applyAlignment="1">
      <alignment horizontal="center" vertical="center" wrapText="1"/>
      <protection/>
    </xf>
    <xf numFmtId="166" fontId="66" fillId="0" borderId="53" xfId="142" applyNumberFormat="1" applyFont="1" applyFill="1" applyBorder="1" applyAlignment="1">
      <alignment horizontal="right" vertical="center" wrapText="1"/>
      <protection/>
    </xf>
    <xf numFmtId="0" fontId="66" fillId="0" borderId="0" xfId="142" applyFont="1" applyFill="1">
      <alignment/>
      <protection/>
    </xf>
    <xf numFmtId="49" fontId="67" fillId="0" borderId="53" xfId="142" applyNumberFormat="1" applyFont="1" applyFill="1" applyBorder="1" applyAlignment="1">
      <alignment horizontal="left" vertical="center" wrapText="1"/>
      <protection/>
    </xf>
    <xf numFmtId="49" fontId="68" fillId="0" borderId="53" xfId="142" applyNumberFormat="1" applyFont="1" applyFill="1" applyBorder="1" applyAlignment="1">
      <alignment horizontal="left" vertical="center" wrapText="1"/>
      <protection/>
    </xf>
    <xf numFmtId="49" fontId="68" fillId="0" borderId="53" xfId="142" applyNumberFormat="1" applyFont="1" applyFill="1" applyBorder="1" applyAlignment="1">
      <alignment horizontal="center" vertical="center" wrapText="1"/>
      <protection/>
    </xf>
    <xf numFmtId="166" fontId="68" fillId="0" borderId="53" xfId="142" applyNumberFormat="1" applyFont="1" applyFill="1" applyBorder="1" applyAlignment="1">
      <alignment horizontal="right" vertical="center" wrapText="1"/>
      <protection/>
    </xf>
    <xf numFmtId="0" fontId="68" fillId="0" borderId="0" xfId="142" applyFont="1" applyFill="1">
      <alignment/>
      <protection/>
    </xf>
    <xf numFmtId="49" fontId="68" fillId="0" borderId="53" xfId="142" applyNumberFormat="1" applyFont="1" applyFill="1" applyBorder="1" applyAlignment="1">
      <alignment horizontal="right" vertical="center" wrapText="1"/>
      <protection/>
    </xf>
    <xf numFmtId="0" fontId="68" fillId="0" borderId="0" xfId="142" applyFont="1" applyFill="1">
      <alignment/>
      <protection/>
    </xf>
    <xf numFmtId="49" fontId="69" fillId="0" borderId="53" xfId="142" applyNumberFormat="1" applyFont="1" applyFill="1" applyBorder="1" applyAlignment="1">
      <alignment horizontal="left" vertical="center" wrapText="1"/>
      <protection/>
    </xf>
    <xf numFmtId="49" fontId="69" fillId="0" borderId="53" xfId="142" applyNumberFormat="1" applyFont="1" applyFill="1" applyBorder="1" applyAlignment="1">
      <alignment horizontal="center" vertical="center" wrapText="1"/>
      <protection/>
    </xf>
    <xf numFmtId="166" fontId="69" fillId="0" borderId="53" xfId="142" applyNumberFormat="1" applyFont="1" applyFill="1" applyBorder="1" applyAlignment="1">
      <alignment horizontal="right" vertical="center" wrapText="1"/>
      <protection/>
    </xf>
    <xf numFmtId="0" fontId="69" fillId="0" borderId="0" xfId="142" applyFont="1" applyFill="1">
      <alignment/>
      <protection/>
    </xf>
    <xf numFmtId="49" fontId="69" fillId="0" borderId="53" xfId="142" applyNumberFormat="1" applyFont="1" applyFill="1" applyBorder="1" applyAlignment="1">
      <alignment horizontal="right" vertical="center" wrapText="1"/>
      <protection/>
    </xf>
    <xf numFmtId="0" fontId="33" fillId="0" borderId="0" xfId="144" applyFont="1">
      <alignment/>
      <protection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 wrapText="1"/>
    </xf>
    <xf numFmtId="0" fontId="74" fillId="0" borderId="36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 wrapText="1"/>
    </xf>
    <xf numFmtId="0" fontId="68" fillId="0" borderId="59" xfId="0" applyFont="1" applyFill="1" applyBorder="1" applyAlignment="1">
      <alignment horizontal="center" vertical="center"/>
    </xf>
    <xf numFmtId="0" fontId="68" fillId="0" borderId="32" xfId="0" applyFont="1" applyFill="1" applyBorder="1" applyAlignment="1">
      <alignment horizontal="center" vertical="center"/>
    </xf>
    <xf numFmtId="0" fontId="68" fillId="0" borderId="60" xfId="0" applyFont="1" applyFill="1" applyBorder="1" applyAlignment="1">
      <alignment horizontal="center" vertical="center"/>
    </xf>
    <xf numFmtId="0" fontId="68" fillId="0" borderId="39" xfId="0" applyFont="1" applyFill="1" applyBorder="1" applyAlignment="1">
      <alignment horizontal="center" vertical="center"/>
    </xf>
    <xf numFmtId="0" fontId="68" fillId="0" borderId="6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3" fontId="7" fillId="0" borderId="20" xfId="0" applyNumberFormat="1" applyFont="1" applyFill="1" applyBorder="1" applyAlignment="1">
      <alignment horizontal="right" indent="1"/>
    </xf>
    <xf numFmtId="3" fontId="7" fillId="0" borderId="62" xfId="0" applyNumberFormat="1" applyFont="1" applyFill="1" applyBorder="1" applyAlignment="1">
      <alignment horizontal="right" indent="1"/>
    </xf>
    <xf numFmtId="3" fontId="7" fillId="0" borderId="63" xfId="0" applyNumberFormat="1" applyFont="1" applyFill="1" applyBorder="1" applyAlignment="1">
      <alignment horizontal="right" indent="1"/>
    </xf>
    <xf numFmtId="175" fontId="7" fillId="0" borderId="62" xfId="0" applyNumberFormat="1" applyFont="1" applyFill="1" applyBorder="1" applyAlignment="1">
      <alignment horizontal="center"/>
    </xf>
    <xf numFmtId="175" fontId="7" fillId="0" borderId="64" xfId="0" applyNumberFormat="1" applyFont="1" applyFill="1" applyBorder="1" applyAlignment="1">
      <alignment horizontal="center"/>
    </xf>
    <xf numFmtId="0" fontId="7" fillId="0" borderId="65" xfId="0" applyFont="1" applyFill="1" applyBorder="1" applyAlignment="1">
      <alignment/>
    </xf>
    <xf numFmtId="49" fontId="7" fillId="0" borderId="66" xfId="0" applyNumberFormat="1" applyFont="1" applyFill="1" applyBorder="1" applyAlignment="1">
      <alignment horizontal="left" indent="1"/>
    </xf>
    <xf numFmtId="3" fontId="7" fillId="0" borderId="51" xfId="0" applyNumberFormat="1" applyFont="1" applyFill="1" applyBorder="1" applyAlignment="1">
      <alignment horizontal="right" indent="1"/>
    </xf>
    <xf numFmtId="3" fontId="7" fillId="0" borderId="67" xfId="0" applyNumberFormat="1" applyFont="1" applyFill="1" applyBorder="1" applyAlignment="1">
      <alignment horizontal="right" indent="1"/>
    </xf>
    <xf numFmtId="3" fontId="7" fillId="0" borderId="68" xfId="0" applyNumberFormat="1" applyFont="1" applyFill="1" applyBorder="1" applyAlignment="1">
      <alignment horizontal="right" indent="1"/>
    </xf>
    <xf numFmtId="175" fontId="7" fillId="0" borderId="67" xfId="0" applyNumberFormat="1" applyFont="1" applyFill="1" applyBorder="1" applyAlignment="1">
      <alignment horizontal="center"/>
    </xf>
    <xf numFmtId="175" fontId="7" fillId="0" borderId="66" xfId="0" applyNumberFormat="1" applyFont="1" applyFill="1" applyBorder="1" applyAlignment="1">
      <alignment horizontal="center"/>
    </xf>
    <xf numFmtId="0" fontId="75" fillId="0" borderId="35" xfId="0" applyFont="1" applyFill="1" applyBorder="1" applyAlignment="1">
      <alignment/>
    </xf>
    <xf numFmtId="3" fontId="75" fillId="0" borderId="69" xfId="0" applyNumberFormat="1" applyFont="1" applyFill="1" applyBorder="1" applyAlignment="1">
      <alignment horizontal="right" indent="1"/>
    </xf>
    <xf numFmtId="3" fontId="75" fillId="0" borderId="28" xfId="0" applyNumberFormat="1" applyFont="1" applyFill="1" applyBorder="1" applyAlignment="1">
      <alignment horizontal="right" indent="1"/>
    </xf>
    <xf numFmtId="3" fontId="76" fillId="0" borderId="28" xfId="0" applyNumberFormat="1" applyFont="1" applyFill="1" applyBorder="1" applyAlignment="1">
      <alignment horizontal="right" indent="1"/>
    </xf>
    <xf numFmtId="3" fontId="76" fillId="0" borderId="70" xfId="0" applyNumberFormat="1" applyFont="1" applyFill="1" applyBorder="1" applyAlignment="1">
      <alignment horizontal="right" indent="1"/>
    </xf>
    <xf numFmtId="175" fontId="76" fillId="0" borderId="28" xfId="0" applyNumberFormat="1" applyFont="1" applyFill="1" applyBorder="1" applyAlignment="1">
      <alignment horizontal="center"/>
    </xf>
    <xf numFmtId="175" fontId="76" fillId="0" borderId="57" xfId="0" applyNumberFormat="1" applyFont="1" applyFill="1" applyBorder="1" applyAlignment="1">
      <alignment horizontal="center"/>
    </xf>
    <xf numFmtId="0" fontId="76" fillId="0" borderId="0" xfId="0" applyFont="1" applyFill="1" applyAlignment="1">
      <alignment/>
    </xf>
    <xf numFmtId="0" fontId="76" fillId="0" borderId="38" xfId="0" applyFont="1" applyFill="1" applyBorder="1" applyAlignment="1">
      <alignment/>
    </xf>
    <xf numFmtId="49" fontId="7" fillId="0" borderId="24" xfId="0" applyNumberFormat="1" applyFont="1" applyFill="1" applyBorder="1" applyAlignment="1">
      <alignment horizontal="left" indent="1"/>
    </xf>
    <xf numFmtId="3" fontId="76" fillId="0" borderId="22" xfId="0" applyNumberFormat="1" applyFont="1" applyFill="1" applyBorder="1" applyAlignment="1">
      <alignment horizontal="right" indent="1"/>
    </xf>
    <xf numFmtId="3" fontId="76" fillId="0" borderId="16" xfId="0" applyNumberFormat="1" applyFont="1" applyFill="1" applyBorder="1" applyAlignment="1">
      <alignment horizontal="right" indent="1"/>
    </xf>
    <xf numFmtId="3" fontId="76" fillId="0" borderId="71" xfId="0" applyNumberFormat="1" applyFont="1" applyFill="1" applyBorder="1" applyAlignment="1">
      <alignment horizontal="right" indent="1"/>
    </xf>
    <xf numFmtId="175" fontId="76" fillId="0" borderId="16" xfId="0" applyNumberFormat="1" applyFont="1" applyFill="1" applyBorder="1" applyAlignment="1">
      <alignment horizontal="center"/>
    </xf>
    <xf numFmtId="175" fontId="76" fillId="0" borderId="24" xfId="0" applyNumberFormat="1" applyFont="1" applyFill="1" applyBorder="1" applyAlignment="1">
      <alignment horizontal="center"/>
    </xf>
    <xf numFmtId="0" fontId="55" fillId="0" borderId="36" xfId="0" applyFont="1" applyFill="1" applyBorder="1" applyAlignment="1">
      <alignment/>
    </xf>
    <xf numFmtId="0" fontId="55" fillId="0" borderId="72" xfId="0" applyFont="1" applyFill="1" applyBorder="1" applyAlignment="1">
      <alignment horizontal="left" indent="1"/>
    </xf>
    <xf numFmtId="3" fontId="55" fillId="0" borderId="55" xfId="0" applyNumberFormat="1" applyFont="1" applyFill="1" applyBorder="1" applyAlignment="1">
      <alignment horizontal="right" indent="1"/>
    </xf>
    <xf numFmtId="3" fontId="55" fillId="0" borderId="31" xfId="0" applyNumberFormat="1" applyFont="1" applyFill="1" applyBorder="1" applyAlignment="1">
      <alignment horizontal="right" indent="1"/>
    </xf>
    <xf numFmtId="3" fontId="55" fillId="0" borderId="56" xfId="0" applyNumberFormat="1" applyFont="1" applyFill="1" applyBorder="1" applyAlignment="1">
      <alignment horizontal="right" indent="1"/>
    </xf>
    <xf numFmtId="175" fontId="55" fillId="0" borderId="31" xfId="0" applyNumberFormat="1" applyFont="1" applyFill="1" applyBorder="1" applyAlignment="1">
      <alignment horizontal="center"/>
    </xf>
    <xf numFmtId="175" fontId="55" fillId="0" borderId="58" xfId="0" applyNumberFormat="1" applyFont="1" applyFill="1" applyBorder="1" applyAlignment="1">
      <alignment horizontal="center"/>
    </xf>
    <xf numFmtId="0" fontId="55" fillId="0" borderId="0" xfId="0" applyFont="1" applyFill="1" applyAlignment="1">
      <alignment/>
    </xf>
    <xf numFmtId="0" fontId="7" fillId="0" borderId="43" xfId="0" applyFont="1" applyFill="1" applyBorder="1" applyAlignment="1">
      <alignment/>
    </xf>
    <xf numFmtId="49" fontId="7" fillId="0" borderId="63" xfId="0" applyNumberFormat="1" applyFont="1" applyFill="1" applyBorder="1" applyAlignment="1">
      <alignment horizontal="left" indent="1"/>
    </xf>
    <xf numFmtId="4" fontId="7" fillId="0" borderId="20" xfId="0" applyNumberFormat="1" applyFont="1" applyFill="1" applyBorder="1" applyAlignment="1">
      <alignment horizontal="right" indent="1"/>
    </xf>
    <xf numFmtId="4" fontId="7" fillId="0" borderId="62" xfId="0" applyNumberFormat="1" applyFont="1" applyFill="1" applyBorder="1" applyAlignment="1">
      <alignment horizontal="right" indent="1"/>
    </xf>
    <xf numFmtId="4" fontId="7" fillId="0" borderId="73" xfId="0" applyNumberFormat="1" applyFont="1" applyFill="1" applyBorder="1" applyAlignment="1">
      <alignment horizontal="right" indent="1"/>
    </xf>
    <xf numFmtId="4" fontId="7" fillId="0" borderId="64" xfId="0" applyNumberFormat="1" applyFont="1" applyFill="1" applyBorder="1" applyAlignment="1">
      <alignment horizontal="right" indent="1"/>
    </xf>
    <xf numFmtId="10" fontId="7" fillId="0" borderId="62" xfId="156" applyNumberFormat="1" applyFont="1" applyFill="1" applyBorder="1" applyAlignment="1">
      <alignment horizontal="center"/>
    </xf>
    <xf numFmtId="10" fontId="7" fillId="0" borderId="64" xfId="156" applyNumberFormat="1" applyFont="1" applyFill="1" applyBorder="1" applyAlignment="1">
      <alignment horizontal="center"/>
    </xf>
    <xf numFmtId="0" fontId="7" fillId="0" borderId="36" xfId="0" applyFont="1" applyFill="1" applyBorder="1" applyAlignment="1">
      <alignment/>
    </xf>
    <xf numFmtId="49" fontId="7" fillId="0" borderId="56" xfId="0" applyNumberFormat="1" applyFont="1" applyFill="1" applyBorder="1" applyAlignment="1">
      <alignment horizontal="left" indent="1"/>
    </xf>
    <xf numFmtId="4" fontId="7" fillId="0" borderId="55" xfId="0" applyNumberFormat="1" applyFont="1" applyFill="1" applyBorder="1" applyAlignment="1">
      <alignment horizontal="right" indent="1"/>
    </xf>
    <xf numFmtId="4" fontId="7" fillId="0" borderId="31" xfId="0" applyNumberFormat="1" applyFont="1" applyFill="1" applyBorder="1" applyAlignment="1">
      <alignment horizontal="right" indent="1"/>
    </xf>
    <xf numFmtId="4" fontId="7" fillId="0" borderId="45" xfId="0" applyNumberFormat="1" applyFont="1" applyFill="1" applyBorder="1" applyAlignment="1">
      <alignment horizontal="right" indent="1"/>
    </xf>
    <xf numFmtId="4" fontId="7" fillId="0" borderId="58" xfId="0" applyNumberFormat="1" applyFont="1" applyFill="1" applyBorder="1" applyAlignment="1">
      <alignment horizontal="right" indent="1"/>
    </xf>
    <xf numFmtId="10" fontId="7" fillId="0" borderId="31" xfId="156" applyNumberFormat="1" applyFont="1" applyFill="1" applyBorder="1" applyAlignment="1">
      <alignment horizontal="center"/>
    </xf>
    <xf numFmtId="10" fontId="7" fillId="0" borderId="58" xfId="156" applyNumberFormat="1" applyFont="1" applyFill="1" applyBorder="1" applyAlignment="1">
      <alignment horizontal="center"/>
    </xf>
    <xf numFmtId="49" fontId="7" fillId="0" borderId="68" xfId="0" applyNumberFormat="1" applyFont="1" applyFill="1" applyBorder="1" applyAlignment="1">
      <alignment horizontal="left" indent="1"/>
    </xf>
    <xf numFmtId="4" fontId="7" fillId="0" borderId="51" xfId="0" applyNumberFormat="1" applyFont="1" applyFill="1" applyBorder="1" applyAlignment="1">
      <alignment horizontal="right" indent="1"/>
    </xf>
    <xf numFmtId="4" fontId="7" fillId="0" borderId="67" xfId="0" applyNumberFormat="1" applyFont="1" applyFill="1" applyBorder="1" applyAlignment="1">
      <alignment horizontal="right" indent="1"/>
    </xf>
    <xf numFmtId="4" fontId="7" fillId="0" borderId="74" xfId="0" applyNumberFormat="1" applyFont="1" applyFill="1" applyBorder="1" applyAlignment="1">
      <alignment horizontal="right" indent="1"/>
    </xf>
    <xf numFmtId="10" fontId="7" fillId="0" borderId="66" xfId="156" applyNumberFormat="1" applyFont="1" applyFill="1" applyBorder="1" applyAlignment="1">
      <alignment horizontal="center"/>
    </xf>
    <xf numFmtId="0" fontId="76" fillId="0" borderId="35" xfId="0" applyFont="1" applyFill="1" applyBorder="1" applyAlignment="1">
      <alignment/>
    </xf>
    <xf numFmtId="0" fontId="76" fillId="0" borderId="37" xfId="0" applyFont="1" applyFill="1" applyBorder="1" applyAlignment="1">
      <alignment/>
    </xf>
    <xf numFmtId="49" fontId="7" fillId="0" borderId="60" xfId="0" applyNumberFormat="1" applyFont="1" applyFill="1" applyBorder="1" applyAlignment="1">
      <alignment horizontal="left" indent="1"/>
    </xf>
    <xf numFmtId="4" fontId="76" fillId="0" borderId="75" xfId="0" applyNumberFormat="1" applyFont="1" applyFill="1" applyBorder="1" applyAlignment="1">
      <alignment horizontal="right" indent="1"/>
    </xf>
    <xf numFmtId="4" fontId="76" fillId="0" borderId="32" xfId="0" applyNumberFormat="1" applyFont="1" applyFill="1" applyBorder="1" applyAlignment="1">
      <alignment horizontal="right" indent="1"/>
    </xf>
    <xf numFmtId="4" fontId="76" fillId="0" borderId="60" xfId="0" applyNumberFormat="1" applyFont="1" applyFill="1" applyBorder="1" applyAlignment="1">
      <alignment horizontal="right" indent="1"/>
    </xf>
    <xf numFmtId="4" fontId="7" fillId="0" borderId="76" xfId="156" applyNumberFormat="1" applyFont="1" applyFill="1" applyBorder="1" applyAlignment="1">
      <alignment horizontal="center"/>
    </xf>
    <xf numFmtId="4" fontId="7" fillId="0" borderId="77" xfId="156" applyNumberFormat="1" applyFont="1" applyFill="1" applyBorder="1" applyAlignment="1">
      <alignment horizontal="center"/>
    </xf>
    <xf numFmtId="0" fontId="76" fillId="0" borderId="36" xfId="0" applyFont="1" applyFill="1" applyBorder="1" applyAlignment="1">
      <alignment/>
    </xf>
    <xf numFmtId="4" fontId="76" fillId="0" borderId="45" xfId="0" applyNumberFormat="1" applyFont="1" applyFill="1" applyBorder="1" applyAlignment="1">
      <alignment horizontal="right" indent="1"/>
    </xf>
    <xf numFmtId="4" fontId="76" fillId="0" borderId="31" xfId="0" applyNumberFormat="1" applyFont="1" applyFill="1" applyBorder="1" applyAlignment="1">
      <alignment horizontal="right" indent="1"/>
    </xf>
    <xf numFmtId="4" fontId="7" fillId="0" borderId="31" xfId="156" applyNumberFormat="1" applyFont="1" applyFill="1" applyBorder="1" applyAlignment="1">
      <alignment horizontal="center"/>
    </xf>
    <xf numFmtId="4" fontId="7" fillId="0" borderId="58" xfId="156" applyNumberFormat="1" applyFont="1" applyFill="1" applyBorder="1" applyAlignment="1">
      <alignment horizontal="center"/>
    </xf>
    <xf numFmtId="3" fontId="76" fillId="0" borderId="55" xfId="0" applyNumberFormat="1" applyFont="1" applyFill="1" applyBorder="1" applyAlignment="1">
      <alignment horizontal="right" indent="1"/>
    </xf>
    <xf numFmtId="3" fontId="76" fillId="0" borderId="31" xfId="0" applyNumberFormat="1" applyFont="1" applyFill="1" applyBorder="1" applyAlignment="1">
      <alignment horizontal="right" indent="1"/>
    </xf>
    <xf numFmtId="0" fontId="76" fillId="0" borderId="78" xfId="0" applyFont="1" applyFill="1" applyBorder="1" applyAlignment="1">
      <alignment/>
    </xf>
    <xf numFmtId="4" fontId="76" fillId="0" borderId="55" xfId="0" applyNumberFormat="1" applyFont="1" applyFill="1" applyBorder="1" applyAlignment="1">
      <alignment horizontal="right" indent="1"/>
    </xf>
    <xf numFmtId="10" fontId="7" fillId="0" borderId="77" xfId="156" applyNumberFormat="1" applyFont="1" applyFill="1" applyBorder="1" applyAlignment="1">
      <alignment horizontal="center"/>
    </xf>
    <xf numFmtId="0" fontId="55" fillId="0" borderId="40" xfId="0" applyFont="1" applyFill="1" applyBorder="1" applyAlignment="1">
      <alignment/>
    </xf>
    <xf numFmtId="49" fontId="7" fillId="0" borderId="64" xfId="0" applyNumberFormat="1" applyFont="1" applyFill="1" applyBorder="1" applyAlignment="1">
      <alignment horizontal="left" indent="1"/>
    </xf>
    <xf numFmtId="49" fontId="76" fillId="0" borderId="57" xfId="0" applyNumberFormat="1" applyFont="1" applyFill="1" applyBorder="1" applyAlignment="1">
      <alignment horizontal="left" indent="1"/>
    </xf>
    <xf numFmtId="3" fontId="76" fillId="0" borderId="69" xfId="0" applyNumberFormat="1" applyFont="1" applyFill="1" applyBorder="1" applyAlignment="1">
      <alignment horizontal="right" indent="1"/>
    </xf>
    <xf numFmtId="49" fontId="7" fillId="0" borderId="61" xfId="0" applyNumberFormat="1" applyFont="1" applyFill="1" applyBorder="1" applyAlignment="1">
      <alignment horizontal="left" indent="1"/>
    </xf>
    <xf numFmtId="3" fontId="76" fillId="0" borderId="59" xfId="0" applyNumberFormat="1" applyFont="1" applyFill="1" applyBorder="1" applyAlignment="1">
      <alignment horizontal="right" indent="1"/>
    </xf>
    <xf numFmtId="3" fontId="76" fillId="0" borderId="32" xfId="0" applyNumberFormat="1" applyFont="1" applyFill="1" applyBorder="1" applyAlignment="1">
      <alignment horizontal="right" indent="1"/>
    </xf>
    <xf numFmtId="3" fontId="76" fillId="0" borderId="60" xfId="0" applyNumberFormat="1" applyFont="1" applyFill="1" applyBorder="1" applyAlignment="1">
      <alignment horizontal="right" indent="1"/>
    </xf>
    <xf numFmtId="175" fontId="76" fillId="0" borderId="32" xfId="0" applyNumberFormat="1" applyFont="1" applyFill="1" applyBorder="1" applyAlignment="1">
      <alignment horizontal="center"/>
    </xf>
    <xf numFmtId="175" fontId="76" fillId="0" borderId="61" xfId="0" applyNumberFormat="1" applyFont="1" applyFill="1" applyBorder="1" applyAlignment="1">
      <alignment horizontal="center"/>
    </xf>
    <xf numFmtId="49" fontId="76" fillId="0" borderId="79" xfId="0" applyNumberFormat="1" applyFont="1" applyFill="1" applyBorder="1" applyAlignment="1">
      <alignment horizontal="left" indent="1"/>
    </xf>
    <xf numFmtId="3" fontId="76" fillId="0" borderId="80" xfId="0" applyNumberFormat="1" applyFont="1" applyFill="1" applyBorder="1" applyAlignment="1">
      <alignment horizontal="right" indent="1"/>
    </xf>
    <xf numFmtId="3" fontId="76" fillId="0" borderId="81" xfId="0" applyNumberFormat="1" applyFont="1" applyFill="1" applyBorder="1" applyAlignment="1">
      <alignment horizontal="right" indent="1"/>
    </xf>
    <xf numFmtId="3" fontId="76" fillId="0" borderId="82" xfId="0" applyNumberFormat="1" applyFont="1" applyFill="1" applyBorder="1" applyAlignment="1">
      <alignment horizontal="right" indent="1"/>
    </xf>
    <xf numFmtId="175" fontId="76" fillId="0" borderId="81" xfId="0" applyNumberFormat="1" applyFont="1" applyFill="1" applyBorder="1" applyAlignment="1">
      <alignment horizontal="center"/>
    </xf>
    <xf numFmtId="175" fontId="76" fillId="0" borderId="79" xfId="0" applyNumberFormat="1" applyFont="1" applyFill="1" applyBorder="1" applyAlignment="1">
      <alignment horizontal="center"/>
    </xf>
    <xf numFmtId="3" fontId="76" fillId="0" borderId="56" xfId="0" applyNumberFormat="1" applyFont="1" applyFill="1" applyBorder="1" applyAlignment="1">
      <alignment horizontal="right" indent="1"/>
    </xf>
    <xf numFmtId="175" fontId="76" fillId="0" borderId="31" xfId="0" applyNumberFormat="1" applyFont="1" applyFill="1" applyBorder="1" applyAlignment="1">
      <alignment horizontal="center"/>
    </xf>
    <xf numFmtId="175" fontId="76" fillId="0" borderId="58" xfId="0" applyNumberFormat="1" applyFont="1" applyFill="1" applyBorder="1" applyAlignment="1">
      <alignment horizontal="center"/>
    </xf>
    <xf numFmtId="0" fontId="7" fillId="0" borderId="40" xfId="0" applyFont="1" applyFill="1" applyBorder="1" applyAlignment="1">
      <alignment/>
    </xf>
    <xf numFmtId="3" fontId="7" fillId="0" borderId="41" xfId="0" applyNumberFormat="1" applyFont="1" applyFill="1" applyBorder="1" applyAlignment="1">
      <alignment horizontal="right" indent="1"/>
    </xf>
    <xf numFmtId="3" fontId="7" fillId="0" borderId="39" xfId="0" applyNumberFormat="1" applyFont="1" applyFill="1" applyBorder="1" applyAlignment="1">
      <alignment horizontal="right" indent="1"/>
    </xf>
    <xf numFmtId="3" fontId="7" fillId="0" borderId="83" xfId="0" applyNumberFormat="1" applyFont="1" applyFill="1" applyBorder="1" applyAlignment="1">
      <alignment horizontal="right" indent="1"/>
    </xf>
    <xf numFmtId="175" fontId="7" fillId="0" borderId="39" xfId="0" applyNumberFormat="1" applyFont="1" applyFill="1" applyBorder="1" applyAlignment="1">
      <alignment horizontal="center"/>
    </xf>
    <xf numFmtId="175" fontId="7" fillId="0" borderId="84" xfId="0" applyNumberFormat="1" applyFont="1" applyFill="1" applyBorder="1" applyAlignment="1">
      <alignment horizontal="center"/>
    </xf>
    <xf numFmtId="0" fontId="7" fillId="0" borderId="85" xfId="0" applyFont="1" applyFill="1" applyBorder="1" applyAlignment="1">
      <alignment vertical="center"/>
    </xf>
    <xf numFmtId="0" fontId="7" fillId="0" borderId="86" xfId="0" applyFont="1" applyFill="1" applyBorder="1" applyAlignment="1">
      <alignment vertical="center"/>
    </xf>
    <xf numFmtId="0" fontId="7" fillId="0" borderId="87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55" fillId="0" borderId="0" xfId="0" applyFont="1" applyFill="1" applyBorder="1" applyAlignment="1">
      <alignment horizontal="left" indent="1"/>
    </xf>
    <xf numFmtId="3" fontId="7" fillId="0" borderId="0" xfId="0" applyNumberFormat="1" applyFont="1" applyFill="1" applyBorder="1" applyAlignment="1">
      <alignment horizontal="right" indent="1"/>
    </xf>
    <xf numFmtId="175" fontId="7" fillId="0" borderId="0" xfId="0" applyNumberFormat="1" applyFont="1" applyFill="1" applyBorder="1" applyAlignment="1">
      <alignment horizontal="center"/>
    </xf>
    <xf numFmtId="0" fontId="7" fillId="0" borderId="61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 wrapText="1"/>
    </xf>
    <xf numFmtId="0" fontId="68" fillId="0" borderId="41" xfId="0" applyFont="1" applyFill="1" applyBorder="1" applyAlignment="1">
      <alignment horizontal="center" vertical="center"/>
    </xf>
    <xf numFmtId="0" fontId="68" fillId="0" borderId="84" xfId="0" applyFont="1" applyFill="1" applyBorder="1" applyAlignment="1">
      <alignment horizontal="center" vertical="center"/>
    </xf>
    <xf numFmtId="0" fontId="68" fillId="0" borderId="88" xfId="0" applyFont="1" applyFill="1" applyBorder="1" applyAlignment="1">
      <alignment horizontal="center" vertical="center"/>
    </xf>
    <xf numFmtId="0" fontId="68" fillId="0" borderId="83" xfId="0" applyFont="1" applyFill="1" applyBorder="1" applyAlignment="1">
      <alignment horizontal="center" vertical="center"/>
    </xf>
    <xf numFmtId="3" fontId="7" fillId="0" borderId="64" xfId="0" applyNumberFormat="1" applyFont="1" applyFill="1" applyBorder="1" applyAlignment="1">
      <alignment horizontal="right" indent="1"/>
    </xf>
    <xf numFmtId="3" fontId="7" fillId="0" borderId="73" xfId="0" applyNumberFormat="1" applyFont="1" applyFill="1" applyBorder="1" applyAlignment="1">
      <alignment horizontal="right" indent="1"/>
    </xf>
    <xf numFmtId="3" fontId="7" fillId="0" borderId="66" xfId="0" applyNumberFormat="1" applyFont="1" applyFill="1" applyBorder="1" applyAlignment="1">
      <alignment horizontal="right" indent="1"/>
    </xf>
    <xf numFmtId="3" fontId="7" fillId="0" borderId="74" xfId="0" applyNumberFormat="1" applyFont="1" applyFill="1" applyBorder="1" applyAlignment="1">
      <alignment horizontal="right" indent="1"/>
    </xf>
    <xf numFmtId="3" fontId="76" fillId="0" borderId="57" xfId="0" applyNumberFormat="1" applyFont="1" applyFill="1" applyBorder="1" applyAlignment="1">
      <alignment horizontal="right" indent="1"/>
    </xf>
    <xf numFmtId="3" fontId="76" fillId="0" borderId="89" xfId="0" applyNumberFormat="1" applyFont="1" applyFill="1" applyBorder="1" applyAlignment="1">
      <alignment horizontal="right" indent="1"/>
    </xf>
    <xf numFmtId="3" fontId="76" fillId="0" borderId="0" xfId="0" applyNumberFormat="1" applyFont="1" applyFill="1" applyBorder="1" applyAlignment="1">
      <alignment horizontal="right" indent="1"/>
    </xf>
    <xf numFmtId="175" fontId="76" fillId="0" borderId="0" xfId="0" applyNumberFormat="1" applyFont="1" applyFill="1" applyBorder="1" applyAlignment="1">
      <alignment horizontal="center"/>
    </xf>
    <xf numFmtId="3" fontId="76" fillId="0" borderId="24" xfId="0" applyNumberFormat="1" applyFont="1" applyFill="1" applyBorder="1" applyAlignment="1">
      <alignment horizontal="right" indent="1"/>
    </xf>
    <xf numFmtId="3" fontId="76" fillId="0" borderId="54" xfId="0" applyNumberFormat="1" applyFont="1" applyFill="1" applyBorder="1" applyAlignment="1">
      <alignment horizontal="right" indent="1"/>
    </xf>
    <xf numFmtId="3" fontId="55" fillId="0" borderId="90" xfId="0" applyNumberFormat="1" applyFont="1" applyFill="1" applyBorder="1" applyAlignment="1">
      <alignment horizontal="right" indent="1"/>
    </xf>
    <xf numFmtId="3" fontId="55" fillId="0" borderId="29" xfId="0" applyNumberFormat="1" applyFont="1" applyFill="1" applyBorder="1" applyAlignment="1">
      <alignment horizontal="right" indent="1"/>
    </xf>
    <xf numFmtId="3" fontId="55" fillId="0" borderId="72" xfId="0" applyNumberFormat="1" applyFont="1" applyFill="1" applyBorder="1" applyAlignment="1">
      <alignment horizontal="right" indent="1"/>
    </xf>
    <xf numFmtId="3" fontId="55" fillId="0" borderId="45" xfId="0" applyNumberFormat="1" applyFont="1" applyFill="1" applyBorder="1" applyAlignment="1">
      <alignment horizontal="right" indent="1"/>
    </xf>
    <xf numFmtId="3" fontId="55" fillId="0" borderId="58" xfId="0" applyNumberFormat="1" applyFont="1" applyFill="1" applyBorder="1" applyAlignment="1">
      <alignment horizontal="right" indent="1"/>
    </xf>
    <xf numFmtId="3" fontId="55" fillId="0" borderId="0" xfId="0" applyNumberFormat="1" applyFont="1" applyFill="1" applyBorder="1" applyAlignment="1">
      <alignment horizontal="right" indent="1"/>
    </xf>
    <xf numFmtId="175" fontId="55" fillId="0" borderId="0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right" indent="1"/>
    </xf>
    <xf numFmtId="4" fontId="55" fillId="0" borderId="0" xfId="0" applyNumberFormat="1" applyFont="1" applyFill="1" applyBorder="1" applyAlignment="1">
      <alignment horizontal="right" indent="1"/>
    </xf>
    <xf numFmtId="49" fontId="7" fillId="0" borderId="58" xfId="0" applyNumberFormat="1" applyFont="1" applyFill="1" applyBorder="1" applyAlignment="1">
      <alignment horizontal="left" indent="1"/>
    </xf>
    <xf numFmtId="4" fontId="76" fillId="0" borderId="0" xfId="0" applyNumberFormat="1" applyFont="1" applyFill="1" applyBorder="1" applyAlignment="1">
      <alignment horizontal="right" indent="1"/>
    </xf>
    <xf numFmtId="4" fontId="76" fillId="0" borderId="59" xfId="0" applyNumberFormat="1" applyFont="1" applyFill="1" applyBorder="1" applyAlignment="1">
      <alignment horizontal="right" indent="1"/>
    </xf>
    <xf numFmtId="3" fontId="76" fillId="0" borderId="61" xfId="0" applyNumberFormat="1" applyFont="1" applyFill="1" applyBorder="1" applyAlignment="1">
      <alignment horizontal="right" indent="1"/>
    </xf>
    <xf numFmtId="3" fontId="76" fillId="0" borderId="79" xfId="0" applyNumberFormat="1" applyFont="1" applyFill="1" applyBorder="1" applyAlignment="1">
      <alignment horizontal="right" indent="1"/>
    </xf>
    <xf numFmtId="3" fontId="76" fillId="0" borderId="58" xfId="0" applyNumberFormat="1" applyFont="1" applyFill="1" applyBorder="1" applyAlignment="1">
      <alignment horizontal="right" indent="1"/>
    </xf>
    <xf numFmtId="3" fontId="7" fillId="0" borderId="84" xfId="0" applyNumberFormat="1" applyFont="1" applyFill="1" applyBorder="1" applyAlignment="1">
      <alignment horizontal="right" indent="1"/>
    </xf>
    <xf numFmtId="0" fontId="7" fillId="0" borderId="0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60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91" xfId="0" applyFont="1" applyFill="1" applyBorder="1" applyAlignment="1">
      <alignment/>
    </xf>
    <xf numFmtId="49" fontId="7" fillId="0" borderId="92" xfId="0" applyNumberFormat="1" applyFont="1" applyFill="1" applyBorder="1" applyAlignment="1">
      <alignment horizontal="left" indent="1"/>
    </xf>
    <xf numFmtId="4" fontId="7" fillId="0" borderId="52" xfId="0" applyNumberFormat="1" applyFont="1" applyFill="1" applyBorder="1" applyAlignment="1">
      <alignment horizontal="right" indent="1"/>
    </xf>
    <xf numFmtId="4" fontId="7" fillId="0" borderId="93" xfId="0" applyNumberFormat="1" applyFont="1" applyFill="1" applyBorder="1" applyAlignment="1">
      <alignment horizontal="right" indent="1"/>
    </xf>
    <xf numFmtId="0" fontId="7" fillId="0" borderId="94" xfId="0" applyFont="1" applyFill="1" applyBorder="1" applyAlignment="1">
      <alignment/>
    </xf>
    <xf numFmtId="49" fontId="7" fillId="0" borderId="95" xfId="0" applyNumberFormat="1" applyFont="1" applyFill="1" applyBorder="1" applyAlignment="1">
      <alignment horizontal="left" indent="1"/>
    </xf>
    <xf numFmtId="4" fontId="7" fillId="0" borderId="96" xfId="0" applyNumberFormat="1" applyFont="1" applyFill="1" applyBorder="1" applyAlignment="1">
      <alignment horizontal="right" indent="1"/>
    </xf>
    <xf numFmtId="10" fontId="7" fillId="0" borderId="95" xfId="156" applyNumberFormat="1" applyFont="1" applyFill="1" applyBorder="1" applyAlignment="1">
      <alignment horizontal="center"/>
    </xf>
    <xf numFmtId="0" fontId="76" fillId="0" borderId="94" xfId="0" applyFont="1" applyFill="1" applyBorder="1" applyAlignment="1">
      <alignment/>
    </xf>
    <xf numFmtId="49" fontId="76" fillId="0" borderId="95" xfId="0" applyNumberFormat="1" applyFont="1" applyFill="1" applyBorder="1" applyAlignment="1">
      <alignment horizontal="left" indent="1"/>
    </xf>
    <xf numFmtId="3" fontId="76" fillId="0" borderId="52" xfId="0" applyNumberFormat="1" applyFont="1" applyFill="1" applyBorder="1" applyAlignment="1">
      <alignment horizontal="right" indent="1"/>
    </xf>
    <xf numFmtId="3" fontId="76" fillId="0" borderId="96" xfId="0" applyNumberFormat="1" applyFont="1" applyFill="1" applyBorder="1" applyAlignment="1">
      <alignment horizontal="right" indent="1"/>
    </xf>
    <xf numFmtId="3" fontId="76" fillId="0" borderId="97" xfId="0" applyNumberFormat="1" applyFont="1" applyFill="1" applyBorder="1" applyAlignment="1">
      <alignment horizontal="right" indent="1"/>
    </xf>
    <xf numFmtId="10" fontId="7" fillId="0" borderId="96" xfId="156" applyNumberFormat="1" applyFont="1" applyFill="1" applyBorder="1" applyAlignment="1">
      <alignment horizontal="center"/>
    </xf>
    <xf numFmtId="49" fontId="7" fillId="0" borderId="79" xfId="0" applyNumberFormat="1" applyFont="1" applyFill="1" applyBorder="1" applyAlignment="1">
      <alignment horizontal="left" indent="1"/>
    </xf>
    <xf numFmtId="3" fontId="76" fillId="0" borderId="98" xfId="0" applyNumberFormat="1" applyFont="1" applyFill="1" applyBorder="1" applyAlignment="1">
      <alignment horizontal="right" indent="1"/>
    </xf>
    <xf numFmtId="3" fontId="7" fillId="0" borderId="0" xfId="0" applyNumberFormat="1" applyFont="1" applyFill="1" applyBorder="1" applyAlignment="1">
      <alignment/>
    </xf>
    <xf numFmtId="0" fontId="7" fillId="0" borderId="46" xfId="0" applyFont="1" applyFill="1" applyBorder="1" applyAlignment="1">
      <alignment/>
    </xf>
    <xf numFmtId="0" fontId="7" fillId="0" borderId="0" xfId="0" applyFont="1" applyFill="1" applyAlignment="1">
      <alignment horizontal="right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84" xfId="0" applyFont="1" applyFill="1" applyBorder="1" applyAlignment="1">
      <alignment horizontal="center" vertical="center"/>
    </xf>
    <xf numFmtId="0" fontId="7" fillId="0" borderId="8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" fontId="7" fillId="0" borderId="99" xfId="0" applyNumberFormat="1" applyFont="1" applyFill="1" applyBorder="1" applyAlignment="1">
      <alignment horizontal="right" indent="1"/>
    </xf>
    <xf numFmtId="4" fontId="7" fillId="0" borderId="92" xfId="0" applyNumberFormat="1" applyFont="1" applyFill="1" applyBorder="1" applyAlignment="1">
      <alignment horizontal="right" indent="1"/>
    </xf>
    <xf numFmtId="4" fontId="7" fillId="0" borderId="95" xfId="0" applyNumberFormat="1" applyFont="1" applyFill="1" applyBorder="1" applyAlignment="1">
      <alignment horizontal="right" indent="1"/>
    </xf>
    <xf numFmtId="0" fontId="76" fillId="0" borderId="40" xfId="0" applyFont="1" applyFill="1" applyBorder="1" applyAlignment="1">
      <alignment/>
    </xf>
    <xf numFmtId="0" fontId="7" fillId="0" borderId="83" xfId="0" applyFont="1" applyFill="1" applyBorder="1" applyAlignment="1">
      <alignment horizontal="center" vertical="center"/>
    </xf>
    <xf numFmtId="0" fontId="37" fillId="0" borderId="0" xfId="0" applyFont="1" applyFill="1" applyAlignment="1">
      <alignment horizontal="right"/>
    </xf>
    <xf numFmtId="0" fontId="7" fillId="0" borderId="44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37" fillId="0" borderId="30" xfId="0" applyFont="1" applyFill="1" applyBorder="1" applyAlignment="1">
      <alignment horizontal="right" indent="1"/>
    </xf>
    <xf numFmtId="0" fontId="37" fillId="0" borderId="16" xfId="0" applyFont="1" applyBorder="1" applyAlignment="1">
      <alignment horizontal="center" vertical="center" wrapText="1"/>
    </xf>
    <xf numFmtId="0" fontId="37" fillId="0" borderId="28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center" vertical="center"/>
    </xf>
    <xf numFmtId="49" fontId="74" fillId="0" borderId="100" xfId="0" applyNumberFormat="1" applyFont="1" applyFill="1" applyBorder="1" applyAlignment="1">
      <alignment horizontal="left" indent="1"/>
    </xf>
    <xf numFmtId="3" fontId="37" fillId="0" borderId="51" xfId="0" applyNumberFormat="1" applyFont="1" applyFill="1" applyBorder="1" applyAlignment="1">
      <alignment horizontal="right" indent="1"/>
    </xf>
    <xf numFmtId="3" fontId="37" fillId="0" borderId="68" xfId="0" applyNumberFormat="1" applyFont="1" applyFill="1" applyBorder="1" applyAlignment="1">
      <alignment horizontal="right" indent="1"/>
    </xf>
    <xf numFmtId="3" fontId="37" fillId="0" borderId="101" xfId="0" applyNumberFormat="1" applyFont="1" applyFill="1" applyBorder="1" applyAlignment="1">
      <alignment horizontal="right" indent="1"/>
    </xf>
    <xf numFmtId="3" fontId="37" fillId="0" borderId="93" xfId="0" applyNumberFormat="1" applyFont="1" applyFill="1" applyBorder="1" applyAlignment="1">
      <alignment horizontal="right" indent="1"/>
    </xf>
    <xf numFmtId="175" fontId="37" fillId="0" borderId="102" xfId="0" applyNumberFormat="1" applyFont="1" applyFill="1" applyBorder="1" applyAlignment="1">
      <alignment horizontal="center"/>
    </xf>
    <xf numFmtId="0" fontId="7" fillId="0" borderId="92" xfId="0" applyFont="1" applyFill="1" applyBorder="1" applyAlignment="1">
      <alignment/>
    </xf>
    <xf numFmtId="49" fontId="37" fillId="0" borderId="100" xfId="0" applyNumberFormat="1" applyFont="1" applyFill="1" applyBorder="1" applyAlignment="1">
      <alignment horizontal="left" indent="1"/>
    </xf>
    <xf numFmtId="3" fontId="37" fillId="0" borderId="96" xfId="0" applyNumberFormat="1" applyFont="1" applyFill="1" applyBorder="1" applyAlignment="1">
      <alignment horizontal="right" indent="1"/>
    </xf>
    <xf numFmtId="175" fontId="37" fillId="0" borderId="103" xfId="0" applyNumberFormat="1" applyFont="1" applyFill="1" applyBorder="1" applyAlignment="1">
      <alignment horizontal="center"/>
    </xf>
    <xf numFmtId="0" fontId="7" fillId="0" borderId="95" xfId="0" applyFont="1" applyFill="1" applyBorder="1" applyAlignment="1">
      <alignment/>
    </xf>
    <xf numFmtId="49" fontId="37" fillId="0" borderId="104" xfId="0" applyNumberFormat="1" applyFont="1" applyFill="1" applyBorder="1" applyAlignment="1">
      <alignment horizontal="left" indent="1"/>
    </xf>
    <xf numFmtId="3" fontId="37" fillId="0" borderId="52" xfId="0" applyNumberFormat="1" applyFont="1" applyFill="1" applyBorder="1" applyAlignment="1">
      <alignment horizontal="right" indent="1"/>
    </xf>
    <xf numFmtId="3" fontId="37" fillId="0" borderId="105" xfId="0" applyNumberFormat="1" applyFont="1" applyFill="1" applyBorder="1" applyAlignment="1">
      <alignment horizontal="right" indent="1"/>
    </xf>
    <xf numFmtId="49" fontId="37" fillId="0" borderId="106" xfId="0" applyNumberFormat="1" applyFont="1" applyFill="1" applyBorder="1" applyAlignment="1">
      <alignment horizontal="left" indent="1"/>
    </xf>
    <xf numFmtId="3" fontId="37" fillId="0" borderId="80" xfId="0" applyNumberFormat="1" applyFont="1" applyFill="1" applyBorder="1" applyAlignment="1">
      <alignment horizontal="right" indent="1"/>
    </xf>
    <xf numFmtId="3" fontId="37" fillId="0" borderId="82" xfId="0" applyNumberFormat="1" applyFont="1" applyFill="1" applyBorder="1" applyAlignment="1">
      <alignment horizontal="right" indent="1"/>
    </xf>
    <xf numFmtId="3" fontId="37" fillId="0" borderId="107" xfId="0" applyNumberFormat="1" applyFont="1" applyFill="1" applyBorder="1" applyAlignment="1">
      <alignment horizontal="right" indent="1"/>
    </xf>
    <xf numFmtId="3" fontId="37" fillId="0" borderId="108" xfId="0" applyNumberFormat="1" applyFont="1" applyFill="1" applyBorder="1" applyAlignment="1">
      <alignment horizontal="right" indent="1"/>
    </xf>
    <xf numFmtId="175" fontId="37" fillId="0" borderId="109" xfId="0" applyNumberFormat="1" applyFont="1" applyFill="1" applyBorder="1" applyAlignment="1">
      <alignment horizontal="center"/>
    </xf>
    <xf numFmtId="0" fontId="7" fillId="0" borderId="110" xfId="0" applyFont="1" applyFill="1" applyBorder="1" applyAlignment="1">
      <alignment/>
    </xf>
    <xf numFmtId="0" fontId="7" fillId="0" borderId="111" xfId="0" applyFont="1" applyBorder="1" applyAlignment="1">
      <alignment horizontal="left"/>
    </xf>
    <xf numFmtId="0" fontId="7" fillId="0" borderId="112" xfId="0" applyFont="1" applyBorder="1" applyAlignment="1">
      <alignment horizontal="center"/>
    </xf>
    <xf numFmtId="0" fontId="7" fillId="0" borderId="107" xfId="0" applyFont="1" applyBorder="1" applyAlignment="1">
      <alignment horizontal="center"/>
    </xf>
    <xf numFmtId="0" fontId="7" fillId="0" borderId="108" xfId="0" applyFont="1" applyBorder="1" applyAlignment="1">
      <alignment horizontal="center"/>
    </xf>
    <xf numFmtId="0" fontId="7" fillId="0" borderId="113" xfId="0" applyFont="1" applyBorder="1" applyAlignment="1">
      <alignment horizontal="center"/>
    </xf>
    <xf numFmtId="10" fontId="7" fillId="0" borderId="110" xfId="156" applyNumberFormat="1" applyFont="1" applyFill="1" applyBorder="1" applyAlignment="1">
      <alignment horizontal="center"/>
    </xf>
    <xf numFmtId="175" fontId="37" fillId="0" borderId="101" xfId="0" applyNumberFormat="1" applyFont="1" applyFill="1" applyBorder="1" applyAlignment="1">
      <alignment horizontal="center"/>
    </xf>
    <xf numFmtId="49" fontId="37" fillId="0" borderId="114" xfId="0" applyNumberFormat="1" applyFont="1" applyFill="1" applyBorder="1" applyAlignment="1">
      <alignment horizontal="left" indent="1"/>
    </xf>
    <xf numFmtId="3" fontId="37" fillId="0" borderId="115" xfId="0" applyNumberFormat="1" applyFont="1" applyFill="1" applyBorder="1" applyAlignment="1">
      <alignment horizontal="right" indent="1"/>
    </xf>
    <xf numFmtId="3" fontId="37" fillId="0" borderId="116" xfId="0" applyNumberFormat="1" applyFont="1" applyFill="1" applyBorder="1" applyAlignment="1">
      <alignment horizontal="right" indent="1"/>
    </xf>
    <xf numFmtId="175" fontId="37" fillId="0" borderId="107" xfId="0" applyNumberFormat="1" applyFont="1" applyFill="1" applyBorder="1" applyAlignment="1">
      <alignment horizontal="center"/>
    </xf>
    <xf numFmtId="0" fontId="7" fillId="0" borderId="117" xfId="0" applyFont="1" applyFill="1" applyBorder="1" applyAlignment="1">
      <alignment/>
    </xf>
    <xf numFmtId="0" fontId="7" fillId="0" borderId="118" xfId="0" applyFont="1" applyFill="1" applyBorder="1" applyAlignment="1">
      <alignment/>
    </xf>
    <xf numFmtId="0" fontId="7" fillId="0" borderId="87" xfId="0" applyFont="1" applyFill="1" applyBorder="1" applyAlignment="1">
      <alignment/>
    </xf>
    <xf numFmtId="0" fontId="7" fillId="0" borderId="31" xfId="0" applyFont="1" applyFill="1" applyBorder="1" applyAlignment="1">
      <alignment horizontal="left" wrapText="1" indent="1"/>
    </xf>
    <xf numFmtId="0" fontId="7" fillId="0" borderId="67" xfId="0" applyFont="1" applyFill="1" applyBorder="1" applyAlignment="1">
      <alignment horizontal="left" wrapText="1" indent="1"/>
    </xf>
    <xf numFmtId="0" fontId="7" fillId="0" borderId="58" xfId="0" applyFont="1" applyFill="1" applyBorder="1" applyAlignment="1">
      <alignment/>
    </xf>
    <xf numFmtId="0" fontId="37" fillId="0" borderId="94" xfId="0" applyFont="1" applyFill="1" applyBorder="1" applyAlignment="1">
      <alignment horizontal="left" indent="1"/>
    </xf>
    <xf numFmtId="0" fontId="77" fillId="0" borderId="119" xfId="0" applyFont="1" applyFill="1" applyBorder="1" applyAlignment="1">
      <alignment horizontal="center" wrapText="1"/>
    </xf>
    <xf numFmtId="0" fontId="77" fillId="0" borderId="120" xfId="0" applyFont="1" applyFill="1" applyBorder="1" applyAlignment="1">
      <alignment horizontal="center" wrapText="1"/>
    </xf>
    <xf numFmtId="0" fontId="77" fillId="0" borderId="103" xfId="0" applyFont="1" applyFill="1" applyBorder="1" applyAlignment="1">
      <alignment horizontal="center" wrapText="1"/>
    </xf>
    <xf numFmtId="0" fontId="7" fillId="0" borderId="96" xfId="0" applyFont="1" applyFill="1" applyBorder="1" applyAlignment="1">
      <alignment/>
    </xf>
    <xf numFmtId="0" fontId="7" fillId="0" borderId="120" xfId="0" applyFont="1" applyFill="1" applyBorder="1" applyAlignment="1">
      <alignment/>
    </xf>
    <xf numFmtId="0" fontId="7" fillId="0" borderId="66" xfId="0" applyFont="1" applyFill="1" applyBorder="1" applyAlignment="1">
      <alignment/>
    </xf>
    <xf numFmtId="0" fontId="77" fillId="0" borderId="51" xfId="0" applyFont="1" applyFill="1" applyBorder="1" applyAlignment="1">
      <alignment horizontal="center" wrapText="1"/>
    </xf>
    <xf numFmtId="0" fontId="77" fillId="0" borderId="67" xfId="0" applyFont="1" applyFill="1" applyBorder="1" applyAlignment="1">
      <alignment horizontal="center" wrapText="1"/>
    </xf>
    <xf numFmtId="0" fontId="7" fillId="0" borderId="67" xfId="0" applyFont="1" applyFill="1" applyBorder="1" applyAlignment="1">
      <alignment/>
    </xf>
    <xf numFmtId="4" fontId="37" fillId="0" borderId="52" xfId="0" applyNumberFormat="1" applyFont="1" applyFill="1" applyBorder="1" applyAlignment="1">
      <alignment horizontal="center" wrapText="1"/>
    </xf>
    <xf numFmtId="4" fontId="37" fillId="0" borderId="96" xfId="0" applyNumberFormat="1" applyFont="1" applyFill="1" applyBorder="1" applyAlignment="1">
      <alignment horizontal="center" wrapText="1"/>
    </xf>
    <xf numFmtId="0" fontId="77" fillId="0" borderId="52" xfId="0" applyFont="1" applyFill="1" applyBorder="1" applyAlignment="1">
      <alignment horizontal="center" wrapText="1"/>
    </xf>
    <xf numFmtId="0" fontId="77" fillId="0" borderId="96" xfId="0" applyFont="1" applyFill="1" applyBorder="1" applyAlignment="1">
      <alignment horizontal="center" wrapText="1"/>
    </xf>
    <xf numFmtId="0" fontId="37" fillId="0" borderId="52" xfId="0" applyFont="1" applyFill="1" applyBorder="1" applyAlignment="1">
      <alignment horizontal="center"/>
    </xf>
    <xf numFmtId="0" fontId="37" fillId="0" borderId="96" xfId="0" applyFont="1" applyFill="1" applyBorder="1" applyAlignment="1">
      <alignment horizontal="center"/>
    </xf>
    <xf numFmtId="0" fontId="37" fillId="0" borderId="103" xfId="0" applyFont="1" applyFill="1" applyBorder="1" applyAlignment="1">
      <alignment horizontal="center"/>
    </xf>
    <xf numFmtId="4" fontId="37" fillId="0" borderId="52" xfId="0" applyNumberFormat="1" applyFont="1" applyFill="1" applyBorder="1" applyAlignment="1">
      <alignment horizontal="center"/>
    </xf>
    <xf numFmtId="4" fontId="37" fillId="0" borderId="96" xfId="0" applyNumberFormat="1" applyFont="1" applyFill="1" applyBorder="1" applyAlignment="1">
      <alignment horizontal="center"/>
    </xf>
    <xf numFmtId="49" fontId="37" fillId="0" borderId="121" xfId="0" applyNumberFormat="1" applyFont="1" applyFill="1" applyBorder="1" applyAlignment="1">
      <alignment horizontal="left" indent="1"/>
    </xf>
    <xf numFmtId="4" fontId="37" fillId="0" borderId="112" xfId="0" applyNumberFormat="1" applyFont="1" applyFill="1" applyBorder="1" applyAlignment="1">
      <alignment horizontal="center"/>
    </xf>
    <xf numFmtId="4" fontId="37" fillId="0" borderId="108" xfId="0" applyNumberFormat="1" applyFont="1" applyFill="1" applyBorder="1" applyAlignment="1">
      <alignment horizontal="center"/>
    </xf>
    <xf numFmtId="4" fontId="37" fillId="0" borderId="113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/>
    </xf>
    <xf numFmtId="3" fontId="37" fillId="0" borderId="0" xfId="0" applyNumberFormat="1" applyFont="1" applyFill="1" applyBorder="1" applyAlignment="1">
      <alignment/>
    </xf>
    <xf numFmtId="0" fontId="37" fillId="0" borderId="44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37" fillId="0" borderId="30" xfId="0" applyFont="1" applyBorder="1" applyAlignment="1">
      <alignment horizontal="right" vertical="center" wrapText="1" indent="1"/>
    </xf>
    <xf numFmtId="0" fontId="37" fillId="0" borderId="54" xfId="0" applyFont="1" applyFill="1" applyBorder="1" applyAlignment="1">
      <alignment horizontal="center" vertical="center" wrapText="1"/>
    </xf>
    <xf numFmtId="0" fontId="37" fillId="0" borderId="122" xfId="0" applyFont="1" applyFill="1" applyBorder="1" applyAlignment="1">
      <alignment horizontal="center" vertical="center" wrapText="1"/>
    </xf>
    <xf numFmtId="0" fontId="7" fillId="0" borderId="84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/>
    </xf>
    <xf numFmtId="49" fontId="37" fillId="0" borderId="123" xfId="0" applyNumberFormat="1" applyFont="1" applyFill="1" applyBorder="1" applyAlignment="1">
      <alignment horizontal="left" indent="1"/>
    </xf>
    <xf numFmtId="3" fontId="37" fillId="0" borderId="99" xfId="0" applyNumberFormat="1" applyFont="1" applyFill="1" applyBorder="1" applyAlignment="1">
      <alignment horizontal="right" indent="1"/>
    </xf>
    <xf numFmtId="3" fontId="37" fillId="0" borderId="92" xfId="0" applyNumberFormat="1" applyFont="1" applyFill="1" applyBorder="1" applyAlignment="1">
      <alignment horizontal="right" indent="1"/>
    </xf>
    <xf numFmtId="3" fontId="37" fillId="0" borderId="0" xfId="0" applyNumberFormat="1" applyFont="1" applyFill="1" applyBorder="1" applyAlignment="1">
      <alignment horizontal="right" indent="1"/>
    </xf>
    <xf numFmtId="175" fontId="37" fillId="0" borderId="0" xfId="0" applyNumberFormat="1" applyFont="1" applyFill="1" applyBorder="1" applyAlignment="1">
      <alignment horizontal="center"/>
    </xf>
    <xf numFmtId="49" fontId="37" fillId="0" borderId="124" xfId="0" applyNumberFormat="1" applyFont="1" applyFill="1" applyBorder="1" applyAlignment="1">
      <alignment horizontal="left" indent="1"/>
    </xf>
    <xf numFmtId="3" fontId="37" fillId="0" borderId="55" xfId="0" applyNumberFormat="1" applyFont="1" applyFill="1" applyBorder="1" applyAlignment="1">
      <alignment horizontal="right" indent="1"/>
    </xf>
    <xf numFmtId="3" fontId="37" fillId="0" borderId="31" xfId="0" applyNumberFormat="1" applyFont="1" applyFill="1" applyBorder="1" applyAlignment="1">
      <alignment horizontal="right" indent="1"/>
    </xf>
    <xf numFmtId="3" fontId="37" fillId="0" borderId="56" xfId="0" applyNumberFormat="1" applyFont="1" applyFill="1" applyBorder="1" applyAlignment="1">
      <alignment horizontal="right" indent="1"/>
    </xf>
    <xf numFmtId="3" fontId="37" fillId="0" borderId="58" xfId="0" applyNumberFormat="1" applyFont="1" applyFill="1" applyBorder="1" applyAlignment="1">
      <alignment horizontal="right" indent="1"/>
    </xf>
    <xf numFmtId="49" fontId="37" fillId="0" borderId="125" xfId="0" applyNumberFormat="1" applyFont="1" applyFill="1" applyBorder="1" applyAlignment="1">
      <alignment horizontal="left" indent="1"/>
    </xf>
    <xf numFmtId="3" fontId="77" fillId="0" borderId="41" xfId="0" applyNumberFormat="1" applyFont="1" applyFill="1" applyBorder="1" applyAlignment="1">
      <alignment horizontal="right" indent="1"/>
    </xf>
    <xf numFmtId="3" fontId="77" fillId="0" borderId="88" xfId="0" applyNumberFormat="1" applyFont="1" applyFill="1" applyBorder="1" applyAlignment="1">
      <alignment horizontal="right" indent="1"/>
    </xf>
    <xf numFmtId="3" fontId="77" fillId="0" borderId="83" xfId="0" applyNumberFormat="1" applyFont="1" applyFill="1" applyBorder="1" applyAlignment="1">
      <alignment horizontal="right" indent="1"/>
    </xf>
    <xf numFmtId="3" fontId="77" fillId="0" borderId="39" xfId="0" applyNumberFormat="1" applyFont="1" applyFill="1" applyBorder="1" applyAlignment="1">
      <alignment horizontal="right" indent="1"/>
    </xf>
    <xf numFmtId="3" fontId="77" fillId="0" borderId="42" xfId="0" applyNumberFormat="1" applyFont="1" applyFill="1" applyBorder="1" applyAlignment="1">
      <alignment horizontal="right" indent="1"/>
    </xf>
    <xf numFmtId="3" fontId="77" fillId="0" borderId="0" xfId="0" applyNumberFormat="1" applyFont="1" applyFill="1" applyBorder="1" applyAlignment="1">
      <alignment horizontal="right" indent="1"/>
    </xf>
    <xf numFmtId="175" fontId="77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37" fillId="0" borderId="123" xfId="0" applyFont="1" applyBorder="1" applyAlignment="1">
      <alignment horizontal="left" indent="1"/>
    </xf>
    <xf numFmtId="0" fontId="37" fillId="0" borderId="99" xfId="0" applyFont="1" applyBorder="1" applyAlignment="1">
      <alignment horizontal="center"/>
    </xf>
    <xf numFmtId="0" fontId="37" fillId="0" borderId="93" xfId="0" applyFont="1" applyBorder="1" applyAlignment="1">
      <alignment horizontal="center"/>
    </xf>
    <xf numFmtId="0" fontId="37" fillId="0" borderId="101" xfId="0" applyFont="1" applyBorder="1" applyAlignment="1">
      <alignment horizontal="center"/>
    </xf>
    <xf numFmtId="0" fontId="37" fillId="0" borderId="92" xfId="0" applyFont="1" applyBorder="1" applyAlignment="1">
      <alignment horizontal="center"/>
    </xf>
    <xf numFmtId="0" fontId="37" fillId="0" borderId="104" xfId="0" applyFont="1" applyBorder="1" applyAlignment="1">
      <alignment horizontal="left" indent="1"/>
    </xf>
    <xf numFmtId="0" fontId="37" fillId="0" borderId="52" xfId="0" applyFont="1" applyBorder="1" applyAlignment="1">
      <alignment horizontal="center"/>
    </xf>
    <xf numFmtId="0" fontId="37" fillId="0" borderId="96" xfId="0" applyFont="1" applyBorder="1" applyAlignment="1">
      <alignment horizontal="center"/>
    </xf>
    <xf numFmtId="0" fontId="37" fillId="0" borderId="105" xfId="0" applyFont="1" applyBorder="1" applyAlignment="1">
      <alignment horizontal="center"/>
    </xf>
    <xf numFmtId="0" fontId="37" fillId="0" borderId="95" xfId="0" applyFont="1" applyBorder="1" applyAlignment="1">
      <alignment horizontal="center"/>
    </xf>
    <xf numFmtId="3" fontId="37" fillId="0" borderId="90" xfId="0" applyNumberFormat="1" applyFont="1" applyFill="1" applyBorder="1" applyAlignment="1">
      <alignment horizontal="right" indent="1"/>
    </xf>
    <xf numFmtId="3" fontId="37" fillId="0" borderId="29" xfId="0" applyNumberFormat="1" applyFont="1" applyFill="1" applyBorder="1" applyAlignment="1">
      <alignment horizontal="right" indent="1"/>
    </xf>
    <xf numFmtId="3" fontId="37" fillId="0" borderId="126" xfId="0" applyNumberFormat="1" applyFont="1" applyFill="1" applyBorder="1" applyAlignment="1">
      <alignment horizontal="right" indent="1"/>
    </xf>
    <xf numFmtId="3" fontId="37" fillId="0" borderId="72" xfId="0" applyNumberFormat="1" applyFont="1" applyFill="1" applyBorder="1" applyAlignment="1">
      <alignment horizontal="right" indent="1"/>
    </xf>
    <xf numFmtId="3" fontId="37" fillId="0" borderId="81" xfId="0" applyNumberFormat="1" applyFont="1" applyFill="1" applyBorder="1" applyAlignment="1">
      <alignment horizontal="right" indent="1"/>
    </xf>
    <xf numFmtId="0" fontId="37" fillId="0" borderId="117" xfId="0" applyFont="1" applyBorder="1" applyAlignment="1">
      <alignment/>
    </xf>
    <xf numFmtId="0" fontId="37" fillId="0" borderId="118" xfId="0" applyFont="1" applyBorder="1" applyAlignment="1">
      <alignment/>
    </xf>
    <xf numFmtId="0" fontId="37" fillId="0" borderId="127" xfId="0" applyFont="1" applyBorder="1" applyAlignment="1">
      <alignment/>
    </xf>
    <xf numFmtId="0" fontId="37" fillId="0" borderId="0" xfId="0" applyFont="1" applyBorder="1" applyAlignment="1">
      <alignment/>
    </xf>
    <xf numFmtId="0" fontId="77" fillId="0" borderId="128" xfId="0" applyFont="1" applyBorder="1" applyAlignment="1">
      <alignment/>
    </xf>
    <xf numFmtId="3" fontId="37" fillId="0" borderId="129" xfId="0" applyNumberFormat="1" applyFont="1" applyFill="1" applyBorder="1" applyAlignment="1">
      <alignment horizontal="right" indent="1"/>
    </xf>
    <xf numFmtId="3" fontId="37" fillId="0" borderId="130" xfId="0" applyNumberFormat="1" applyFont="1" applyFill="1" applyBorder="1" applyAlignment="1">
      <alignment horizontal="right" indent="1"/>
    </xf>
    <xf numFmtId="0" fontId="37" fillId="0" borderId="22" xfId="0" applyFont="1" applyFill="1" applyBorder="1" applyAlignment="1">
      <alignment horizontal="center" vertical="center" wrapText="1"/>
    </xf>
    <xf numFmtId="0" fontId="37" fillId="0" borderId="16" xfId="0" applyFont="1" applyFill="1" applyBorder="1" applyAlignment="1">
      <alignment horizontal="center" vertical="center" wrapText="1"/>
    </xf>
    <xf numFmtId="0" fontId="7" fillId="0" borderId="90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37" fillId="0" borderId="65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3" fontId="37" fillId="0" borderId="76" xfId="0" applyNumberFormat="1" applyFont="1" applyFill="1" applyBorder="1" applyAlignment="1">
      <alignment horizontal="right" indent="1"/>
    </xf>
    <xf numFmtId="4" fontId="37" fillId="0" borderId="116" xfId="0" applyNumberFormat="1" applyFont="1" applyFill="1" applyBorder="1" applyAlignment="1">
      <alignment horizontal="right" indent="1"/>
    </xf>
    <xf numFmtId="4" fontId="37" fillId="0" borderId="82" xfId="0" applyNumberFormat="1" applyFont="1" applyFill="1" applyBorder="1" applyAlignment="1">
      <alignment horizontal="right" indent="1"/>
    </xf>
    <xf numFmtId="10" fontId="7" fillId="0" borderId="79" xfId="156" applyNumberFormat="1" applyFont="1" applyFill="1" applyBorder="1" applyAlignment="1">
      <alignment horizontal="center"/>
    </xf>
    <xf numFmtId="3" fontId="37" fillId="0" borderId="77" xfId="0" applyNumberFormat="1" applyFont="1" applyFill="1" applyBorder="1" applyAlignment="1">
      <alignment horizontal="right" indent="1"/>
    </xf>
    <xf numFmtId="49" fontId="77" fillId="0" borderId="121" xfId="0" applyNumberFormat="1" applyFont="1" applyFill="1" applyBorder="1" applyAlignment="1">
      <alignment horizontal="left" indent="1"/>
    </xf>
    <xf numFmtId="4" fontId="76" fillId="0" borderId="56" xfId="0" applyNumberFormat="1" applyFont="1" applyFill="1" applyBorder="1" applyAlignment="1">
      <alignment horizontal="right" indent="1"/>
    </xf>
    <xf numFmtId="4" fontId="76" fillId="0" borderId="119" xfId="0" applyNumberFormat="1" applyFont="1" applyFill="1" applyBorder="1" applyAlignment="1">
      <alignment horizontal="right" indent="1"/>
    </xf>
    <xf numFmtId="4" fontId="76" fillId="0" borderId="120" xfId="0" applyNumberFormat="1" applyFont="1" applyFill="1" applyBorder="1" applyAlignment="1">
      <alignment horizontal="right" indent="1"/>
    </xf>
    <xf numFmtId="4" fontId="7" fillId="0" borderId="120" xfId="0" applyNumberFormat="1" applyFont="1" applyFill="1" applyBorder="1" applyAlignment="1">
      <alignment horizontal="right" indent="1"/>
    </xf>
    <xf numFmtId="4" fontId="7" fillId="0" borderId="131" xfId="0" applyNumberFormat="1" applyFont="1" applyFill="1" applyBorder="1" applyAlignment="1">
      <alignment horizontal="right" indent="1"/>
    </xf>
    <xf numFmtId="4" fontId="76" fillId="0" borderId="132" xfId="0" applyNumberFormat="1" applyFont="1" applyFill="1" applyBorder="1" applyAlignment="1">
      <alignment horizontal="right" indent="1"/>
    </xf>
    <xf numFmtId="4" fontId="7" fillId="0" borderId="120" xfId="156" applyNumberFormat="1" applyFont="1" applyFill="1" applyBorder="1" applyAlignment="1">
      <alignment horizontal="center"/>
    </xf>
    <xf numFmtId="10" fontId="7" fillId="0" borderId="120" xfId="156" applyNumberFormat="1" applyFont="1" applyFill="1" applyBorder="1" applyAlignment="1">
      <alignment horizontal="center"/>
    </xf>
    <xf numFmtId="10" fontId="7" fillId="0" borderId="131" xfId="156" applyNumberFormat="1" applyFont="1" applyFill="1" applyBorder="1" applyAlignment="1">
      <alignment horizontal="center"/>
    </xf>
    <xf numFmtId="49" fontId="7" fillId="0" borderId="70" xfId="0" applyNumberFormat="1" applyFont="1" applyFill="1" applyBorder="1" applyAlignment="1">
      <alignment horizontal="left" indent="1"/>
    </xf>
    <xf numFmtId="49" fontId="76" fillId="0" borderId="131" xfId="0" applyNumberFormat="1" applyFont="1" applyFill="1" applyBorder="1" applyAlignment="1">
      <alignment horizontal="left" indent="1"/>
    </xf>
    <xf numFmtId="0" fontId="79" fillId="0" borderId="0" xfId="0" applyFont="1" applyFill="1" applyAlignment="1">
      <alignment horizontal="right"/>
    </xf>
    <xf numFmtId="0" fontId="80" fillId="0" borderId="0" xfId="0" applyFont="1" applyFill="1" applyAlignment="1">
      <alignment horizontal="right"/>
    </xf>
    <xf numFmtId="0" fontId="79" fillId="0" borderId="0" xfId="0" applyFont="1" applyFill="1" applyAlignment="1">
      <alignment/>
    </xf>
    <xf numFmtId="10" fontId="7" fillId="0" borderId="67" xfId="156" applyNumberFormat="1" applyFont="1" applyFill="1" applyBorder="1" applyAlignment="1">
      <alignment horizontal="center"/>
    </xf>
    <xf numFmtId="4" fontId="7" fillId="0" borderId="68" xfId="0" applyNumberFormat="1" applyFont="1" applyFill="1" applyBorder="1" applyAlignment="1">
      <alignment horizontal="right" indent="1"/>
    </xf>
    <xf numFmtId="4" fontId="7" fillId="0" borderId="105" xfId="0" applyNumberFormat="1" applyFont="1" applyFill="1" applyBorder="1" applyAlignment="1">
      <alignment horizontal="right" indent="1"/>
    </xf>
    <xf numFmtId="4" fontId="7" fillId="0" borderId="97" xfId="0" applyNumberFormat="1" applyFont="1" applyFill="1" applyBorder="1" applyAlignment="1">
      <alignment horizontal="right" indent="1"/>
    </xf>
    <xf numFmtId="4" fontId="7" fillId="0" borderId="133" xfId="0" applyNumberFormat="1" applyFont="1" applyFill="1" applyBorder="1" applyAlignment="1">
      <alignment horizontal="right" indent="1"/>
    </xf>
    <xf numFmtId="4" fontId="7" fillId="0" borderId="134" xfId="0" applyNumberFormat="1" applyFont="1" applyFill="1" applyBorder="1" applyAlignment="1">
      <alignment horizontal="right" indent="1"/>
    </xf>
    <xf numFmtId="4" fontId="7" fillId="0" borderId="65" xfId="0" applyNumberFormat="1" applyFont="1" applyFill="1" applyBorder="1" applyAlignment="1">
      <alignment horizontal="right" indent="1"/>
    </xf>
    <xf numFmtId="4" fontId="7" fillId="0" borderId="135" xfId="0" applyNumberFormat="1" applyFont="1" applyFill="1" applyBorder="1" applyAlignment="1">
      <alignment horizontal="right" indent="1"/>
    </xf>
    <xf numFmtId="4" fontId="7" fillId="0" borderId="94" xfId="0" applyNumberFormat="1" applyFont="1" applyFill="1" applyBorder="1" applyAlignment="1">
      <alignment horizontal="right" indent="1"/>
    </xf>
    <xf numFmtId="4" fontId="7" fillId="0" borderId="136" xfId="0" applyNumberFormat="1" applyFont="1" applyFill="1" applyBorder="1" applyAlignment="1">
      <alignment horizontal="right" indent="1"/>
    </xf>
    <xf numFmtId="0" fontId="81" fillId="0" borderId="0" xfId="0" applyFont="1" applyFill="1" applyAlignment="1">
      <alignment/>
    </xf>
    <xf numFmtId="0" fontId="78" fillId="0" borderId="123" xfId="0" applyFont="1" applyBorder="1" applyAlignment="1">
      <alignment horizontal="left"/>
    </xf>
    <xf numFmtId="4" fontId="78" fillId="0" borderId="99" xfId="0" applyNumberFormat="1" applyFont="1" applyBorder="1" applyAlignment="1">
      <alignment horizontal="center"/>
    </xf>
    <xf numFmtId="4" fontId="78" fillId="0" borderId="101" xfId="0" applyNumberFormat="1" applyFont="1" applyBorder="1" applyAlignment="1">
      <alignment horizontal="center"/>
    </xf>
    <xf numFmtId="4" fontId="78" fillId="0" borderId="93" xfId="0" applyNumberFormat="1" applyFont="1" applyBorder="1" applyAlignment="1">
      <alignment horizontal="center"/>
    </xf>
    <xf numFmtId="4" fontId="78" fillId="0" borderId="102" xfId="0" applyNumberFormat="1" applyFont="1" applyBorder="1" applyAlignment="1">
      <alignment horizontal="center"/>
    </xf>
    <xf numFmtId="10" fontId="78" fillId="0" borderId="92" xfId="156" applyNumberFormat="1" applyFont="1" applyFill="1" applyBorder="1" applyAlignment="1">
      <alignment horizontal="center"/>
    </xf>
    <xf numFmtId="0" fontId="78" fillId="0" borderId="100" xfId="0" applyFont="1" applyFill="1" applyBorder="1" applyAlignment="1">
      <alignment horizontal="left"/>
    </xf>
    <xf numFmtId="4" fontId="78" fillId="0" borderId="51" xfId="0" applyNumberFormat="1" applyFont="1" applyFill="1" applyBorder="1" applyAlignment="1">
      <alignment horizontal="center"/>
    </xf>
    <xf numFmtId="4" fontId="78" fillId="0" borderId="68" xfId="0" applyNumberFormat="1" applyFont="1" applyFill="1" applyBorder="1" applyAlignment="1">
      <alignment horizontal="center"/>
    </xf>
    <xf numFmtId="4" fontId="78" fillId="0" borderId="67" xfId="0" applyNumberFormat="1" applyFont="1" applyBorder="1" applyAlignment="1">
      <alignment horizontal="center"/>
    </xf>
    <xf numFmtId="4" fontId="78" fillId="0" borderId="137" xfId="0" applyNumberFormat="1" applyFont="1" applyBorder="1" applyAlignment="1">
      <alignment horizontal="center"/>
    </xf>
    <xf numFmtId="10" fontId="78" fillId="0" borderId="95" xfId="156" applyNumberFormat="1" applyFont="1" applyFill="1" applyBorder="1" applyAlignment="1">
      <alignment horizontal="center"/>
    </xf>
    <xf numFmtId="0" fontId="78" fillId="0" borderId="100" xfId="0" applyFont="1" applyBorder="1" applyAlignment="1">
      <alignment horizontal="left"/>
    </xf>
    <xf numFmtId="4" fontId="78" fillId="0" borderId="51" xfId="0" applyNumberFormat="1" applyFont="1" applyBorder="1" applyAlignment="1">
      <alignment horizontal="center"/>
    </xf>
    <xf numFmtId="4" fontId="78" fillId="0" borderId="68" xfId="0" applyNumberFormat="1" applyFont="1" applyBorder="1" applyAlignment="1">
      <alignment horizontal="center"/>
    </xf>
    <xf numFmtId="0" fontId="78" fillId="0" borderId="104" xfId="0" applyFont="1" applyBorder="1" applyAlignment="1">
      <alignment horizontal="left"/>
    </xf>
    <xf numFmtId="0" fontId="78" fillId="0" borderId="52" xfId="0" applyFont="1" applyBorder="1" applyAlignment="1">
      <alignment horizontal="center"/>
    </xf>
    <xf numFmtId="0" fontId="78" fillId="0" borderId="105" xfId="0" applyFont="1" applyBorder="1" applyAlignment="1">
      <alignment horizontal="center"/>
    </xf>
    <xf numFmtId="0" fontId="78" fillId="0" borderId="96" xfId="0" applyFont="1" applyBorder="1" applyAlignment="1">
      <alignment horizontal="center"/>
    </xf>
    <xf numFmtId="0" fontId="78" fillId="0" borderId="103" xfId="0" applyFont="1" applyBorder="1" applyAlignment="1">
      <alignment horizontal="center"/>
    </xf>
    <xf numFmtId="0" fontId="79" fillId="0" borderId="38" xfId="0" applyFont="1" applyFill="1" applyBorder="1" applyAlignment="1">
      <alignment horizontal="center" vertical="center" wrapText="1"/>
    </xf>
    <xf numFmtId="0" fontId="79" fillId="0" borderId="71" xfId="0" applyFont="1" applyFill="1" applyBorder="1" applyAlignment="1">
      <alignment horizontal="center" vertical="center" wrapText="1"/>
    </xf>
    <xf numFmtId="0" fontId="81" fillId="0" borderId="0" xfId="0" applyFont="1" applyFill="1" applyAlignment="1">
      <alignment/>
    </xf>
    <xf numFmtId="49" fontId="80" fillId="0" borderId="121" xfId="0" applyNumberFormat="1" applyFont="1" applyFill="1" applyBorder="1" applyAlignment="1">
      <alignment horizontal="left" indent="1"/>
    </xf>
    <xf numFmtId="4" fontId="80" fillId="0" borderId="90" xfId="0" applyNumberFormat="1" applyFont="1" applyFill="1" applyBorder="1" applyAlignment="1">
      <alignment horizontal="right" indent="1"/>
    </xf>
    <xf numFmtId="4" fontId="80" fillId="0" borderId="29" xfId="0" applyNumberFormat="1" applyFont="1" applyFill="1" applyBorder="1" applyAlignment="1">
      <alignment horizontal="right" indent="1"/>
    </xf>
    <xf numFmtId="3" fontId="80" fillId="0" borderId="0" xfId="0" applyNumberFormat="1" applyFont="1" applyFill="1" applyBorder="1" applyAlignment="1">
      <alignment horizontal="right" indent="1"/>
    </xf>
    <xf numFmtId="175" fontId="80" fillId="0" borderId="0" xfId="0" applyNumberFormat="1" applyFont="1" applyFill="1" applyBorder="1" applyAlignment="1">
      <alignment horizontal="center"/>
    </xf>
    <xf numFmtId="0" fontId="80" fillId="0" borderId="0" xfId="0" applyFont="1" applyFill="1" applyAlignment="1">
      <alignment/>
    </xf>
    <xf numFmtId="10" fontId="79" fillId="0" borderId="66" xfId="156" applyNumberFormat="1" applyFont="1" applyFill="1" applyBorder="1" applyAlignment="1">
      <alignment horizontal="center"/>
    </xf>
    <xf numFmtId="0" fontId="80" fillId="0" borderId="138" xfId="0" applyFont="1" applyBorder="1" applyAlignment="1">
      <alignment/>
    </xf>
    <xf numFmtId="4" fontId="80" fillId="0" borderId="69" xfId="0" applyNumberFormat="1" applyFont="1" applyFill="1" applyBorder="1" applyAlignment="1">
      <alignment horizontal="center"/>
    </xf>
    <xf numFmtId="4" fontId="80" fillId="0" borderId="70" xfId="0" applyNumberFormat="1" applyFont="1" applyFill="1" applyBorder="1" applyAlignment="1">
      <alignment horizontal="center"/>
    </xf>
    <xf numFmtId="10" fontId="80" fillId="0" borderId="139" xfId="156" applyNumberFormat="1" applyFont="1" applyFill="1" applyBorder="1" applyAlignment="1">
      <alignment horizontal="center"/>
    </xf>
    <xf numFmtId="4" fontId="4" fillId="0" borderId="0" xfId="0" applyNumberFormat="1" applyFont="1" applyBorder="1" applyAlignment="1">
      <alignment/>
    </xf>
    <xf numFmtId="4" fontId="4" fillId="0" borderId="31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55" xfId="0" applyNumberFormat="1" applyFont="1" applyBorder="1" applyAlignment="1">
      <alignment/>
    </xf>
    <xf numFmtId="4" fontId="4" fillId="0" borderId="31" xfId="0" applyNumberFormat="1" applyFont="1" applyBorder="1" applyAlignment="1">
      <alignment/>
    </xf>
    <xf numFmtId="4" fontId="4" fillId="0" borderId="55" xfId="0" applyNumberFormat="1" applyFont="1" applyFill="1" applyBorder="1" applyAlignment="1">
      <alignment/>
    </xf>
    <xf numFmtId="4" fontId="4" fillId="0" borderId="90" xfId="0" applyNumberFormat="1" applyFont="1" applyBorder="1" applyAlignment="1">
      <alignment/>
    </xf>
    <xf numFmtId="4" fontId="4" fillId="0" borderId="29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0" fontId="32" fillId="0" borderId="43" xfId="0" applyFont="1" applyBorder="1" applyAlignment="1">
      <alignment/>
    </xf>
    <xf numFmtId="0" fontId="32" fillId="0" borderId="46" xfId="0" applyFont="1" applyBorder="1" applyAlignment="1">
      <alignment/>
    </xf>
    <xf numFmtId="0" fontId="32" fillId="0" borderId="47" xfId="0" applyFont="1" applyBorder="1" applyAlignment="1">
      <alignment/>
    </xf>
    <xf numFmtId="0" fontId="32" fillId="0" borderId="140" xfId="0" applyFont="1" applyBorder="1" applyAlignment="1">
      <alignment horizontal="centerContinuous"/>
    </xf>
    <xf numFmtId="0" fontId="32" fillId="0" borderId="27" xfId="0" applyFont="1" applyBorder="1" applyAlignment="1">
      <alignment horizontal="centerContinuous"/>
    </xf>
    <xf numFmtId="0" fontId="32" fillId="0" borderId="46" xfId="0" applyFont="1" applyBorder="1" applyAlignment="1">
      <alignment horizontal="centerContinuous"/>
    </xf>
    <xf numFmtId="0" fontId="32" fillId="0" borderId="47" xfId="0" applyFont="1" applyBorder="1" applyAlignment="1">
      <alignment horizontal="centerContinuous"/>
    </xf>
    <xf numFmtId="0" fontId="32" fillId="0" borderId="44" xfId="0" applyFont="1" applyBorder="1" applyAlignment="1">
      <alignment/>
    </xf>
    <xf numFmtId="0" fontId="32" fillId="0" borderId="19" xfId="0" applyFont="1" applyBorder="1" applyAlignment="1">
      <alignment/>
    </xf>
    <xf numFmtId="0" fontId="32" fillId="0" borderId="30" xfId="0" applyFont="1" applyBorder="1" applyAlignment="1">
      <alignment/>
    </xf>
    <xf numFmtId="0" fontId="32" fillId="0" borderId="90" xfId="0" applyFont="1" applyBorder="1" applyAlignment="1">
      <alignment horizontal="centerContinuous"/>
    </xf>
    <xf numFmtId="0" fontId="32" fillId="0" borderId="29" xfId="0" applyFont="1" applyBorder="1" applyAlignment="1">
      <alignment horizontal="centerContinuous"/>
    </xf>
    <xf numFmtId="0" fontId="32" fillId="0" borderId="19" xfId="0" applyFont="1" applyBorder="1" applyAlignment="1">
      <alignment horizontal="centerContinuous"/>
    </xf>
    <xf numFmtId="0" fontId="32" fillId="0" borderId="30" xfId="0" applyFont="1" applyBorder="1" applyAlignment="1">
      <alignment horizontal="centerContinuous"/>
    </xf>
    <xf numFmtId="0" fontId="4" fillId="0" borderId="36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36" xfId="0" applyFont="1" applyBorder="1" applyAlignment="1">
      <alignment/>
    </xf>
    <xf numFmtId="0" fontId="82" fillId="0" borderId="0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0" xfId="0" applyFont="1" applyBorder="1" applyAlignment="1">
      <alignment/>
    </xf>
    <xf numFmtId="4" fontId="4" fillId="0" borderId="0" xfId="0" applyNumberFormat="1" applyFont="1" applyFill="1" applyAlignment="1">
      <alignment/>
    </xf>
    <xf numFmtId="0" fontId="4" fillId="0" borderId="44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31" fillId="0" borderId="141" xfId="0" applyFont="1" applyFill="1" applyBorder="1" applyAlignment="1">
      <alignment/>
    </xf>
    <xf numFmtId="0" fontId="31" fillId="0" borderId="142" xfId="0" applyFont="1" applyFill="1" applyBorder="1" applyAlignment="1">
      <alignment horizontal="center"/>
    </xf>
    <xf numFmtId="0" fontId="31" fillId="0" borderId="0" xfId="0" applyFont="1" applyFill="1" applyAlignment="1">
      <alignment/>
    </xf>
    <xf numFmtId="0" fontId="31" fillId="0" borderId="143" xfId="0" applyFont="1" applyFill="1" applyBorder="1" applyAlignment="1">
      <alignment/>
    </xf>
    <xf numFmtId="0" fontId="31" fillId="0" borderId="144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0" fillId="0" borderId="143" xfId="0" applyFont="1" applyFill="1" applyBorder="1" applyAlignment="1">
      <alignment horizontal="center"/>
    </xf>
    <xf numFmtId="0" fontId="83" fillId="0" borderId="90" xfId="0" applyFont="1" applyFill="1" applyBorder="1" applyAlignment="1">
      <alignment horizontal="center"/>
    </xf>
    <xf numFmtId="0" fontId="83" fillId="0" borderId="50" xfId="0" applyFont="1" applyFill="1" applyBorder="1" applyAlignment="1">
      <alignment horizontal="center"/>
    </xf>
    <xf numFmtId="0" fontId="83" fillId="0" borderId="30" xfId="0" applyFont="1" applyFill="1" applyBorder="1" applyAlignment="1">
      <alignment horizontal="center"/>
    </xf>
    <xf numFmtId="0" fontId="83" fillId="0" borderId="121" xfId="0" applyFont="1" applyFill="1" applyBorder="1" applyAlignment="1">
      <alignment horizontal="center"/>
    </xf>
    <xf numFmtId="0" fontId="83" fillId="0" borderId="29" xfId="0" applyFont="1" applyFill="1" applyBorder="1" applyAlignment="1">
      <alignment horizontal="center"/>
    </xf>
    <xf numFmtId="0" fontId="83" fillId="0" borderId="126" xfId="0" applyFont="1" applyFill="1" applyBorder="1" applyAlignment="1">
      <alignment horizontal="center"/>
    </xf>
    <xf numFmtId="0" fontId="83" fillId="0" borderId="72" xfId="0" applyFont="1" applyFill="1" applyBorder="1" applyAlignment="1">
      <alignment horizontal="center"/>
    </xf>
    <xf numFmtId="0" fontId="83" fillId="0" borderId="144" xfId="0" applyFont="1" applyFill="1" applyBorder="1" applyAlignment="1">
      <alignment horizontal="center"/>
    </xf>
    <xf numFmtId="0" fontId="83" fillId="0" borderId="0" xfId="0" applyFont="1" applyFill="1" applyBorder="1" applyAlignment="1">
      <alignment horizontal="center"/>
    </xf>
    <xf numFmtId="0" fontId="32" fillId="0" borderId="145" xfId="138" applyFont="1" applyFill="1" applyBorder="1" applyAlignment="1">
      <alignment horizontal="left"/>
      <protection/>
    </xf>
    <xf numFmtId="4" fontId="32" fillId="0" borderId="20" xfId="138" applyNumberFormat="1" applyFont="1" applyFill="1" applyBorder="1">
      <alignment/>
      <protection/>
    </xf>
    <xf numFmtId="4" fontId="32" fillId="0" borderId="73" xfId="138" applyNumberFormat="1" applyFont="1" applyFill="1" applyBorder="1">
      <alignment/>
      <protection/>
    </xf>
    <xf numFmtId="3" fontId="32" fillId="0" borderId="73" xfId="138" applyNumberFormat="1" applyFont="1" applyFill="1" applyBorder="1">
      <alignment/>
      <protection/>
    </xf>
    <xf numFmtId="3" fontId="32" fillId="0" borderId="47" xfId="138" applyNumberFormat="1" applyFont="1" applyFill="1" applyBorder="1">
      <alignment/>
      <protection/>
    </xf>
    <xf numFmtId="3" fontId="32" fillId="0" borderId="62" xfId="138" applyNumberFormat="1" applyFont="1" applyFill="1" applyBorder="1">
      <alignment/>
      <protection/>
    </xf>
    <xf numFmtId="4" fontId="32" fillId="0" borderId="58" xfId="138" applyNumberFormat="1" applyFont="1" applyFill="1" applyBorder="1">
      <alignment/>
      <protection/>
    </xf>
    <xf numFmtId="4" fontId="32" fillId="0" borderId="146" xfId="138" applyNumberFormat="1" applyFont="1" applyFill="1" applyBorder="1">
      <alignment/>
      <protection/>
    </xf>
    <xf numFmtId="4" fontId="32" fillId="0" borderId="62" xfId="138" applyNumberFormat="1" applyFont="1" applyFill="1" applyBorder="1">
      <alignment/>
      <protection/>
    </xf>
    <xf numFmtId="4" fontId="32" fillId="0" borderId="63" xfId="138" applyNumberFormat="1" applyFont="1" applyFill="1" applyBorder="1">
      <alignment/>
      <protection/>
    </xf>
    <xf numFmtId="3" fontId="32" fillId="0" borderId="64" xfId="138" applyNumberFormat="1" applyFont="1" applyFill="1" applyBorder="1">
      <alignment/>
      <protection/>
    </xf>
    <xf numFmtId="4" fontId="32" fillId="0" borderId="147" xfId="138" applyNumberFormat="1" applyFont="1" applyFill="1" applyBorder="1">
      <alignment/>
      <protection/>
    </xf>
    <xf numFmtId="0" fontId="32" fillId="0" borderId="0" xfId="0" applyFont="1" applyFill="1" applyAlignment="1">
      <alignment/>
    </xf>
    <xf numFmtId="4" fontId="32" fillId="0" borderId="0" xfId="138" applyNumberFormat="1" applyFont="1" applyFill="1" applyBorder="1">
      <alignment/>
      <protection/>
    </xf>
    <xf numFmtId="3" fontId="32" fillId="0" borderId="0" xfId="138" applyNumberFormat="1" applyFont="1" applyFill="1" applyBorder="1">
      <alignment/>
      <protection/>
    </xf>
    <xf numFmtId="0" fontId="32" fillId="0" borderId="148" xfId="138" applyFont="1" applyFill="1" applyBorder="1" applyAlignment="1">
      <alignment horizontal="left"/>
      <protection/>
    </xf>
    <xf numFmtId="3" fontId="32" fillId="0" borderId="69" xfId="138" applyNumberFormat="1" applyFont="1" applyFill="1" applyBorder="1">
      <alignment/>
      <protection/>
    </xf>
    <xf numFmtId="3" fontId="32" fillId="0" borderId="89" xfId="138" applyNumberFormat="1" applyFont="1" applyFill="1" applyBorder="1">
      <alignment/>
      <protection/>
    </xf>
    <xf numFmtId="3" fontId="32" fillId="0" borderId="25" xfId="138" applyNumberFormat="1" applyFont="1" applyFill="1" applyBorder="1">
      <alignment/>
      <protection/>
    </xf>
    <xf numFmtId="3" fontId="32" fillId="0" borderId="28" xfId="138" applyNumberFormat="1" applyFont="1" applyFill="1" applyBorder="1">
      <alignment/>
      <protection/>
    </xf>
    <xf numFmtId="3" fontId="32" fillId="0" borderId="57" xfId="138" applyNumberFormat="1" applyFont="1" applyFill="1" applyBorder="1">
      <alignment/>
      <protection/>
    </xf>
    <xf numFmtId="3" fontId="32" fillId="0" borderId="138" xfId="138" applyNumberFormat="1" applyFont="1" applyFill="1" applyBorder="1">
      <alignment/>
      <protection/>
    </xf>
    <xf numFmtId="3" fontId="32" fillId="0" borderId="149" xfId="138" applyNumberFormat="1" applyFont="1" applyFill="1" applyBorder="1">
      <alignment/>
      <protection/>
    </xf>
    <xf numFmtId="0" fontId="0" fillId="0" borderId="150" xfId="138" applyFont="1" applyFill="1" applyBorder="1">
      <alignment/>
      <protection/>
    </xf>
    <xf numFmtId="3" fontId="32" fillId="0" borderId="22" xfId="138" applyNumberFormat="1" applyFont="1" applyFill="1" applyBorder="1">
      <alignment/>
      <protection/>
    </xf>
    <xf numFmtId="3" fontId="32" fillId="0" borderId="54" xfId="138" applyNumberFormat="1" applyFont="1" applyFill="1" applyBorder="1">
      <alignment/>
      <protection/>
    </xf>
    <xf numFmtId="3" fontId="32" fillId="0" borderId="23" xfId="138" applyNumberFormat="1" applyFont="1" applyFill="1" applyBorder="1">
      <alignment/>
      <protection/>
    </xf>
    <xf numFmtId="3" fontId="32" fillId="0" borderId="16" xfId="138" applyNumberFormat="1" applyFont="1" applyFill="1" applyBorder="1">
      <alignment/>
      <protection/>
    </xf>
    <xf numFmtId="3" fontId="32" fillId="0" borderId="24" xfId="138" applyNumberFormat="1" applyFont="1" applyFill="1" applyBorder="1">
      <alignment/>
      <protection/>
    </xf>
    <xf numFmtId="3" fontId="32" fillId="0" borderId="151" xfId="138" applyNumberFormat="1" applyFont="1" applyFill="1" applyBorder="1">
      <alignment/>
      <protection/>
    </xf>
    <xf numFmtId="3" fontId="32" fillId="0" borderId="152" xfId="138" applyNumberFormat="1" applyFont="1" applyFill="1" applyBorder="1">
      <alignment/>
      <protection/>
    </xf>
    <xf numFmtId="0" fontId="0" fillId="0" borderId="153" xfId="138" applyFont="1" applyFill="1" applyBorder="1">
      <alignment/>
      <protection/>
    </xf>
    <xf numFmtId="3" fontId="4" fillId="0" borderId="59" xfId="138" applyNumberFormat="1" applyFont="1" applyFill="1" applyBorder="1">
      <alignment/>
      <protection/>
    </xf>
    <xf numFmtId="3" fontId="4" fillId="0" borderId="33" xfId="138" applyNumberFormat="1" applyFont="1" applyFill="1" applyBorder="1">
      <alignment/>
      <protection/>
    </xf>
    <xf numFmtId="3" fontId="4" fillId="0" borderId="22" xfId="138" applyNumberFormat="1" applyFont="1" applyFill="1" applyBorder="1">
      <alignment/>
      <protection/>
    </xf>
    <xf numFmtId="3" fontId="4" fillId="0" borderId="152" xfId="138" applyNumberFormat="1" applyFont="1" applyFill="1" applyBorder="1">
      <alignment/>
      <protection/>
    </xf>
    <xf numFmtId="4" fontId="4" fillId="0" borderId="0" xfId="138" applyNumberFormat="1" applyFont="1" applyFill="1" applyBorder="1">
      <alignment/>
      <protection/>
    </xf>
    <xf numFmtId="3" fontId="4" fillId="0" borderId="0" xfId="138" applyNumberFormat="1" applyFont="1" applyFill="1" applyBorder="1">
      <alignment/>
      <protection/>
    </xf>
    <xf numFmtId="0" fontId="0" fillId="0" borderId="154" xfId="138" applyFont="1" applyFill="1" applyBorder="1" applyAlignment="1">
      <alignment horizontal="left"/>
      <protection/>
    </xf>
    <xf numFmtId="3" fontId="4" fillId="0" borderId="41" xfId="138" applyNumberFormat="1" applyFont="1" applyFill="1" applyBorder="1">
      <alignment/>
      <protection/>
    </xf>
    <xf numFmtId="3" fontId="4" fillId="0" borderId="88" xfId="138" applyNumberFormat="1" applyFont="1" applyFill="1" applyBorder="1">
      <alignment/>
      <protection/>
    </xf>
    <xf numFmtId="3" fontId="4" fillId="0" borderId="42" xfId="138" applyNumberFormat="1" applyFont="1" applyFill="1" applyBorder="1">
      <alignment/>
      <protection/>
    </xf>
    <xf numFmtId="3" fontId="32" fillId="0" borderId="30" xfId="138" applyNumberFormat="1" applyFont="1" applyFill="1" applyBorder="1">
      <alignment/>
      <protection/>
    </xf>
    <xf numFmtId="3" fontId="4" fillId="0" borderId="32" xfId="138" applyNumberFormat="1" applyFont="1" applyFill="1" applyBorder="1">
      <alignment/>
      <protection/>
    </xf>
    <xf numFmtId="3" fontId="4" fillId="0" borderId="61" xfId="138" applyNumberFormat="1" applyFont="1" applyFill="1" applyBorder="1">
      <alignment/>
      <protection/>
    </xf>
    <xf numFmtId="3" fontId="4" fillId="0" borderId="75" xfId="138" applyNumberFormat="1" applyFont="1" applyFill="1" applyBorder="1">
      <alignment/>
      <protection/>
    </xf>
    <xf numFmtId="3" fontId="32" fillId="0" borderId="26" xfId="138" applyNumberFormat="1" applyFont="1" applyFill="1" applyBorder="1">
      <alignment/>
      <protection/>
    </xf>
    <xf numFmtId="3" fontId="4" fillId="0" borderId="39" xfId="138" applyNumberFormat="1" applyFont="1" applyFill="1" applyBorder="1">
      <alignment/>
      <protection/>
    </xf>
    <xf numFmtId="3" fontId="4" fillId="0" borderId="84" xfId="138" applyNumberFormat="1" applyFont="1" applyFill="1" applyBorder="1">
      <alignment/>
      <protection/>
    </xf>
    <xf numFmtId="3" fontId="4" fillId="0" borderId="125" xfId="138" applyNumberFormat="1" applyFont="1" applyFill="1" applyBorder="1">
      <alignment/>
      <protection/>
    </xf>
    <xf numFmtId="3" fontId="4" fillId="0" borderId="155" xfId="138" applyNumberFormat="1" applyFont="1" applyFill="1" applyBorder="1">
      <alignment/>
      <protection/>
    </xf>
    <xf numFmtId="0" fontId="0" fillId="0" borderId="145" xfId="138" applyFont="1" applyFill="1" applyBorder="1">
      <alignment/>
      <protection/>
    </xf>
    <xf numFmtId="3" fontId="32" fillId="0" borderId="20" xfId="138" applyNumberFormat="1" applyFont="1" applyFill="1" applyBorder="1">
      <alignment/>
      <protection/>
    </xf>
    <xf numFmtId="3" fontId="32" fillId="0" borderId="140" xfId="138" applyNumberFormat="1" applyFont="1" applyFill="1" applyBorder="1">
      <alignment/>
      <protection/>
    </xf>
    <xf numFmtId="3" fontId="32" fillId="0" borderId="27" xfId="138" applyNumberFormat="1" applyFont="1" applyFill="1" applyBorder="1">
      <alignment/>
      <protection/>
    </xf>
    <xf numFmtId="3" fontId="32" fillId="0" borderId="146" xfId="138" applyNumberFormat="1" applyFont="1" applyFill="1" applyBorder="1">
      <alignment/>
      <protection/>
    </xf>
    <xf numFmtId="3" fontId="32" fillId="0" borderId="156" xfId="138" applyNumberFormat="1" applyFont="1" applyFill="1" applyBorder="1">
      <alignment/>
      <protection/>
    </xf>
    <xf numFmtId="0" fontId="32" fillId="0" borderId="148" xfId="138" applyFont="1" applyFill="1" applyBorder="1">
      <alignment/>
      <protection/>
    </xf>
    <xf numFmtId="3" fontId="32" fillId="0" borderId="157" xfId="138" applyNumberFormat="1" applyFont="1" applyFill="1" applyBorder="1">
      <alignment/>
      <protection/>
    </xf>
    <xf numFmtId="3" fontId="32" fillId="0" borderId="158" xfId="138" applyNumberFormat="1" applyFont="1" applyFill="1" applyBorder="1">
      <alignment/>
      <protection/>
    </xf>
    <xf numFmtId="0" fontId="0" fillId="0" borderId="154" xfId="138" applyFont="1" applyFill="1" applyBorder="1">
      <alignment/>
      <protection/>
    </xf>
    <xf numFmtId="4" fontId="4" fillId="0" borderId="88" xfId="138" applyNumberFormat="1" applyFont="1" applyFill="1" applyBorder="1">
      <alignment/>
      <protection/>
    </xf>
    <xf numFmtId="3" fontId="4" fillId="0" borderId="159" xfId="138" applyNumberFormat="1" applyFont="1" applyFill="1" applyBorder="1">
      <alignment/>
      <protection/>
    </xf>
    <xf numFmtId="0" fontId="0" fillId="0" borderId="143" xfId="138" applyFont="1" applyFill="1" applyBorder="1" applyAlignment="1">
      <alignment horizontal="left"/>
      <protection/>
    </xf>
    <xf numFmtId="3" fontId="4" fillId="0" borderId="90" xfId="138" applyNumberFormat="1" applyFont="1" applyFill="1" applyBorder="1">
      <alignment/>
      <protection/>
    </xf>
    <xf numFmtId="3" fontId="4" fillId="0" borderId="50" xfId="138" applyNumberFormat="1" applyFont="1" applyFill="1" applyBorder="1">
      <alignment/>
      <protection/>
    </xf>
    <xf numFmtId="3" fontId="4" fillId="0" borderId="30" xfId="138" applyNumberFormat="1" applyFont="1" applyFill="1" applyBorder="1">
      <alignment/>
      <protection/>
    </xf>
    <xf numFmtId="3" fontId="4" fillId="0" borderId="85" xfId="138" applyNumberFormat="1" applyFont="1" applyFill="1" applyBorder="1">
      <alignment/>
      <protection/>
    </xf>
    <xf numFmtId="3" fontId="4" fillId="0" borderId="129" xfId="138" applyNumberFormat="1" applyFont="1" applyFill="1" applyBorder="1">
      <alignment/>
      <protection/>
    </xf>
    <xf numFmtId="3" fontId="32" fillId="0" borderId="127" xfId="138" applyNumberFormat="1" applyFont="1" applyFill="1" applyBorder="1">
      <alignment/>
      <protection/>
    </xf>
    <xf numFmtId="3" fontId="4" fillId="0" borderId="55" xfId="138" applyNumberFormat="1" applyFont="1" applyFill="1" applyBorder="1">
      <alignment/>
      <protection/>
    </xf>
    <xf numFmtId="3" fontId="4" fillId="0" borderId="31" xfId="138" applyNumberFormat="1" applyFont="1" applyFill="1" applyBorder="1">
      <alignment/>
      <protection/>
    </xf>
    <xf numFmtId="3" fontId="4" fillId="0" borderId="58" xfId="138" applyNumberFormat="1" applyFont="1" applyFill="1" applyBorder="1">
      <alignment/>
      <protection/>
    </xf>
    <xf numFmtId="3" fontId="4" fillId="0" borderId="29" xfId="138" applyNumberFormat="1" applyFont="1" applyFill="1" applyBorder="1">
      <alignment/>
      <protection/>
    </xf>
    <xf numFmtId="3" fontId="4" fillId="0" borderId="45" xfId="138" applyNumberFormat="1" applyFont="1" applyFill="1" applyBorder="1">
      <alignment/>
      <protection/>
    </xf>
    <xf numFmtId="3" fontId="4" fillId="0" borderId="124" xfId="138" applyNumberFormat="1" applyFont="1" applyFill="1" applyBorder="1">
      <alignment/>
      <protection/>
    </xf>
    <xf numFmtId="3" fontId="4" fillId="0" borderId="160" xfId="138" applyNumberFormat="1" applyFont="1" applyFill="1" applyBorder="1">
      <alignment/>
      <protection/>
    </xf>
    <xf numFmtId="0" fontId="0" fillId="0" borderId="145" xfId="138" applyFont="1" applyFill="1" applyBorder="1">
      <alignment/>
      <protection/>
    </xf>
    <xf numFmtId="182" fontId="32" fillId="0" borderId="55" xfId="138" applyNumberFormat="1" applyFont="1" applyFill="1" applyBorder="1">
      <alignment/>
      <protection/>
    </xf>
    <xf numFmtId="182" fontId="32" fillId="0" borderId="45" xfId="138" applyNumberFormat="1" applyFont="1" applyFill="1" applyBorder="1">
      <alignment/>
      <protection/>
    </xf>
    <xf numFmtId="3" fontId="32" fillId="0" borderId="45" xfId="138" applyNumberFormat="1" applyFont="1" applyFill="1" applyBorder="1">
      <alignment/>
      <protection/>
    </xf>
    <xf numFmtId="182" fontId="32" fillId="0" borderId="20" xfId="138" applyNumberFormat="1" applyFont="1" applyFill="1" applyBorder="1">
      <alignment/>
      <protection/>
    </xf>
    <xf numFmtId="182" fontId="32" fillId="0" borderId="62" xfId="138" applyNumberFormat="1" applyFont="1" applyFill="1" applyBorder="1">
      <alignment/>
      <protection/>
    </xf>
    <xf numFmtId="3" fontId="32" fillId="0" borderId="41" xfId="138" applyNumberFormat="1" applyFont="1" applyFill="1" applyBorder="1">
      <alignment/>
      <protection/>
    </xf>
    <xf numFmtId="3" fontId="32" fillId="0" borderId="88" xfId="138" applyNumberFormat="1" applyFont="1" applyFill="1" applyBorder="1">
      <alignment/>
      <protection/>
    </xf>
    <xf numFmtId="3" fontId="32" fillId="0" borderId="42" xfId="138" applyNumberFormat="1" applyFont="1" applyFill="1" applyBorder="1">
      <alignment/>
      <protection/>
    </xf>
    <xf numFmtId="3" fontId="32" fillId="0" borderId="159" xfId="138" applyNumberFormat="1" applyFont="1" applyFill="1" applyBorder="1">
      <alignment/>
      <protection/>
    </xf>
    <xf numFmtId="0" fontId="0" fillId="0" borderId="148" xfId="138" applyFont="1" applyFill="1" applyBorder="1">
      <alignment/>
      <protection/>
    </xf>
    <xf numFmtId="3" fontId="32" fillId="0" borderId="49" xfId="138" applyNumberFormat="1" applyFont="1" applyFill="1" applyBorder="1">
      <alignment/>
      <protection/>
    </xf>
    <xf numFmtId="3" fontId="32" fillId="0" borderId="21" xfId="138" applyNumberFormat="1" applyFont="1" applyFill="1" applyBorder="1">
      <alignment/>
      <protection/>
    </xf>
    <xf numFmtId="182" fontId="32" fillId="0" borderId="140" xfId="138" applyNumberFormat="1" applyFont="1" applyFill="1" applyBorder="1">
      <alignment/>
      <protection/>
    </xf>
    <xf numFmtId="182" fontId="32" fillId="0" borderId="49" xfId="138" applyNumberFormat="1" applyFont="1" applyFill="1" applyBorder="1">
      <alignment/>
      <protection/>
    </xf>
    <xf numFmtId="182" fontId="32" fillId="0" borderId="69" xfId="138" applyNumberFormat="1" applyFont="1" applyFill="1" applyBorder="1">
      <alignment/>
      <protection/>
    </xf>
    <xf numFmtId="182" fontId="32" fillId="0" borderId="28" xfId="138" applyNumberFormat="1" applyFont="1" applyFill="1" applyBorder="1">
      <alignment/>
      <protection/>
    </xf>
    <xf numFmtId="0" fontId="0" fillId="0" borderId="153" xfId="138" applyFont="1" applyFill="1" applyBorder="1" applyAlignment="1">
      <alignment horizontal="left"/>
      <protection/>
    </xf>
    <xf numFmtId="3" fontId="32" fillId="0" borderId="59" xfId="138" applyNumberFormat="1" applyFont="1" applyFill="1" applyBorder="1">
      <alignment/>
      <protection/>
    </xf>
    <xf numFmtId="3" fontId="32" fillId="0" borderId="75" xfId="138" applyNumberFormat="1" applyFont="1" applyFill="1" applyBorder="1">
      <alignment/>
      <protection/>
    </xf>
    <xf numFmtId="3" fontId="32" fillId="0" borderId="33" xfId="138" applyNumberFormat="1" applyFont="1" applyFill="1" applyBorder="1">
      <alignment/>
      <protection/>
    </xf>
    <xf numFmtId="182" fontId="32" fillId="0" borderId="41" xfId="138" applyNumberFormat="1" applyFont="1" applyFill="1" applyBorder="1">
      <alignment/>
      <protection/>
    </xf>
    <xf numFmtId="182" fontId="32" fillId="0" borderId="88" xfId="138" applyNumberFormat="1" applyFont="1" applyFill="1" applyBorder="1">
      <alignment/>
      <protection/>
    </xf>
    <xf numFmtId="182" fontId="32" fillId="0" borderId="59" xfId="138" applyNumberFormat="1" applyFont="1" applyFill="1" applyBorder="1">
      <alignment/>
      <protection/>
    </xf>
    <xf numFmtId="3" fontId="32" fillId="0" borderId="161" xfId="138" applyNumberFormat="1" applyFont="1" applyFill="1" applyBorder="1">
      <alignment/>
      <protection/>
    </xf>
    <xf numFmtId="3" fontId="32" fillId="0" borderId="162" xfId="138" applyNumberFormat="1" applyFont="1" applyFill="1" applyBorder="1">
      <alignment/>
      <protection/>
    </xf>
    <xf numFmtId="0" fontId="58" fillId="0" borderId="163" xfId="138" applyFont="1" applyFill="1" applyBorder="1" applyAlignment="1">
      <alignment vertical="top"/>
      <protection/>
    </xf>
    <xf numFmtId="3" fontId="32" fillId="0" borderId="85" xfId="138" applyNumberFormat="1" applyFont="1" applyFill="1" applyBorder="1">
      <alignment/>
      <protection/>
    </xf>
    <xf numFmtId="3" fontId="32" fillId="0" borderId="129" xfId="138" applyNumberFormat="1" applyFont="1" applyFill="1" applyBorder="1">
      <alignment/>
      <protection/>
    </xf>
    <xf numFmtId="3" fontId="32" fillId="0" borderId="86" xfId="138" applyNumberFormat="1" applyFont="1" applyFill="1" applyBorder="1">
      <alignment/>
      <protection/>
    </xf>
    <xf numFmtId="3" fontId="32" fillId="0" borderId="87" xfId="138" applyNumberFormat="1" applyFont="1" applyFill="1" applyBorder="1">
      <alignment/>
      <protection/>
    </xf>
    <xf numFmtId="3" fontId="32" fillId="0" borderId="128" xfId="138" applyNumberFormat="1" applyFont="1" applyFill="1" applyBorder="1">
      <alignment/>
      <protection/>
    </xf>
    <xf numFmtId="3" fontId="32" fillId="0" borderId="164" xfId="138" applyNumberFormat="1" applyFont="1" applyFill="1" applyBorder="1">
      <alignment/>
      <protection/>
    </xf>
    <xf numFmtId="3" fontId="4" fillId="0" borderId="69" xfId="138" applyNumberFormat="1" applyFont="1" applyFill="1" applyBorder="1">
      <alignment/>
      <protection/>
    </xf>
    <xf numFmtId="3" fontId="4" fillId="0" borderId="89" xfId="138" applyNumberFormat="1" applyFont="1" applyFill="1" applyBorder="1">
      <alignment/>
      <protection/>
    </xf>
    <xf numFmtId="3" fontId="4" fillId="0" borderId="25" xfId="138" applyNumberFormat="1" applyFont="1" applyFill="1" applyBorder="1">
      <alignment/>
      <protection/>
    </xf>
    <xf numFmtId="3" fontId="4" fillId="0" borderId="157" xfId="138" applyNumberFormat="1" applyFont="1" applyFill="1" applyBorder="1">
      <alignment/>
      <protection/>
    </xf>
    <xf numFmtId="0" fontId="0" fillId="0" borderId="150" xfId="138" applyFont="1" applyFill="1" applyBorder="1" applyAlignment="1">
      <alignment horizontal="left" wrapText="1" shrinkToFit="1"/>
      <protection/>
    </xf>
    <xf numFmtId="3" fontId="4" fillId="0" borderId="23" xfId="138" applyNumberFormat="1" applyFont="1" applyFill="1" applyBorder="1">
      <alignment/>
      <protection/>
    </xf>
    <xf numFmtId="3" fontId="32" fillId="0" borderId="55" xfId="138" applyNumberFormat="1" applyFont="1" applyFill="1" applyBorder="1">
      <alignment/>
      <protection/>
    </xf>
    <xf numFmtId="0" fontId="32" fillId="0" borderId="154" xfId="138" applyFont="1" applyFill="1" applyBorder="1" applyAlignment="1">
      <alignment horizontal="left" wrapText="1" shrinkToFit="1"/>
      <protection/>
    </xf>
    <xf numFmtId="3" fontId="32" fillId="0" borderId="39" xfId="138" applyNumberFormat="1" applyFont="1" applyFill="1" applyBorder="1">
      <alignment/>
      <protection/>
    </xf>
    <xf numFmtId="3" fontId="32" fillId="0" borderId="84" xfId="138" applyNumberFormat="1" applyFont="1" applyFill="1" applyBorder="1">
      <alignment/>
      <protection/>
    </xf>
    <xf numFmtId="3" fontId="32" fillId="0" borderId="125" xfId="138" applyNumberFormat="1" applyFont="1" applyFill="1" applyBorder="1">
      <alignment/>
      <protection/>
    </xf>
    <xf numFmtId="3" fontId="32" fillId="0" borderId="139" xfId="138" applyNumberFormat="1" applyFont="1" applyFill="1" applyBorder="1">
      <alignment/>
      <protection/>
    </xf>
    <xf numFmtId="3" fontId="32" fillId="0" borderId="165" xfId="138" applyNumberFormat="1" applyFont="1" applyFill="1" applyBorder="1">
      <alignment/>
      <protection/>
    </xf>
    <xf numFmtId="3" fontId="4" fillId="0" borderId="54" xfId="138" applyNumberFormat="1" applyFont="1" applyFill="1" applyBorder="1">
      <alignment/>
      <protection/>
    </xf>
    <xf numFmtId="3" fontId="4" fillId="0" borderId="140" xfId="138" applyNumberFormat="1" applyFont="1" applyFill="1" applyBorder="1">
      <alignment/>
      <protection/>
    </xf>
    <xf numFmtId="3" fontId="4" fillId="0" borderId="49" xfId="138" applyNumberFormat="1" applyFont="1" applyFill="1" applyBorder="1">
      <alignment/>
      <protection/>
    </xf>
    <xf numFmtId="0" fontId="0" fillId="0" borderId="150" xfId="138" applyFont="1" applyFill="1" applyBorder="1" applyAlignment="1">
      <alignment horizontal="left"/>
      <protection/>
    </xf>
    <xf numFmtId="3" fontId="32" fillId="0" borderId="38" xfId="138" applyNumberFormat="1" applyFont="1" applyFill="1" applyBorder="1">
      <alignment/>
      <protection/>
    </xf>
    <xf numFmtId="3" fontId="32" fillId="0" borderId="40" xfId="138" applyNumberFormat="1" applyFont="1" applyFill="1" applyBorder="1">
      <alignment/>
      <protection/>
    </xf>
    <xf numFmtId="3" fontId="32" fillId="0" borderId="155" xfId="138" applyNumberFormat="1" applyFont="1" applyFill="1" applyBorder="1">
      <alignment/>
      <protection/>
    </xf>
    <xf numFmtId="0" fontId="32" fillId="0" borderId="166" xfId="138" applyFont="1" applyFill="1" applyBorder="1">
      <alignment/>
      <protection/>
    </xf>
    <xf numFmtId="3" fontId="32" fillId="0" borderId="34" xfId="138" applyNumberFormat="1" applyFont="1" applyFill="1" applyBorder="1">
      <alignment/>
      <protection/>
    </xf>
    <xf numFmtId="3" fontId="32" fillId="0" borderId="167" xfId="138" applyNumberFormat="1" applyFont="1" applyFill="1" applyBorder="1">
      <alignment/>
      <protection/>
    </xf>
    <xf numFmtId="3" fontId="4" fillId="0" borderId="40" xfId="138" applyNumberFormat="1" applyFont="1" applyFill="1" applyBorder="1">
      <alignment/>
      <protection/>
    </xf>
    <xf numFmtId="0" fontId="0" fillId="0" borderId="143" xfId="138" applyFont="1" applyFill="1" applyBorder="1">
      <alignment/>
      <protection/>
    </xf>
    <xf numFmtId="3" fontId="32" fillId="0" borderId="90" xfId="138" applyNumberFormat="1" applyFont="1" applyFill="1" applyBorder="1">
      <alignment/>
      <protection/>
    </xf>
    <xf numFmtId="3" fontId="32" fillId="0" borderId="50" xfId="138" applyNumberFormat="1" applyFont="1" applyFill="1" applyBorder="1">
      <alignment/>
      <protection/>
    </xf>
    <xf numFmtId="4" fontId="32" fillId="0" borderId="90" xfId="138" applyNumberFormat="1" applyFont="1" applyFill="1" applyBorder="1">
      <alignment/>
      <protection/>
    </xf>
    <xf numFmtId="4" fontId="32" fillId="0" borderId="50" xfId="138" applyNumberFormat="1" applyFont="1" applyFill="1" applyBorder="1">
      <alignment/>
      <protection/>
    </xf>
    <xf numFmtId="3" fontId="32" fillId="0" borderId="29" xfId="138" applyNumberFormat="1" applyFont="1" applyFill="1" applyBorder="1">
      <alignment/>
      <protection/>
    </xf>
    <xf numFmtId="3" fontId="32" fillId="0" borderId="72" xfId="138" applyNumberFormat="1" applyFont="1" applyFill="1" applyBorder="1">
      <alignment/>
      <protection/>
    </xf>
    <xf numFmtId="3" fontId="32" fillId="0" borderId="44" xfId="138" applyNumberFormat="1" applyFont="1" applyFill="1" applyBorder="1">
      <alignment/>
      <protection/>
    </xf>
    <xf numFmtId="3" fontId="32" fillId="0" borderId="144" xfId="138" applyNumberFormat="1" applyFont="1" applyFill="1" applyBorder="1">
      <alignment/>
      <protection/>
    </xf>
    <xf numFmtId="0" fontId="0" fillId="0" borderId="163" xfId="138" applyFont="1" applyFill="1" applyBorder="1">
      <alignment/>
      <protection/>
    </xf>
    <xf numFmtId="3" fontId="32" fillId="0" borderId="43" xfId="138" applyNumberFormat="1" applyFont="1" applyFill="1" applyBorder="1">
      <alignment/>
      <protection/>
    </xf>
    <xf numFmtId="3" fontId="32" fillId="0" borderId="168" xfId="138" applyNumberFormat="1" applyFont="1" applyFill="1" applyBorder="1">
      <alignment/>
      <protection/>
    </xf>
    <xf numFmtId="0" fontId="31" fillId="0" borderId="141" xfId="138" applyFont="1" applyFill="1" applyBorder="1" applyAlignment="1">
      <alignment horizontal="left"/>
      <protection/>
    </xf>
    <xf numFmtId="3" fontId="32" fillId="0" borderId="31" xfId="138" applyNumberFormat="1" applyFont="1" applyFill="1" applyBorder="1">
      <alignment/>
      <protection/>
    </xf>
    <xf numFmtId="3" fontId="32" fillId="0" borderId="56" xfId="138" applyNumberFormat="1" applyFont="1" applyFill="1" applyBorder="1">
      <alignment/>
      <protection/>
    </xf>
    <xf numFmtId="3" fontId="32" fillId="0" borderId="58" xfId="138" applyNumberFormat="1" applyFont="1" applyFill="1" applyBorder="1">
      <alignment/>
      <protection/>
    </xf>
    <xf numFmtId="3" fontId="32" fillId="0" borderId="142" xfId="138" applyNumberFormat="1" applyFont="1" applyFill="1" applyBorder="1">
      <alignment/>
      <protection/>
    </xf>
    <xf numFmtId="175" fontId="32" fillId="0" borderId="163" xfId="138" applyNumberFormat="1" applyFont="1" applyFill="1" applyBorder="1" applyAlignment="1" applyProtection="1">
      <alignment/>
      <protection locked="0"/>
    </xf>
    <xf numFmtId="3" fontId="4" fillId="0" borderId="127" xfId="138" applyNumberFormat="1" applyFont="1" applyFill="1" applyBorder="1">
      <alignment/>
      <protection/>
    </xf>
    <xf numFmtId="175" fontId="32" fillId="0" borderId="166" xfId="138" applyNumberFormat="1" applyFont="1" applyFill="1" applyBorder="1" applyAlignment="1" applyProtection="1">
      <alignment/>
      <protection locked="0"/>
    </xf>
    <xf numFmtId="3" fontId="4" fillId="0" borderId="21" xfId="138" applyNumberFormat="1" applyFont="1" applyFill="1" applyBorder="1">
      <alignment/>
      <protection/>
    </xf>
    <xf numFmtId="175" fontId="0" fillId="0" borderId="150" xfId="138" applyNumberFormat="1" applyFont="1" applyFill="1" applyBorder="1" applyAlignment="1" applyProtection="1">
      <alignment/>
      <protection locked="0"/>
    </xf>
    <xf numFmtId="4" fontId="32" fillId="0" borderId="22" xfId="138" applyNumberFormat="1" applyFont="1" applyFill="1" applyBorder="1">
      <alignment/>
      <protection/>
    </xf>
    <xf numFmtId="4" fontId="32" fillId="0" borderId="54" xfId="138" applyNumberFormat="1" applyFont="1" applyFill="1" applyBorder="1">
      <alignment/>
      <protection/>
    </xf>
    <xf numFmtId="175" fontId="0" fillId="0" borderId="154" xfId="138" applyNumberFormat="1" applyFont="1" applyFill="1" applyBorder="1" applyAlignment="1" applyProtection="1">
      <alignment/>
      <protection locked="0"/>
    </xf>
    <xf numFmtId="4" fontId="32" fillId="0" borderId="41" xfId="138" applyNumberFormat="1" applyFont="1" applyFill="1" applyBorder="1">
      <alignment/>
      <protection/>
    </xf>
    <xf numFmtId="4" fontId="32" fillId="0" borderId="88" xfId="138" applyNumberFormat="1" applyFont="1" applyFill="1" applyBorder="1">
      <alignment/>
      <protection/>
    </xf>
    <xf numFmtId="175" fontId="32" fillId="0" borderId="148" xfId="138" applyNumberFormat="1" applyFont="1" applyFill="1" applyBorder="1" applyAlignment="1" applyProtection="1">
      <alignment/>
      <protection locked="0"/>
    </xf>
    <xf numFmtId="3" fontId="32" fillId="0" borderId="35" xfId="138" applyNumberFormat="1" applyFont="1" applyFill="1" applyBorder="1">
      <alignment/>
      <protection/>
    </xf>
    <xf numFmtId="0" fontId="0" fillId="0" borderId="166" xfId="138" applyFont="1" applyFill="1" applyBorder="1">
      <alignment/>
      <protection/>
    </xf>
    <xf numFmtId="4" fontId="32" fillId="0" borderId="140" xfId="138" applyNumberFormat="1" applyFont="1" applyFill="1" applyBorder="1">
      <alignment/>
      <protection/>
    </xf>
    <xf numFmtId="4" fontId="32" fillId="0" borderId="49" xfId="138" applyNumberFormat="1" applyFont="1" applyFill="1" applyBorder="1">
      <alignment/>
      <protection/>
    </xf>
    <xf numFmtId="3" fontId="32" fillId="0" borderId="169" xfId="138" applyNumberFormat="1" applyFont="1" applyFill="1" applyBorder="1">
      <alignment/>
      <protection/>
    </xf>
    <xf numFmtId="0" fontId="55" fillId="0" borderId="0" xfId="0" applyFont="1" applyFill="1" applyBorder="1" applyAlignment="1">
      <alignment/>
    </xf>
    <xf numFmtId="0" fontId="32" fillId="0" borderId="170" xfId="138" applyFont="1" applyFill="1" applyBorder="1" applyAlignment="1">
      <alignment horizontal="center"/>
      <protection/>
    </xf>
    <xf numFmtId="3" fontId="32" fillId="0" borderId="171" xfId="138" applyNumberFormat="1" applyFont="1" applyFill="1" applyBorder="1">
      <alignment/>
      <protection/>
    </xf>
    <xf numFmtId="3" fontId="32" fillId="0" borderId="172" xfId="138" applyNumberFormat="1" applyFont="1" applyFill="1" applyBorder="1">
      <alignment/>
      <protection/>
    </xf>
    <xf numFmtId="4" fontId="32" fillId="0" borderId="171" xfId="138" applyNumberFormat="1" applyFont="1" applyFill="1" applyBorder="1">
      <alignment/>
      <protection/>
    </xf>
    <xf numFmtId="3" fontId="32" fillId="0" borderId="173" xfId="138" applyNumberFormat="1" applyFont="1" applyFill="1" applyBorder="1">
      <alignment/>
      <protection/>
    </xf>
    <xf numFmtId="3" fontId="32" fillId="0" borderId="174" xfId="138" applyNumberFormat="1" applyFont="1" applyFill="1" applyBorder="1">
      <alignment/>
      <protection/>
    </xf>
    <xf numFmtId="3" fontId="32" fillId="0" borderId="175" xfId="138" applyNumberFormat="1" applyFont="1" applyFill="1" applyBorder="1">
      <alignment/>
      <protection/>
    </xf>
    <xf numFmtId="3" fontId="32" fillId="0" borderId="176" xfId="138" applyNumberFormat="1" applyFont="1" applyFill="1" applyBorder="1">
      <alignment/>
      <protection/>
    </xf>
    <xf numFmtId="0" fontId="1" fillId="0" borderId="141" xfId="138" applyFont="1" applyFill="1" applyBorder="1" applyAlignment="1">
      <alignment horizontal="center"/>
      <protection/>
    </xf>
    <xf numFmtId="0" fontId="0" fillId="0" borderId="177" xfId="138" applyFont="1" applyFill="1" applyBorder="1">
      <alignment/>
      <protection/>
    </xf>
    <xf numFmtId="4" fontId="32" fillId="0" borderId="178" xfId="138" applyNumberFormat="1" applyFont="1" applyFill="1" applyBorder="1">
      <alignment/>
      <protection/>
    </xf>
    <xf numFmtId="3" fontId="32" fillId="0" borderId="178" xfId="138" applyNumberFormat="1" applyFont="1" applyFill="1" applyBorder="1">
      <alignment/>
      <protection/>
    </xf>
    <xf numFmtId="3" fontId="32" fillId="0" borderId="179" xfId="138" applyNumberFormat="1" applyFont="1" applyFill="1" applyBorder="1">
      <alignment/>
      <protection/>
    </xf>
    <xf numFmtId="3" fontId="32" fillId="0" borderId="180" xfId="138" applyNumberFormat="1" applyFont="1" applyFill="1" applyBorder="1">
      <alignment/>
      <protection/>
    </xf>
    <xf numFmtId="4" fontId="32" fillId="0" borderId="181" xfId="138" applyNumberFormat="1" applyFont="1" applyFill="1" applyBorder="1">
      <alignment/>
      <protection/>
    </xf>
    <xf numFmtId="4" fontId="32" fillId="0" borderId="182" xfId="138" applyNumberFormat="1" applyFont="1" applyFill="1" applyBorder="1">
      <alignment/>
      <protection/>
    </xf>
    <xf numFmtId="3" fontId="32" fillId="0" borderId="181" xfId="138" applyNumberFormat="1" applyFont="1" applyFill="1" applyBorder="1">
      <alignment/>
      <protection/>
    </xf>
    <xf numFmtId="3" fontId="32" fillId="0" borderId="182" xfId="138" applyNumberFormat="1" applyFont="1" applyFill="1" applyBorder="1">
      <alignment/>
      <protection/>
    </xf>
    <xf numFmtId="182" fontId="32" fillId="0" borderId="181" xfId="138" applyNumberFormat="1" applyFont="1" applyFill="1" applyBorder="1">
      <alignment/>
      <protection/>
    </xf>
    <xf numFmtId="182" fontId="32" fillId="0" borderId="182" xfId="138" applyNumberFormat="1" applyFont="1" applyFill="1" applyBorder="1">
      <alignment/>
      <protection/>
    </xf>
    <xf numFmtId="182" fontId="32" fillId="0" borderId="183" xfId="138" applyNumberFormat="1" applyFont="1" applyFill="1" applyBorder="1">
      <alignment/>
      <protection/>
    </xf>
    <xf numFmtId="182" fontId="32" fillId="0" borderId="184" xfId="138" applyNumberFormat="1" applyFont="1" applyFill="1" applyBorder="1">
      <alignment/>
      <protection/>
    </xf>
    <xf numFmtId="4" fontId="55" fillId="0" borderId="0" xfId="138" applyNumberFormat="1" applyFont="1" applyFill="1" applyBorder="1">
      <alignment/>
      <protection/>
    </xf>
    <xf numFmtId="0" fontId="66" fillId="0" borderId="0" xfId="138" applyFont="1" applyFill="1" applyAlignment="1">
      <alignment horizontal="left"/>
      <protection/>
    </xf>
    <xf numFmtId="0" fontId="0" fillId="0" borderId="0" xfId="138" applyFont="1" applyFill="1" applyBorder="1">
      <alignment/>
      <protection/>
    </xf>
    <xf numFmtId="4" fontId="84" fillId="0" borderId="0" xfId="138" applyNumberFormat="1" applyFont="1" applyFill="1" applyBorder="1">
      <alignment/>
      <protection/>
    </xf>
    <xf numFmtId="0" fontId="85" fillId="0" borderId="0" xfId="0" applyFont="1" applyFill="1" applyBorder="1" applyAlignment="1">
      <alignment horizontal="center"/>
    </xf>
    <xf numFmtId="0" fontId="55" fillId="0" borderId="0" xfId="138" applyFont="1" applyFill="1" applyBorder="1">
      <alignment/>
      <protection/>
    </xf>
    <xf numFmtId="0" fontId="31" fillId="0" borderId="0" xfId="0" applyFont="1" applyFill="1" applyBorder="1" applyAlignment="1">
      <alignment/>
    </xf>
    <xf numFmtId="0" fontId="31" fillId="0" borderId="0" xfId="138" applyFont="1" applyFill="1" applyBorder="1">
      <alignment/>
      <protection/>
    </xf>
    <xf numFmtId="0" fontId="55" fillId="0" borderId="0" xfId="138" applyFont="1" applyFill="1">
      <alignment/>
      <protection/>
    </xf>
    <xf numFmtId="0" fontId="86" fillId="0" borderId="0" xfId="138" applyFont="1" applyFill="1">
      <alignment/>
      <protection/>
    </xf>
    <xf numFmtId="0" fontId="4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32" fillId="0" borderId="0" xfId="0" applyFont="1" applyFill="1" applyAlignment="1">
      <alignment/>
    </xf>
    <xf numFmtId="3" fontId="4" fillId="0" borderId="87" xfId="138" applyNumberFormat="1" applyFont="1" applyFill="1" applyBorder="1">
      <alignment/>
      <protection/>
    </xf>
    <xf numFmtId="0" fontId="87" fillId="0" borderId="0" xfId="0" applyFont="1" applyFill="1" applyAlignment="1">
      <alignment/>
    </xf>
    <xf numFmtId="0" fontId="88" fillId="0" borderId="0" xfId="0" applyFont="1" applyFill="1" applyBorder="1" applyAlignment="1">
      <alignment/>
    </xf>
    <xf numFmtId="0" fontId="88" fillId="0" borderId="0" xfId="138" applyFont="1" applyFill="1" applyBorder="1">
      <alignment/>
      <protection/>
    </xf>
    <xf numFmtId="0" fontId="88" fillId="0" borderId="0" xfId="0" applyFont="1" applyFill="1" applyAlignment="1">
      <alignment/>
    </xf>
    <xf numFmtId="0" fontId="37" fillId="0" borderId="0" xfId="136" applyFont="1">
      <alignment/>
      <protection/>
    </xf>
    <xf numFmtId="0" fontId="37" fillId="0" borderId="0" xfId="145" applyFont="1">
      <alignment/>
      <protection/>
    </xf>
    <xf numFmtId="0" fontId="77" fillId="0" borderId="0" xfId="136" applyFont="1" applyBorder="1" applyAlignment="1">
      <alignment horizontal="center" vertical="center" wrapText="1"/>
      <protection/>
    </xf>
    <xf numFmtId="0" fontId="37" fillId="0" borderId="0" xfId="145" applyFont="1" applyBorder="1" applyAlignment="1">
      <alignment horizontal="center" vertical="center"/>
      <protection/>
    </xf>
    <xf numFmtId="3" fontId="88" fillId="0" borderId="117" xfId="140" applyNumberFormat="1" applyFont="1" applyFill="1" applyBorder="1" applyAlignment="1">
      <alignment horizontal="left" indent="1"/>
      <protection/>
    </xf>
    <xf numFmtId="3" fontId="88" fillId="0" borderId="85" xfId="145" applyNumberFormat="1" applyFont="1" applyBorder="1">
      <alignment/>
      <protection/>
    </xf>
    <xf numFmtId="3" fontId="88" fillId="0" borderId="86" xfId="145" applyNumberFormat="1" applyFont="1" applyBorder="1">
      <alignment/>
      <protection/>
    </xf>
    <xf numFmtId="4" fontId="88" fillId="0" borderId="85" xfId="146" applyNumberFormat="1" applyFont="1" applyFill="1" applyBorder="1" applyAlignment="1" applyProtection="1">
      <alignment vertical="top"/>
      <protection hidden="1"/>
    </xf>
    <xf numFmtId="4" fontId="88" fillId="0" borderId="129" xfId="146" applyNumberFormat="1" applyFont="1" applyFill="1" applyBorder="1" applyAlignment="1" applyProtection="1">
      <alignment vertical="top"/>
      <protection hidden="1"/>
    </xf>
    <xf numFmtId="4" fontId="88" fillId="0" borderId="86" xfId="146" applyNumberFormat="1" applyFont="1" applyFill="1" applyBorder="1" applyAlignment="1" applyProtection="1">
      <alignment vertical="top"/>
      <protection hidden="1"/>
    </xf>
    <xf numFmtId="4" fontId="88" fillId="0" borderId="87" xfId="146" applyNumberFormat="1" applyFont="1" applyFill="1" applyBorder="1" applyAlignment="1" applyProtection="1">
      <alignment vertical="top"/>
      <protection hidden="1"/>
    </xf>
    <xf numFmtId="4" fontId="88" fillId="0" borderId="185" xfId="146" applyNumberFormat="1" applyFont="1" applyFill="1" applyBorder="1" applyAlignment="1" applyProtection="1">
      <alignment vertical="top"/>
      <protection hidden="1"/>
    </xf>
    <xf numFmtId="49" fontId="81" fillId="0" borderId="36" xfId="140" applyNumberFormat="1" applyFont="1" applyFill="1" applyBorder="1" applyAlignment="1">
      <alignment horizontal="left" indent="1"/>
      <protection/>
    </xf>
    <xf numFmtId="0" fontId="81" fillId="0" borderId="20" xfId="145" applyFont="1" applyBorder="1">
      <alignment/>
      <protection/>
    </xf>
    <xf numFmtId="0" fontId="81" fillId="0" borderId="62" xfId="145" applyFont="1" applyBorder="1">
      <alignment/>
      <protection/>
    </xf>
    <xf numFmtId="0" fontId="81" fillId="0" borderId="64" xfId="145" applyFont="1" applyBorder="1">
      <alignment/>
      <protection/>
    </xf>
    <xf numFmtId="4" fontId="81" fillId="0" borderId="55" xfId="146" applyNumberFormat="1" applyFont="1" applyFill="1" applyBorder="1" applyAlignment="1" applyProtection="1">
      <alignment vertical="top"/>
      <protection hidden="1"/>
    </xf>
    <xf numFmtId="4" fontId="81" fillId="0" borderId="45" xfId="146" applyNumberFormat="1" applyFont="1" applyFill="1" applyBorder="1" applyAlignment="1" applyProtection="1">
      <alignment vertical="top"/>
      <protection hidden="1"/>
    </xf>
    <xf numFmtId="4" fontId="81" fillId="0" borderId="31" xfId="146" applyNumberFormat="1" applyFont="1" applyFill="1" applyBorder="1" applyAlignment="1" applyProtection="1">
      <alignment vertical="top"/>
      <protection hidden="1"/>
    </xf>
    <xf numFmtId="4" fontId="81" fillId="0" borderId="58" xfId="146" applyNumberFormat="1" applyFont="1" applyFill="1" applyBorder="1" applyAlignment="1" applyProtection="1">
      <alignment vertical="top"/>
      <protection hidden="1"/>
    </xf>
    <xf numFmtId="4" fontId="81" fillId="0" borderId="56" xfId="146" applyNumberFormat="1" applyFont="1" applyFill="1" applyBorder="1" applyAlignment="1" applyProtection="1">
      <alignment vertical="top"/>
      <protection hidden="1"/>
    </xf>
    <xf numFmtId="49" fontId="81" fillId="0" borderId="36" xfId="140" applyNumberFormat="1" applyFont="1" applyFill="1" applyBorder="1" applyAlignment="1">
      <alignment horizontal="left" indent="2"/>
      <protection/>
    </xf>
    <xf numFmtId="3" fontId="81" fillId="0" borderId="55" xfId="145" applyNumberFormat="1" applyFont="1" applyBorder="1">
      <alignment/>
      <protection/>
    </xf>
    <xf numFmtId="0" fontId="81" fillId="0" borderId="31" xfId="145" applyFont="1" applyBorder="1">
      <alignment/>
      <protection/>
    </xf>
    <xf numFmtId="3" fontId="81" fillId="0" borderId="31" xfId="145" applyNumberFormat="1" applyFont="1" applyBorder="1">
      <alignment/>
      <protection/>
    </xf>
    <xf numFmtId="3" fontId="81" fillId="0" borderId="58" xfId="145" applyNumberFormat="1" applyFont="1" applyBorder="1">
      <alignment/>
      <protection/>
    </xf>
    <xf numFmtId="4" fontId="81" fillId="0" borderId="55" xfId="146" applyNumberFormat="1" applyFont="1" applyFill="1" applyBorder="1" applyAlignment="1" applyProtection="1">
      <alignment vertical="center"/>
      <protection hidden="1"/>
    </xf>
    <xf numFmtId="4" fontId="81" fillId="0" borderId="45" xfId="146" applyNumberFormat="1" applyFont="1" applyFill="1" applyBorder="1" applyAlignment="1" applyProtection="1">
      <alignment vertical="center"/>
      <protection hidden="1"/>
    </xf>
    <xf numFmtId="4" fontId="81" fillId="0" borderId="31" xfId="146" applyNumberFormat="1" applyFont="1" applyFill="1" applyBorder="1" applyAlignment="1" applyProtection="1">
      <alignment vertical="center"/>
      <protection hidden="1"/>
    </xf>
    <xf numFmtId="4" fontId="81" fillId="0" borderId="58" xfId="146" applyNumberFormat="1" applyFont="1" applyFill="1" applyBorder="1" applyAlignment="1" applyProtection="1">
      <alignment vertical="center"/>
      <protection hidden="1"/>
    </xf>
    <xf numFmtId="4" fontId="81" fillId="0" borderId="56" xfId="146" applyNumberFormat="1" applyFont="1" applyFill="1" applyBorder="1" applyAlignment="1" applyProtection="1">
      <alignment vertical="center"/>
      <protection hidden="1"/>
    </xf>
    <xf numFmtId="49" fontId="81" fillId="0" borderId="36" xfId="140" applyNumberFormat="1" applyFont="1" applyFill="1" applyBorder="1" applyAlignment="1">
      <alignment horizontal="left" indent="3"/>
      <protection/>
    </xf>
    <xf numFmtId="0" fontId="81" fillId="0" borderId="58" xfId="145" applyFont="1" applyBorder="1">
      <alignment/>
      <protection/>
    </xf>
    <xf numFmtId="4" fontId="81" fillId="0" borderId="55" xfId="146" applyNumberFormat="1" applyFont="1" applyFill="1" applyBorder="1" applyAlignment="1" applyProtection="1">
      <alignment horizontal="center" vertical="center"/>
      <protection hidden="1"/>
    </xf>
    <xf numFmtId="4" fontId="81" fillId="0" borderId="45" xfId="146" applyNumberFormat="1" applyFont="1" applyFill="1" applyBorder="1" applyAlignment="1" applyProtection="1">
      <alignment horizontal="center" vertical="center"/>
      <protection hidden="1"/>
    </xf>
    <xf numFmtId="4" fontId="81" fillId="0" borderId="31" xfId="146" applyNumberFormat="1" applyFont="1" applyFill="1" applyBorder="1" applyAlignment="1" applyProtection="1">
      <alignment horizontal="center" vertical="center"/>
      <protection hidden="1"/>
    </xf>
    <xf numFmtId="4" fontId="81" fillId="0" borderId="58" xfId="146" applyNumberFormat="1" applyFont="1" applyFill="1" applyBorder="1" applyAlignment="1" applyProtection="1">
      <alignment horizontal="center" vertical="center"/>
      <protection hidden="1"/>
    </xf>
    <xf numFmtId="4" fontId="81" fillId="0" borderId="56" xfId="146" applyNumberFormat="1" applyFont="1" applyFill="1" applyBorder="1" applyAlignment="1" applyProtection="1">
      <alignment horizontal="center" vertical="center"/>
      <protection hidden="1"/>
    </xf>
    <xf numFmtId="49" fontId="89" fillId="0" borderId="117" xfId="140" applyNumberFormat="1" applyFont="1" applyFill="1" applyBorder="1" applyAlignment="1">
      <alignment wrapText="1"/>
      <protection/>
    </xf>
    <xf numFmtId="49" fontId="89" fillId="0" borderId="117" xfId="140" applyNumberFormat="1" applyFont="1" applyFill="1" applyBorder="1" applyAlignment="1">
      <alignment/>
      <protection/>
    </xf>
    <xf numFmtId="3" fontId="89" fillId="0" borderId="85" xfId="145" applyNumberFormat="1" applyFont="1" applyBorder="1" applyAlignment="1">
      <alignment/>
      <protection/>
    </xf>
    <xf numFmtId="0" fontId="89" fillId="0" borderId="86" xfId="145" applyFont="1" applyBorder="1" applyAlignment="1">
      <alignment/>
      <protection/>
    </xf>
    <xf numFmtId="3" fontId="89" fillId="0" borderId="86" xfId="145" applyNumberFormat="1" applyFont="1" applyBorder="1" applyAlignment="1">
      <alignment/>
      <protection/>
    </xf>
    <xf numFmtId="3" fontId="89" fillId="0" borderId="87" xfId="145" applyNumberFormat="1" applyFont="1" applyBorder="1" applyAlignment="1">
      <alignment/>
      <protection/>
    </xf>
    <xf numFmtId="4" fontId="89" fillId="0" borderId="85" xfId="146" applyNumberFormat="1" applyFont="1" applyFill="1" applyBorder="1" applyAlignment="1" applyProtection="1">
      <alignment vertical="center"/>
      <protection hidden="1"/>
    </xf>
    <xf numFmtId="4" fontId="89" fillId="0" borderId="129" xfId="146" applyNumberFormat="1" applyFont="1" applyFill="1" applyBorder="1" applyAlignment="1" applyProtection="1">
      <alignment vertical="center"/>
      <protection hidden="1"/>
    </xf>
    <xf numFmtId="4" fontId="89" fillId="0" borderId="86" xfId="146" applyNumberFormat="1" applyFont="1" applyFill="1" applyBorder="1" applyAlignment="1" applyProtection="1">
      <alignment vertical="center"/>
      <protection hidden="1"/>
    </xf>
    <xf numFmtId="4" fontId="89" fillId="0" borderId="87" xfId="146" applyNumberFormat="1" applyFont="1" applyFill="1" applyBorder="1" applyAlignment="1" applyProtection="1">
      <alignment vertical="center"/>
      <protection hidden="1"/>
    </xf>
    <xf numFmtId="4" fontId="89" fillId="0" borderId="128" xfId="146" applyNumberFormat="1" applyFont="1" applyFill="1" applyBorder="1" applyAlignment="1" applyProtection="1">
      <alignment vertical="center"/>
      <protection hidden="1"/>
    </xf>
    <xf numFmtId="3" fontId="81" fillId="0" borderId="36" xfId="140" applyNumberFormat="1" applyFont="1" applyFill="1" applyBorder="1" applyAlignment="1">
      <alignment/>
      <protection/>
    </xf>
    <xf numFmtId="3" fontId="81" fillId="0" borderId="55" xfId="145" applyNumberFormat="1" applyFont="1" applyBorder="1" applyAlignment="1">
      <alignment/>
      <protection/>
    </xf>
    <xf numFmtId="3" fontId="81" fillId="0" borderId="31" xfId="145" applyNumberFormat="1" applyFont="1" applyBorder="1" applyAlignment="1">
      <alignment/>
      <protection/>
    </xf>
    <xf numFmtId="3" fontId="81" fillId="0" borderId="58" xfId="145" applyNumberFormat="1" applyFont="1" applyBorder="1" applyAlignment="1">
      <alignment/>
      <protection/>
    </xf>
    <xf numFmtId="3" fontId="81" fillId="0" borderId="36" xfId="136" applyNumberFormat="1" applyFont="1" applyBorder="1" applyAlignment="1">
      <alignment/>
      <protection/>
    </xf>
    <xf numFmtId="3" fontId="81" fillId="0" borderId="36" xfId="140" applyNumberFormat="1" applyFont="1" applyFill="1" applyBorder="1" applyAlignment="1">
      <alignment wrapText="1"/>
      <protection/>
    </xf>
    <xf numFmtId="3" fontId="81" fillId="0" borderId="55" xfId="145" applyNumberFormat="1" applyFont="1" applyFill="1" applyBorder="1" applyAlignment="1">
      <alignment/>
      <protection/>
    </xf>
    <xf numFmtId="3" fontId="81" fillId="0" borderId="34" xfId="140" applyNumberFormat="1" applyFont="1" applyFill="1" applyBorder="1" applyAlignment="1">
      <alignment wrapText="1"/>
      <protection/>
    </xf>
    <xf numFmtId="3" fontId="81" fillId="0" borderId="140" xfId="145" applyNumberFormat="1" applyFont="1" applyBorder="1" applyAlignment="1">
      <alignment/>
      <protection/>
    </xf>
    <xf numFmtId="3" fontId="81" fillId="0" borderId="27" xfId="145" applyNumberFormat="1" applyFont="1" applyBorder="1" applyAlignment="1">
      <alignment/>
      <protection/>
    </xf>
    <xf numFmtId="3" fontId="81" fillId="0" borderId="139" xfId="145" applyNumberFormat="1" applyFont="1" applyBorder="1" applyAlignment="1">
      <alignment/>
      <protection/>
    </xf>
    <xf numFmtId="4" fontId="81" fillId="0" borderId="140" xfId="146" applyNumberFormat="1" applyFont="1" applyFill="1" applyBorder="1" applyAlignment="1" applyProtection="1">
      <alignment vertical="center"/>
      <protection hidden="1"/>
    </xf>
    <xf numFmtId="4" fontId="81" fillId="0" borderId="27" xfId="146" applyNumberFormat="1" applyFont="1" applyFill="1" applyBorder="1" applyAlignment="1" applyProtection="1">
      <alignment vertical="center"/>
      <protection hidden="1"/>
    </xf>
    <xf numFmtId="4" fontId="81" fillId="0" borderId="139" xfId="146" applyNumberFormat="1" applyFont="1" applyFill="1" applyBorder="1" applyAlignment="1" applyProtection="1">
      <alignment vertical="center"/>
      <protection hidden="1"/>
    </xf>
    <xf numFmtId="4" fontId="81" fillId="0" borderId="49" xfId="146" applyNumberFormat="1" applyFont="1" applyFill="1" applyBorder="1" applyAlignment="1" applyProtection="1">
      <alignment vertical="center"/>
      <protection hidden="1"/>
    </xf>
    <xf numFmtId="3" fontId="89" fillId="0" borderId="40" xfId="140" applyNumberFormat="1" applyFont="1" applyFill="1" applyBorder="1" applyAlignment="1">
      <alignment wrapText="1"/>
      <protection/>
    </xf>
    <xf numFmtId="3" fontId="81" fillId="0" borderId="40" xfId="140" applyNumberFormat="1" applyFont="1" applyFill="1" applyBorder="1" applyAlignment="1">
      <alignment wrapText="1"/>
      <protection/>
    </xf>
    <xf numFmtId="3" fontId="81" fillId="0" borderId="41" xfId="145" applyNumberFormat="1" applyFont="1" applyBorder="1" applyAlignment="1">
      <alignment/>
      <protection/>
    </xf>
    <xf numFmtId="3" fontId="81" fillId="0" borderId="39" xfId="145" applyNumberFormat="1" applyFont="1" applyBorder="1" applyAlignment="1">
      <alignment/>
      <protection/>
    </xf>
    <xf numFmtId="3" fontId="81" fillId="0" borderId="84" xfId="145" applyNumberFormat="1" applyFont="1" applyBorder="1" applyAlignment="1">
      <alignment/>
      <protection/>
    </xf>
    <xf numFmtId="4" fontId="89" fillId="0" borderId="41" xfId="146" applyNumberFormat="1" applyFont="1" applyFill="1" applyBorder="1" applyAlignment="1" applyProtection="1">
      <alignment vertical="center"/>
      <protection hidden="1"/>
    </xf>
    <xf numFmtId="4" fontId="89" fillId="0" borderId="39" xfId="146" applyNumberFormat="1" applyFont="1" applyFill="1" applyBorder="1" applyAlignment="1" applyProtection="1">
      <alignment vertical="center"/>
      <protection hidden="1"/>
    </xf>
    <xf numFmtId="4" fontId="89" fillId="0" borderId="84" xfId="146" applyNumberFormat="1" applyFont="1" applyFill="1" applyBorder="1" applyAlignment="1" applyProtection="1">
      <alignment vertical="center"/>
      <protection hidden="1"/>
    </xf>
    <xf numFmtId="4" fontId="89" fillId="0" borderId="88" xfId="146" applyNumberFormat="1" applyFont="1" applyFill="1" applyBorder="1" applyAlignment="1" applyProtection="1">
      <alignment vertical="center"/>
      <protection hidden="1"/>
    </xf>
    <xf numFmtId="0" fontId="81" fillId="0" borderId="36" xfId="136" applyFont="1" applyBorder="1" applyAlignment="1">
      <alignment vertical="center"/>
      <protection/>
    </xf>
    <xf numFmtId="3" fontId="81" fillId="0" borderId="36" xfId="140" applyNumberFormat="1" applyFont="1" applyFill="1" applyBorder="1" applyAlignment="1">
      <alignment vertical="center" wrapText="1"/>
      <protection/>
    </xf>
    <xf numFmtId="3" fontId="81" fillId="0" borderId="44" xfId="140" applyNumberFormat="1" applyFont="1" applyFill="1" applyBorder="1" applyAlignment="1">
      <alignment vertical="center" wrapText="1"/>
      <protection/>
    </xf>
    <xf numFmtId="3" fontId="81" fillId="0" borderId="44" xfId="140" applyNumberFormat="1" applyFont="1" applyFill="1" applyBorder="1" applyAlignment="1">
      <alignment wrapText="1"/>
      <protection/>
    </xf>
    <xf numFmtId="3" fontId="81" fillId="0" borderId="90" xfId="145" applyNumberFormat="1" applyFont="1" applyBorder="1" applyAlignment="1">
      <alignment/>
      <protection/>
    </xf>
    <xf numFmtId="3" fontId="81" fillId="0" borderId="29" xfId="145" applyNumberFormat="1" applyFont="1" applyBorder="1" applyAlignment="1">
      <alignment/>
      <protection/>
    </xf>
    <xf numFmtId="3" fontId="81" fillId="0" borderId="72" xfId="145" applyNumberFormat="1" applyFont="1" applyBorder="1" applyAlignment="1">
      <alignment/>
      <protection/>
    </xf>
    <xf numFmtId="4" fontId="81" fillId="0" borderId="90" xfId="146" applyNumberFormat="1" applyFont="1" applyFill="1" applyBorder="1" applyAlignment="1" applyProtection="1">
      <alignment vertical="center"/>
      <protection hidden="1"/>
    </xf>
    <xf numFmtId="4" fontId="81" fillId="0" borderId="50" xfId="146" applyNumberFormat="1" applyFont="1" applyFill="1" applyBorder="1" applyAlignment="1" applyProtection="1">
      <alignment vertical="center"/>
      <protection hidden="1"/>
    </xf>
    <xf numFmtId="4" fontId="81" fillId="0" borderId="29" xfId="146" applyNumberFormat="1" applyFont="1" applyFill="1" applyBorder="1" applyAlignment="1" applyProtection="1">
      <alignment vertical="center"/>
      <protection hidden="1"/>
    </xf>
    <xf numFmtId="4" fontId="81" fillId="0" borderId="72" xfId="146" applyNumberFormat="1" applyFont="1" applyFill="1" applyBorder="1" applyAlignment="1" applyProtection="1">
      <alignment vertical="center"/>
      <protection hidden="1"/>
    </xf>
    <xf numFmtId="3" fontId="88" fillId="0" borderId="117" xfId="140" applyNumberFormat="1" applyFont="1" applyFill="1" applyBorder="1" applyAlignment="1">
      <alignment wrapText="1"/>
      <protection/>
    </xf>
    <xf numFmtId="3" fontId="88" fillId="0" borderId="85" xfId="145" applyNumberFormat="1" applyFont="1" applyFill="1" applyBorder="1" applyAlignment="1">
      <alignment/>
      <protection/>
    </xf>
    <xf numFmtId="3" fontId="88" fillId="0" borderId="86" xfId="145" applyNumberFormat="1" applyFont="1" applyFill="1" applyBorder="1" applyAlignment="1">
      <alignment/>
      <protection/>
    </xf>
    <xf numFmtId="3" fontId="88" fillId="0" borderId="87" xfId="145" applyNumberFormat="1" applyFont="1" applyFill="1" applyBorder="1" applyAlignment="1">
      <alignment/>
      <protection/>
    </xf>
    <xf numFmtId="4" fontId="88" fillId="0" borderId="85" xfId="146" applyNumberFormat="1" applyFont="1" applyFill="1" applyBorder="1" applyAlignment="1" applyProtection="1">
      <alignment vertical="center"/>
      <protection hidden="1"/>
    </xf>
    <xf numFmtId="4" fontId="88" fillId="0" borderId="129" xfId="146" applyNumberFormat="1" applyFont="1" applyFill="1" applyBorder="1" applyAlignment="1" applyProtection="1">
      <alignment vertical="center"/>
      <protection hidden="1"/>
    </xf>
    <xf numFmtId="4" fontId="88" fillId="0" borderId="86" xfId="146" applyNumberFormat="1" applyFont="1" applyFill="1" applyBorder="1" applyAlignment="1" applyProtection="1">
      <alignment vertical="center"/>
      <protection hidden="1"/>
    </xf>
    <xf numFmtId="4" fontId="88" fillId="0" borderId="87" xfId="146" applyNumberFormat="1" applyFont="1" applyFill="1" applyBorder="1" applyAlignment="1" applyProtection="1">
      <alignment vertical="center"/>
      <protection hidden="1"/>
    </xf>
    <xf numFmtId="3" fontId="81" fillId="0" borderId="41" xfId="145" applyNumberFormat="1" applyFont="1" applyFill="1" applyBorder="1" applyAlignment="1">
      <alignment/>
      <protection/>
    </xf>
    <xf numFmtId="3" fontId="81" fillId="0" borderId="39" xfId="145" applyNumberFormat="1" applyFont="1" applyFill="1" applyBorder="1" applyAlignment="1">
      <alignment/>
      <protection/>
    </xf>
    <xf numFmtId="3" fontId="81" fillId="0" borderId="84" xfId="145" applyNumberFormat="1" applyFont="1" applyFill="1" applyBorder="1" applyAlignment="1">
      <alignment/>
      <protection/>
    </xf>
    <xf numFmtId="3" fontId="81" fillId="0" borderId="43" xfId="140" applyNumberFormat="1" applyFont="1" applyFill="1" applyBorder="1" applyAlignment="1">
      <alignment wrapText="1"/>
      <protection/>
    </xf>
    <xf numFmtId="3" fontId="81" fillId="0" borderId="31" xfId="145" applyNumberFormat="1" applyFont="1" applyFill="1" applyBorder="1" applyAlignment="1">
      <alignment/>
      <protection/>
    </xf>
    <xf numFmtId="3" fontId="81" fillId="0" borderId="58" xfId="145" applyNumberFormat="1" applyFont="1" applyFill="1" applyBorder="1" applyAlignment="1">
      <alignment/>
      <protection/>
    </xf>
    <xf numFmtId="3" fontId="89" fillId="0" borderId="117" xfId="140" applyNumberFormat="1" applyFont="1" applyFill="1" applyBorder="1" applyAlignment="1">
      <alignment/>
      <protection/>
    </xf>
    <xf numFmtId="3" fontId="89" fillId="0" borderId="117" xfId="140" applyNumberFormat="1" applyFont="1" applyFill="1" applyBorder="1" applyAlignment="1">
      <alignment wrapText="1"/>
      <protection/>
    </xf>
    <xf numFmtId="4" fontId="89" fillId="0" borderId="20" xfId="146" applyNumberFormat="1" applyFont="1" applyFill="1" applyBorder="1" applyAlignment="1" applyProtection="1">
      <alignment vertical="center"/>
      <protection hidden="1"/>
    </xf>
    <xf numFmtId="4" fontId="89" fillId="0" borderId="73" xfId="146" applyNumberFormat="1" applyFont="1" applyFill="1" applyBorder="1" applyAlignment="1" applyProtection="1">
      <alignment vertical="center"/>
      <protection hidden="1"/>
    </xf>
    <xf numFmtId="4" fontId="89" fillId="0" borderId="62" xfId="146" applyNumberFormat="1" applyFont="1" applyFill="1" applyBorder="1" applyAlignment="1" applyProtection="1">
      <alignment vertical="center"/>
      <protection hidden="1"/>
    </xf>
    <xf numFmtId="4" fontId="89" fillId="0" borderId="64" xfId="146" applyNumberFormat="1" applyFont="1" applyFill="1" applyBorder="1" applyAlignment="1" applyProtection="1">
      <alignment vertical="center"/>
      <protection hidden="1"/>
    </xf>
    <xf numFmtId="4" fontId="81" fillId="0" borderId="20" xfId="146" applyNumberFormat="1" applyFont="1" applyFill="1" applyBorder="1" applyAlignment="1" applyProtection="1">
      <alignment vertical="center"/>
      <protection hidden="1"/>
    </xf>
    <xf numFmtId="4" fontId="81" fillId="0" borderId="62" xfId="146" applyNumberFormat="1" applyFont="1" applyFill="1" applyBorder="1" applyAlignment="1" applyProtection="1">
      <alignment vertical="center"/>
      <protection hidden="1"/>
    </xf>
    <xf numFmtId="4" fontId="81" fillId="0" borderId="47" xfId="146" applyNumberFormat="1" applyFont="1" applyFill="1" applyBorder="1" applyAlignment="1" applyProtection="1">
      <alignment vertical="center"/>
      <protection hidden="1"/>
    </xf>
    <xf numFmtId="4" fontId="81" fillId="0" borderId="26" xfId="146" applyNumberFormat="1" applyFont="1" applyFill="1" applyBorder="1" applyAlignment="1" applyProtection="1">
      <alignment vertical="center"/>
      <protection hidden="1"/>
    </xf>
    <xf numFmtId="4" fontId="81" fillId="0" borderId="30" xfId="146" applyNumberFormat="1" applyFont="1" applyFill="1" applyBorder="1" applyAlignment="1" applyProtection="1">
      <alignment vertical="center"/>
      <protection hidden="1"/>
    </xf>
    <xf numFmtId="49" fontId="81" fillId="0" borderId="186" xfId="140" applyNumberFormat="1" applyFont="1" applyFill="1" applyBorder="1" applyAlignment="1">
      <alignment vertical="center" wrapText="1"/>
      <protection/>
    </xf>
    <xf numFmtId="49" fontId="81" fillId="0" borderId="186" xfId="140" applyNumberFormat="1" applyFont="1" applyFill="1" applyBorder="1" applyAlignment="1">
      <alignment wrapText="1"/>
      <protection/>
    </xf>
    <xf numFmtId="3" fontId="81" fillId="0" borderId="187" xfId="145" applyNumberFormat="1" applyFont="1" applyBorder="1" applyAlignment="1">
      <alignment vertical="center"/>
      <protection/>
    </xf>
    <xf numFmtId="0" fontId="81" fillId="0" borderId="188" xfId="145" applyFont="1" applyBorder="1" applyAlignment="1">
      <alignment vertical="center"/>
      <protection/>
    </xf>
    <xf numFmtId="0" fontId="81" fillId="0" borderId="189" xfId="145" applyFont="1" applyBorder="1" applyAlignment="1">
      <alignment vertical="center"/>
      <protection/>
    </xf>
    <xf numFmtId="4" fontId="81" fillId="0" borderId="190" xfId="146" applyNumberFormat="1" applyFont="1" applyFill="1" applyBorder="1" applyAlignment="1" applyProtection="1">
      <alignment vertical="center"/>
      <protection hidden="1"/>
    </xf>
    <xf numFmtId="4" fontId="81" fillId="0" borderId="191" xfId="146" applyNumberFormat="1" applyFont="1" applyFill="1" applyBorder="1" applyAlignment="1" applyProtection="1">
      <alignment vertical="center"/>
      <protection hidden="1"/>
    </xf>
    <xf numFmtId="4" fontId="81" fillId="0" borderId="192" xfId="146" applyNumberFormat="1" applyFont="1" applyFill="1" applyBorder="1" applyAlignment="1" applyProtection="1">
      <alignment vertical="center"/>
      <protection hidden="1"/>
    </xf>
    <xf numFmtId="4" fontId="81" fillId="0" borderId="193" xfId="146" applyNumberFormat="1" applyFont="1" applyFill="1" applyBorder="1" applyAlignment="1" applyProtection="1">
      <alignment vertical="center"/>
      <protection hidden="1"/>
    </xf>
    <xf numFmtId="4" fontId="81" fillId="0" borderId="194" xfId="146" applyNumberFormat="1" applyFont="1" applyFill="1" applyBorder="1" applyAlignment="1" applyProtection="1">
      <alignment vertical="center"/>
      <protection hidden="1"/>
    </xf>
    <xf numFmtId="49" fontId="88" fillId="0" borderId="195" xfId="140" applyNumberFormat="1" applyFont="1" applyFill="1" applyBorder="1" applyAlignment="1">
      <alignment vertical="center" wrapText="1"/>
      <protection/>
    </xf>
    <xf numFmtId="49" fontId="88" fillId="0" borderId="195" xfId="140" applyNumberFormat="1" applyFont="1" applyFill="1" applyBorder="1" applyAlignment="1">
      <alignment wrapText="1"/>
      <protection/>
    </xf>
    <xf numFmtId="3" fontId="81" fillId="0" borderId="190" xfId="145" applyNumberFormat="1" applyFont="1" applyBorder="1" applyAlignment="1">
      <alignment/>
      <protection/>
    </xf>
    <xf numFmtId="0" fontId="81" fillId="0" borderId="192" xfId="145" applyFont="1" applyBorder="1" applyAlignment="1">
      <alignment/>
      <protection/>
    </xf>
    <xf numFmtId="1" fontId="81" fillId="0" borderId="192" xfId="145" applyNumberFormat="1" applyFont="1" applyBorder="1" applyAlignment="1">
      <alignment/>
      <protection/>
    </xf>
    <xf numFmtId="3" fontId="81" fillId="0" borderId="194" xfId="145" applyNumberFormat="1" applyFont="1" applyBorder="1" applyAlignment="1">
      <alignment/>
      <protection/>
    </xf>
    <xf numFmtId="4" fontId="88" fillId="0" borderId="190" xfId="146" applyNumberFormat="1" applyFont="1" applyFill="1" applyBorder="1" applyAlignment="1" applyProtection="1">
      <alignment vertical="center"/>
      <protection hidden="1"/>
    </xf>
    <xf numFmtId="4" fontId="88" fillId="0" borderId="191" xfId="146" applyNumberFormat="1" applyFont="1" applyFill="1" applyBorder="1" applyAlignment="1" applyProtection="1">
      <alignment vertical="center"/>
      <protection hidden="1"/>
    </xf>
    <xf numFmtId="4" fontId="88" fillId="0" borderId="192" xfId="146" applyNumberFormat="1" applyFont="1" applyFill="1" applyBorder="1" applyAlignment="1" applyProtection="1">
      <alignment vertical="center"/>
      <protection hidden="1"/>
    </xf>
    <xf numFmtId="4" fontId="88" fillId="0" borderId="193" xfId="146" applyNumberFormat="1" applyFont="1" applyFill="1" applyBorder="1" applyAlignment="1" applyProtection="1">
      <alignment vertical="center"/>
      <protection hidden="1"/>
    </xf>
    <xf numFmtId="4" fontId="88" fillId="0" borderId="190" xfId="145" applyNumberFormat="1" applyFont="1" applyFill="1" applyBorder="1" applyAlignment="1">
      <alignment vertical="center"/>
      <protection/>
    </xf>
    <xf numFmtId="4" fontId="88" fillId="0" borderId="191" xfId="145" applyNumberFormat="1" applyFont="1" applyFill="1" applyBorder="1" applyAlignment="1">
      <alignment vertical="center"/>
      <protection/>
    </xf>
    <xf numFmtId="4" fontId="88" fillId="0" borderId="194" xfId="146" applyNumberFormat="1" applyFont="1" applyFill="1" applyBorder="1" applyAlignment="1" applyProtection="1">
      <alignment vertical="center"/>
      <protection hidden="1"/>
    </xf>
    <xf numFmtId="49" fontId="81" fillId="0" borderId="196" xfId="140" applyNumberFormat="1" applyFont="1" applyFill="1" applyBorder="1" applyAlignment="1">
      <alignment wrapText="1"/>
      <protection/>
    </xf>
    <xf numFmtId="3" fontId="81" fillId="0" borderId="197" xfId="145" applyNumberFormat="1" applyFont="1" applyFill="1" applyBorder="1" applyAlignment="1">
      <alignment/>
      <protection/>
    </xf>
    <xf numFmtId="0" fontId="81" fillId="0" borderId="198" xfId="145" applyFont="1" applyFill="1" applyBorder="1" applyAlignment="1">
      <alignment/>
      <protection/>
    </xf>
    <xf numFmtId="3" fontId="81" fillId="0" borderId="198" xfId="145" applyNumberFormat="1" applyFont="1" applyFill="1" applyBorder="1" applyAlignment="1">
      <alignment/>
      <protection/>
    </xf>
    <xf numFmtId="3" fontId="81" fillId="0" borderId="199" xfId="145" applyNumberFormat="1" applyFont="1" applyFill="1" applyBorder="1" applyAlignment="1">
      <alignment/>
      <protection/>
    </xf>
    <xf numFmtId="4" fontId="81" fillId="0" borderId="197" xfId="146" applyNumberFormat="1" applyFont="1" applyFill="1" applyBorder="1" applyAlignment="1" applyProtection="1">
      <alignment vertical="center"/>
      <protection hidden="1"/>
    </xf>
    <xf numFmtId="4" fontId="81" fillId="0" borderId="200" xfId="146" applyNumberFormat="1" applyFont="1" applyFill="1" applyBorder="1" applyAlignment="1" applyProtection="1">
      <alignment vertical="center"/>
      <protection hidden="1"/>
    </xf>
    <xf numFmtId="4" fontId="81" fillId="0" borderId="198" xfId="146" applyNumberFormat="1" applyFont="1" applyFill="1" applyBorder="1" applyAlignment="1" applyProtection="1">
      <alignment vertical="center"/>
      <protection hidden="1"/>
    </xf>
    <xf numFmtId="4" fontId="81" fillId="0" borderId="201" xfId="146" applyNumberFormat="1" applyFont="1" applyFill="1" applyBorder="1" applyAlignment="1" applyProtection="1">
      <alignment vertical="center"/>
      <protection hidden="1"/>
    </xf>
    <xf numFmtId="4" fontId="81" fillId="0" borderId="199" xfId="146" applyNumberFormat="1" applyFont="1" applyFill="1" applyBorder="1" applyAlignment="1" applyProtection="1">
      <alignment vertical="center"/>
      <protection hidden="1"/>
    </xf>
    <xf numFmtId="49" fontId="81" fillId="0" borderId="44" xfId="140" applyNumberFormat="1" applyFont="1" applyFill="1" applyBorder="1" applyAlignment="1">
      <alignment/>
      <protection/>
    </xf>
    <xf numFmtId="3" fontId="81" fillId="0" borderId="90" xfId="145" applyNumberFormat="1" applyFont="1" applyFill="1" applyBorder="1" applyAlignment="1">
      <alignment/>
      <protection/>
    </xf>
    <xf numFmtId="0" fontId="81" fillId="0" borderId="29" xfId="145" applyFont="1" applyFill="1" applyBorder="1" applyAlignment="1">
      <alignment/>
      <protection/>
    </xf>
    <xf numFmtId="3" fontId="81" fillId="0" borderId="29" xfId="145" applyNumberFormat="1" applyFont="1" applyFill="1" applyBorder="1" applyAlignment="1">
      <alignment/>
      <protection/>
    </xf>
    <xf numFmtId="3" fontId="81" fillId="0" borderId="72" xfId="145" applyNumberFormat="1" applyFont="1" applyFill="1" applyBorder="1" applyAlignment="1">
      <alignment/>
      <protection/>
    </xf>
    <xf numFmtId="4" fontId="81" fillId="0" borderId="126" xfId="146" applyNumberFormat="1" applyFont="1" applyFill="1" applyBorder="1" applyAlignment="1" applyProtection="1">
      <alignment vertical="center"/>
      <protection hidden="1"/>
    </xf>
    <xf numFmtId="0" fontId="81" fillId="0" borderId="36" xfId="136" applyFont="1" applyBorder="1">
      <alignment/>
      <protection/>
    </xf>
    <xf numFmtId="0" fontId="81" fillId="0" borderId="36" xfId="136" applyFont="1" applyBorder="1" applyAlignment="1">
      <alignment/>
      <protection/>
    </xf>
    <xf numFmtId="0" fontId="90" fillId="0" borderId="0" xfId="0" applyFont="1" applyFill="1" applyAlignment="1">
      <alignment/>
    </xf>
    <xf numFmtId="0" fontId="7" fillId="0" borderId="0" xfId="136" applyFont="1" applyAlignment="1">
      <alignment/>
      <protection/>
    </xf>
    <xf numFmtId="0" fontId="4" fillId="0" borderId="0" xfId="141" applyFont="1">
      <alignment/>
      <protection/>
    </xf>
    <xf numFmtId="0" fontId="4" fillId="0" borderId="0" xfId="141" applyFont="1" applyAlignment="1">
      <alignment horizontal="right"/>
      <protection/>
    </xf>
    <xf numFmtId="0" fontId="3" fillId="0" borderId="0" xfId="141" applyFont="1" applyAlignment="1">
      <alignment horizontal="left"/>
      <protection/>
    </xf>
    <xf numFmtId="0" fontId="1" fillId="0" borderId="0" xfId="141" applyFont="1" applyAlignment="1">
      <alignment/>
      <protection/>
    </xf>
    <xf numFmtId="0" fontId="1" fillId="0" borderId="0" xfId="141" applyFont="1">
      <alignment/>
      <protection/>
    </xf>
    <xf numFmtId="0" fontId="1" fillId="0" borderId="0" xfId="141" applyFont="1" applyAlignment="1">
      <alignment horizontal="left"/>
      <protection/>
    </xf>
    <xf numFmtId="0" fontId="1" fillId="0" borderId="0" xfId="141" applyFont="1" applyAlignment="1">
      <alignment horizontal="centerContinuous"/>
      <protection/>
    </xf>
    <xf numFmtId="0" fontId="0" fillId="0" borderId="0" xfId="141" applyFont="1" applyAlignment="1">
      <alignment horizontal="centerContinuous"/>
      <protection/>
    </xf>
    <xf numFmtId="0" fontId="0" fillId="0" borderId="0" xfId="141" applyFont="1" applyAlignment="1">
      <alignment horizontal="right"/>
      <protection/>
    </xf>
    <xf numFmtId="0" fontId="0" fillId="0" borderId="146" xfId="141" applyFont="1" applyBorder="1" applyAlignment="1">
      <alignment horizontal="center"/>
      <protection/>
    </xf>
    <xf numFmtId="0" fontId="0" fillId="0" borderId="46" xfId="141" applyFont="1" applyBorder="1" applyAlignment="1">
      <alignment horizontal="center"/>
      <protection/>
    </xf>
    <xf numFmtId="0" fontId="0" fillId="0" borderId="47" xfId="141" applyFont="1" applyBorder="1" applyAlignment="1">
      <alignment horizontal="center"/>
      <protection/>
    </xf>
    <xf numFmtId="0" fontId="63" fillId="0" borderId="46" xfId="141" applyFont="1" applyFill="1" applyBorder="1" applyAlignment="1">
      <alignment horizontal="centerContinuous"/>
      <protection/>
    </xf>
    <xf numFmtId="0" fontId="0" fillId="0" borderId="47" xfId="141" applyFont="1" applyFill="1" applyBorder="1" applyAlignment="1">
      <alignment horizontal="centerContinuous"/>
      <protection/>
    </xf>
    <xf numFmtId="0" fontId="63" fillId="0" borderId="46" xfId="141" applyFont="1" applyBorder="1" applyAlignment="1">
      <alignment horizontal="centerContinuous"/>
      <protection/>
    </xf>
    <xf numFmtId="0" fontId="0" fillId="0" borderId="47" xfId="141" applyFont="1" applyBorder="1" applyAlignment="1">
      <alignment horizontal="centerContinuous"/>
      <protection/>
    </xf>
    <xf numFmtId="0" fontId="3" fillId="0" borderId="124" xfId="141" applyFont="1" applyBorder="1" applyAlignment="1">
      <alignment horizontal="center"/>
      <protection/>
    </xf>
    <xf numFmtId="0" fontId="31" fillId="0" borderId="0" xfId="141" applyFont="1" applyBorder="1" applyAlignment="1">
      <alignment horizontal="centerContinuous"/>
      <protection/>
    </xf>
    <xf numFmtId="0" fontId="0" fillId="0" borderId="26" xfId="141" applyFont="1" applyBorder="1" applyAlignment="1">
      <alignment horizontal="centerContinuous"/>
      <protection/>
    </xf>
    <xf numFmtId="0" fontId="63" fillId="0" borderId="202" xfId="141" applyFont="1" applyFill="1" applyBorder="1" applyAlignment="1">
      <alignment horizontal="centerContinuous"/>
      <protection/>
    </xf>
    <xf numFmtId="0" fontId="31" fillId="0" borderId="25" xfId="141" applyFont="1" applyFill="1" applyBorder="1" applyAlignment="1">
      <alignment horizontal="centerContinuous"/>
      <protection/>
    </xf>
    <xf numFmtId="0" fontId="63" fillId="0" borderId="202" xfId="141" applyFont="1" applyBorder="1" applyAlignment="1">
      <alignment horizontal="centerContinuous"/>
      <protection/>
    </xf>
    <xf numFmtId="0" fontId="0" fillId="0" borderId="25" xfId="141" applyFont="1" applyBorder="1" applyAlignment="1">
      <alignment horizontal="centerContinuous"/>
      <protection/>
    </xf>
    <xf numFmtId="0" fontId="0" fillId="0" borderId="124" xfId="141" applyFont="1" applyBorder="1" applyAlignment="1">
      <alignment horizontal="center"/>
      <protection/>
    </xf>
    <xf numFmtId="0" fontId="0" fillId="0" borderId="0" xfId="141" applyFont="1" applyBorder="1" applyAlignment="1">
      <alignment horizontal="center"/>
      <protection/>
    </xf>
    <xf numFmtId="0" fontId="0" fillId="0" borderId="26" xfId="141" applyFont="1" applyBorder="1" applyAlignment="1">
      <alignment horizontal="center"/>
      <protection/>
    </xf>
    <xf numFmtId="0" fontId="0" fillId="0" borderId="59" xfId="141" applyFont="1" applyBorder="1" applyAlignment="1">
      <alignment horizontal="center"/>
      <protection/>
    </xf>
    <xf numFmtId="0" fontId="0" fillId="0" borderId="32" xfId="141" applyFont="1" applyBorder="1" applyAlignment="1">
      <alignment horizontal="center"/>
      <protection/>
    </xf>
    <xf numFmtId="0" fontId="0" fillId="0" borderId="45" xfId="141" applyFont="1" applyBorder="1" applyAlignment="1">
      <alignment horizontal="center"/>
      <protection/>
    </xf>
    <xf numFmtId="0" fontId="0" fillId="0" borderId="31" xfId="141" applyFont="1" applyBorder="1" applyAlignment="1">
      <alignment horizontal="center"/>
      <protection/>
    </xf>
    <xf numFmtId="0" fontId="0" fillId="0" borderId="121" xfId="141" applyFont="1" applyBorder="1" applyAlignment="1">
      <alignment horizontal="center"/>
      <protection/>
    </xf>
    <xf numFmtId="0" fontId="0" fillId="0" borderId="19" xfId="141" applyFont="1" applyBorder="1" applyAlignment="1">
      <alignment horizontal="center"/>
      <protection/>
    </xf>
    <xf numFmtId="0" fontId="0" fillId="0" borderId="30" xfId="141" applyFont="1" applyBorder="1" applyAlignment="1">
      <alignment horizontal="center"/>
      <protection/>
    </xf>
    <xf numFmtId="0" fontId="0" fillId="0" borderId="90" xfId="141" applyFont="1" applyBorder="1" applyAlignment="1">
      <alignment horizontal="center"/>
      <protection/>
    </xf>
    <xf numFmtId="0" fontId="0" fillId="0" borderId="29" xfId="141" applyFont="1" applyBorder="1" applyAlignment="1">
      <alignment horizontal="center"/>
      <protection/>
    </xf>
    <xf numFmtId="0" fontId="0" fillId="0" borderId="50" xfId="141" applyFont="1" applyBorder="1" applyAlignment="1">
      <alignment horizontal="center"/>
      <protection/>
    </xf>
    <xf numFmtId="0" fontId="0" fillId="0" borderId="19" xfId="141" applyFont="1" applyBorder="1" applyAlignment="1">
      <alignment horizontal="centerContinuous"/>
      <protection/>
    </xf>
    <xf numFmtId="0" fontId="0" fillId="0" borderId="30" xfId="141" applyFont="1" applyBorder="1" applyAlignment="1">
      <alignment horizontal="centerContinuous"/>
      <protection/>
    </xf>
    <xf numFmtId="0" fontId="0" fillId="0" borderId="86" xfId="141" applyFont="1" applyBorder="1" applyAlignment="1">
      <alignment horizontal="center"/>
      <protection/>
    </xf>
    <xf numFmtId="0" fontId="0" fillId="0" borderId="35" xfId="141" applyFont="1" applyBorder="1" applyAlignment="1">
      <alignment horizontal="center"/>
      <protection/>
    </xf>
    <xf numFmtId="0" fontId="31" fillId="0" borderId="34" xfId="141" applyFont="1" applyBorder="1" applyAlignment="1">
      <alignment horizontal="left"/>
      <protection/>
    </xf>
    <xf numFmtId="0" fontId="0" fillId="0" borderId="25" xfId="141" applyFont="1" applyBorder="1" applyAlignment="1">
      <alignment horizontal="left"/>
      <protection/>
    </xf>
    <xf numFmtId="4" fontId="0" fillId="51" borderId="34" xfId="141" applyNumberFormat="1" applyFont="1" applyFill="1" applyBorder="1" applyAlignment="1">
      <alignment horizontal="right"/>
      <protection/>
    </xf>
    <xf numFmtId="4" fontId="0" fillId="51" borderId="27" xfId="141" applyNumberFormat="1" applyFont="1" applyFill="1" applyBorder="1" applyAlignment="1">
      <alignment horizontal="right"/>
      <protection/>
    </xf>
    <xf numFmtId="4" fontId="0" fillId="51" borderId="21" xfId="141" applyNumberFormat="1" applyFont="1" applyFill="1" applyBorder="1" applyAlignment="1">
      <alignment horizontal="right"/>
      <protection/>
    </xf>
    <xf numFmtId="4" fontId="0" fillId="51" borderId="140" xfId="141" applyNumberFormat="1" applyFont="1" applyFill="1" applyBorder="1" applyAlignment="1">
      <alignment horizontal="right"/>
      <protection/>
    </xf>
    <xf numFmtId="4" fontId="0" fillId="51" borderId="33" xfId="141" applyNumberFormat="1" applyFont="1" applyFill="1" applyBorder="1" applyAlignment="1">
      <alignment horizontal="right"/>
      <protection/>
    </xf>
    <xf numFmtId="0" fontId="0" fillId="0" borderId="35" xfId="141" applyFont="1" applyBorder="1" applyAlignment="1">
      <alignment horizontal="left"/>
      <protection/>
    </xf>
    <xf numFmtId="4" fontId="0" fillId="0" borderId="0" xfId="141" applyNumberFormat="1" applyFont="1" applyBorder="1" applyAlignment="1">
      <alignment horizontal="right"/>
      <protection/>
    </xf>
    <xf numFmtId="4" fontId="0" fillId="0" borderId="31" xfId="141" applyNumberFormat="1" applyFont="1" applyBorder="1" applyAlignment="1">
      <alignment horizontal="right"/>
      <protection/>
    </xf>
    <xf numFmtId="4" fontId="0" fillId="51" borderId="23" xfId="141" applyNumberFormat="1" applyFont="1" applyFill="1" applyBorder="1" applyAlignment="1">
      <alignment horizontal="right"/>
      <protection/>
    </xf>
    <xf numFmtId="0" fontId="0" fillId="0" borderId="151" xfId="141" applyFont="1" applyBorder="1" applyAlignment="1">
      <alignment horizontal="center"/>
      <protection/>
    </xf>
    <xf numFmtId="4" fontId="0" fillId="0" borderId="203" xfId="141" applyNumberFormat="1" applyFont="1" applyBorder="1" applyAlignment="1">
      <alignment horizontal="right"/>
      <protection/>
    </xf>
    <xf numFmtId="4" fontId="0" fillId="0" borderId="32" xfId="141" applyNumberFormat="1" applyFont="1" applyBorder="1" applyAlignment="1">
      <alignment horizontal="right"/>
      <protection/>
    </xf>
    <xf numFmtId="0" fontId="0" fillId="0" borderId="125" xfId="141" applyFont="1" applyBorder="1" applyAlignment="1">
      <alignment horizontal="center"/>
      <protection/>
    </xf>
    <xf numFmtId="0" fontId="0" fillId="0" borderId="40" xfId="141" applyFont="1" applyBorder="1" applyAlignment="1">
      <alignment horizontal="left"/>
      <protection/>
    </xf>
    <xf numFmtId="0" fontId="0" fillId="0" borderId="42" xfId="141" applyFont="1" applyBorder="1" applyAlignment="1">
      <alignment horizontal="left"/>
      <protection/>
    </xf>
    <xf numFmtId="4" fontId="0" fillId="0" borderId="204" xfId="141" applyNumberFormat="1" applyFont="1" applyBorder="1" applyAlignment="1">
      <alignment horizontal="right"/>
      <protection/>
    </xf>
    <xf numFmtId="4" fontId="0" fillId="0" borderId="39" xfId="141" applyNumberFormat="1" applyFont="1" applyBorder="1" applyAlignment="1">
      <alignment horizontal="right"/>
      <protection/>
    </xf>
    <xf numFmtId="4" fontId="0" fillId="51" borderId="42" xfId="141" applyNumberFormat="1" applyFont="1" applyFill="1" applyBorder="1" applyAlignment="1">
      <alignment horizontal="right"/>
      <protection/>
    </xf>
    <xf numFmtId="0" fontId="0" fillId="0" borderId="161" xfId="141" applyFont="1" applyBorder="1" applyAlignment="1">
      <alignment horizontal="center"/>
      <protection/>
    </xf>
    <xf numFmtId="0" fontId="0" fillId="0" borderId="128" xfId="141" applyFont="1" applyBorder="1" applyAlignment="1">
      <alignment horizontal="center"/>
      <protection/>
    </xf>
    <xf numFmtId="0" fontId="31" fillId="0" borderId="117" xfId="141" applyFont="1" applyBorder="1" applyAlignment="1">
      <alignment horizontal="left"/>
      <protection/>
    </xf>
    <xf numFmtId="0" fontId="0" fillId="0" borderId="128" xfId="141" applyFont="1" applyBorder="1" applyAlignment="1">
      <alignment horizontal="left"/>
      <protection/>
    </xf>
    <xf numFmtId="4" fontId="0" fillId="0" borderId="128" xfId="141" applyNumberFormat="1" applyFont="1" applyBorder="1" applyAlignment="1">
      <alignment horizontal="right"/>
      <protection/>
    </xf>
    <xf numFmtId="4" fontId="0" fillId="0" borderId="129" xfId="141" applyNumberFormat="1" applyFont="1" applyBorder="1" applyAlignment="1">
      <alignment horizontal="right"/>
      <protection/>
    </xf>
    <xf numFmtId="4" fontId="0" fillId="51" borderId="127" xfId="141" applyNumberFormat="1" applyFont="1" applyFill="1" applyBorder="1" applyAlignment="1">
      <alignment horizontal="right"/>
      <protection/>
    </xf>
    <xf numFmtId="4" fontId="0" fillId="0" borderId="86" xfId="141" applyNumberFormat="1" applyFont="1" applyBorder="1" applyAlignment="1">
      <alignment horizontal="right"/>
      <protection/>
    </xf>
    <xf numFmtId="0" fontId="0" fillId="0" borderId="127" xfId="141" applyFont="1" applyBorder="1" applyAlignment="1">
      <alignment horizontal="left"/>
      <protection/>
    </xf>
    <xf numFmtId="4" fontId="0" fillId="0" borderId="46" xfId="141" applyNumberFormat="1" applyFont="1" applyBorder="1" applyAlignment="1">
      <alignment horizontal="right"/>
      <protection/>
    </xf>
    <xf numFmtId="4" fontId="0" fillId="0" borderId="62" xfId="141" applyNumberFormat="1" applyFont="1" applyBorder="1" applyAlignment="1">
      <alignment horizontal="right"/>
      <protection/>
    </xf>
    <xf numFmtId="4" fontId="0" fillId="51" borderId="47" xfId="141" applyNumberFormat="1" applyFont="1" applyFill="1" applyBorder="1" applyAlignment="1">
      <alignment horizontal="right"/>
      <protection/>
    </xf>
    <xf numFmtId="4" fontId="0" fillId="0" borderId="73" xfId="141" applyNumberFormat="1" applyFont="1" applyBorder="1" applyAlignment="1">
      <alignment horizontal="right"/>
      <protection/>
    </xf>
    <xf numFmtId="0" fontId="0" fillId="0" borderId="165" xfId="141" applyFont="1" applyBorder="1" applyAlignment="1">
      <alignment horizontal="center"/>
      <protection/>
    </xf>
    <xf numFmtId="0" fontId="31" fillId="0" borderId="35" xfId="141" applyFont="1" applyBorder="1" applyAlignment="1">
      <alignment horizontal="left"/>
      <protection/>
    </xf>
    <xf numFmtId="4" fontId="0" fillId="51" borderId="48" xfId="141" applyNumberFormat="1" applyFont="1" applyFill="1" applyBorder="1" applyAlignment="1">
      <alignment horizontal="right"/>
      <protection/>
    </xf>
    <xf numFmtId="4" fontId="0" fillId="51" borderId="49" xfId="141" applyNumberFormat="1" applyFont="1" applyFill="1" applyBorder="1" applyAlignment="1">
      <alignment horizontal="right"/>
      <protection/>
    </xf>
    <xf numFmtId="16" fontId="0" fillId="0" borderId="138" xfId="141" applyNumberFormat="1" applyFont="1" applyBorder="1" applyAlignment="1">
      <alignment horizontal="center" vertical="center" wrapText="1"/>
      <protection/>
    </xf>
    <xf numFmtId="4" fontId="0" fillId="51" borderId="26" xfId="141" applyNumberFormat="1" applyFont="1" applyFill="1" applyBorder="1" applyAlignment="1">
      <alignment horizontal="right"/>
      <protection/>
    </xf>
    <xf numFmtId="4" fontId="0" fillId="0" borderId="45" xfId="141" applyNumberFormat="1" applyFont="1" applyBorder="1" applyAlignment="1">
      <alignment horizontal="right"/>
      <protection/>
    </xf>
    <xf numFmtId="16" fontId="0" fillId="0" borderId="125" xfId="141" applyNumberFormat="1" applyFont="1" applyBorder="1" applyAlignment="1">
      <alignment horizontal="center" vertical="center" wrapText="1"/>
      <protection/>
    </xf>
    <xf numFmtId="4" fontId="0" fillId="0" borderId="88" xfId="141" applyNumberFormat="1" applyFont="1" applyBorder="1" applyAlignment="1">
      <alignment horizontal="right"/>
      <protection/>
    </xf>
    <xf numFmtId="16" fontId="0" fillId="51" borderId="161" xfId="141" applyNumberFormat="1" applyFont="1" applyFill="1" applyBorder="1" applyAlignment="1">
      <alignment horizontal="center" vertical="center" wrapText="1"/>
      <protection/>
    </xf>
    <xf numFmtId="185" fontId="0" fillId="51" borderId="20" xfId="141" applyNumberFormat="1" applyFont="1" applyFill="1" applyBorder="1" applyAlignment="1">
      <alignment horizontal="right"/>
      <protection/>
    </xf>
    <xf numFmtId="4" fontId="0" fillId="51" borderId="62" xfId="141" applyNumberFormat="1" applyFont="1" applyFill="1" applyBorder="1" applyAlignment="1">
      <alignment horizontal="right"/>
      <protection/>
    </xf>
    <xf numFmtId="4" fontId="0" fillId="51" borderId="20" xfId="141" applyNumberFormat="1" applyFont="1" applyFill="1" applyBorder="1" applyAlignment="1">
      <alignment horizontal="right"/>
      <protection/>
    </xf>
    <xf numFmtId="16" fontId="0" fillId="0" borderId="22" xfId="141" applyNumberFormat="1" applyFont="1" applyBorder="1" applyAlignment="1">
      <alignment horizontal="center" vertical="center" wrapText="1"/>
      <protection/>
    </xf>
    <xf numFmtId="4" fontId="3" fillId="0" borderId="22" xfId="141" applyNumberFormat="1" applyFont="1" applyBorder="1">
      <alignment/>
      <protection/>
    </xf>
    <xf numFmtId="4" fontId="0" fillId="0" borderId="22" xfId="141" applyNumberFormat="1" applyFont="1" applyBorder="1">
      <alignment/>
      <protection/>
    </xf>
    <xf numFmtId="4" fontId="91" fillId="0" borderId="22" xfId="141" applyNumberFormat="1" applyFont="1" applyBorder="1">
      <alignment/>
      <protection/>
    </xf>
    <xf numFmtId="4" fontId="91" fillId="0" borderId="22" xfId="122" applyNumberFormat="1" applyFont="1" applyBorder="1">
      <alignment/>
      <protection/>
    </xf>
    <xf numFmtId="16" fontId="0" fillId="0" borderId="41" xfId="141" applyNumberFormat="1" applyFont="1" applyBorder="1" applyAlignment="1">
      <alignment horizontal="center" vertical="center" wrapText="1"/>
      <protection/>
    </xf>
    <xf numFmtId="4" fontId="91" fillId="0" borderId="41" xfId="122" applyNumberFormat="1" applyFont="1" applyBorder="1">
      <alignment/>
      <protection/>
    </xf>
    <xf numFmtId="16" fontId="0" fillId="0" borderId="0" xfId="141" applyNumberFormat="1" applyFont="1" applyBorder="1" applyAlignment="1">
      <alignment horizontal="center" vertical="center" wrapText="1"/>
      <protection/>
    </xf>
    <xf numFmtId="4" fontId="91" fillId="0" borderId="0" xfId="122" applyNumberFormat="1" applyFont="1" applyBorder="1">
      <alignment/>
      <protection/>
    </xf>
    <xf numFmtId="0" fontId="0" fillId="0" borderId="0" xfId="141" applyFont="1" applyBorder="1" applyAlignment="1">
      <alignment horizontal="left" wrapText="1"/>
      <protection/>
    </xf>
    <xf numFmtId="0" fontId="0" fillId="0" borderId="0" xfId="141" applyFont="1" applyBorder="1">
      <alignment/>
      <protection/>
    </xf>
    <xf numFmtId="4" fontId="0" fillId="0" borderId="0" xfId="141" applyNumberFormat="1" applyFont="1" applyBorder="1">
      <alignment/>
      <protection/>
    </xf>
    <xf numFmtId="0" fontId="92" fillId="0" borderId="0" xfId="141" applyFont="1" applyBorder="1">
      <alignment/>
      <protection/>
    </xf>
    <xf numFmtId="0" fontId="3" fillId="0" borderId="0" xfId="141" applyFont="1" applyAlignment="1">
      <alignment/>
      <protection/>
    </xf>
    <xf numFmtId="0" fontId="3" fillId="0" borderId="0" xfId="141" applyFont="1">
      <alignment/>
      <protection/>
    </xf>
    <xf numFmtId="0" fontId="3" fillId="0" borderId="0" xfId="141" applyFont="1" applyAlignment="1">
      <alignment horizontal="centerContinuous"/>
      <protection/>
    </xf>
    <xf numFmtId="0" fontId="0" fillId="0" borderId="203" xfId="141" applyFont="1" applyBorder="1" applyAlignment="1">
      <alignment horizontal="left"/>
      <protection/>
    </xf>
    <xf numFmtId="0" fontId="0" fillId="0" borderId="33" xfId="141" applyFont="1" applyBorder="1" applyAlignment="1">
      <alignment horizontal="centerContinuous"/>
      <protection/>
    </xf>
    <xf numFmtId="4" fontId="0" fillId="0" borderId="75" xfId="141" applyNumberFormat="1" applyFont="1" applyBorder="1" applyAlignment="1">
      <alignment horizontal="right"/>
      <protection/>
    </xf>
    <xf numFmtId="0" fontId="0" fillId="0" borderId="122" xfId="141" applyFont="1" applyBorder="1">
      <alignment/>
      <protection/>
    </xf>
    <xf numFmtId="0" fontId="0" fillId="0" borderId="23" xfId="141" applyFont="1" applyBorder="1" applyAlignment="1">
      <alignment horizontal="center"/>
      <protection/>
    </xf>
    <xf numFmtId="4" fontId="0" fillId="0" borderId="54" xfId="141" applyNumberFormat="1" applyFont="1" applyBorder="1" applyAlignment="1">
      <alignment horizontal="right"/>
      <protection/>
    </xf>
    <xf numFmtId="4" fontId="0" fillId="0" borderId="16" xfId="141" applyNumberFormat="1" applyFont="1" applyBorder="1" applyAlignment="1">
      <alignment horizontal="right"/>
      <protection/>
    </xf>
    <xf numFmtId="0" fontId="0" fillId="0" borderId="38" xfId="141" applyFont="1" applyBorder="1" applyAlignment="1">
      <alignment horizontal="left"/>
      <protection/>
    </xf>
    <xf numFmtId="0" fontId="0" fillId="0" borderId="33" xfId="141" applyFont="1" applyBorder="1" applyAlignment="1">
      <alignment horizontal="center"/>
      <protection/>
    </xf>
    <xf numFmtId="0" fontId="0" fillId="0" borderId="203" xfId="141" applyFont="1" applyBorder="1">
      <alignment/>
      <protection/>
    </xf>
    <xf numFmtId="0" fontId="0" fillId="51" borderId="128" xfId="141" applyFont="1" applyFill="1" applyBorder="1" applyAlignment="1">
      <alignment horizontal="center"/>
      <protection/>
    </xf>
    <xf numFmtId="0" fontId="31" fillId="51" borderId="118" xfId="141" applyFont="1" applyFill="1" applyBorder="1">
      <alignment/>
      <protection/>
    </xf>
    <xf numFmtId="0" fontId="31" fillId="51" borderId="127" xfId="141" applyFont="1" applyFill="1" applyBorder="1" applyAlignment="1">
      <alignment horizontal="center"/>
      <protection/>
    </xf>
    <xf numFmtId="4" fontId="0" fillId="51" borderId="129" xfId="141" applyNumberFormat="1" applyFont="1" applyFill="1" applyBorder="1" applyAlignment="1">
      <alignment horizontal="right"/>
      <protection/>
    </xf>
    <xf numFmtId="4" fontId="0" fillId="51" borderId="86" xfId="141" applyNumberFormat="1" applyFont="1" applyFill="1" applyBorder="1" applyAlignment="1">
      <alignment horizontal="right"/>
      <protection/>
    </xf>
    <xf numFmtId="4" fontId="93" fillId="0" borderId="22" xfId="141" applyNumberFormat="1" applyFont="1" applyBorder="1">
      <alignment/>
      <protection/>
    </xf>
    <xf numFmtId="4" fontId="93" fillId="0" borderId="22" xfId="122" applyNumberFormat="1" applyFont="1" applyBorder="1">
      <alignment/>
      <protection/>
    </xf>
    <xf numFmtId="4" fontId="93" fillId="0" borderId="41" xfId="122" applyNumberFormat="1" applyFont="1" applyBorder="1">
      <alignment/>
      <protection/>
    </xf>
    <xf numFmtId="4" fontId="0" fillId="0" borderId="0" xfId="141" applyNumberFormat="1" applyFont="1">
      <alignment/>
      <protection/>
    </xf>
    <xf numFmtId="0" fontId="0" fillId="0" borderId="118" xfId="141" applyFont="1" applyBorder="1" applyAlignment="1">
      <alignment horizontal="centerContinuous"/>
      <protection/>
    </xf>
    <xf numFmtId="0" fontId="0" fillId="0" borderId="127" xfId="141" applyFont="1" applyBorder="1" applyAlignment="1">
      <alignment horizontal="centerContinuous"/>
      <protection/>
    </xf>
    <xf numFmtId="0" fontId="0" fillId="0" borderId="129" xfId="141" applyFont="1" applyBorder="1" applyAlignment="1">
      <alignment horizontal="center"/>
      <protection/>
    </xf>
    <xf numFmtId="0" fontId="0" fillId="0" borderId="127" xfId="141" applyFont="1" applyBorder="1" applyAlignment="1">
      <alignment horizontal="center"/>
      <protection/>
    </xf>
    <xf numFmtId="0" fontId="58" fillId="0" borderId="35" xfId="141" applyFont="1" applyBorder="1" applyAlignment="1">
      <alignment horizontal="left"/>
      <protection/>
    </xf>
    <xf numFmtId="0" fontId="58" fillId="0" borderId="25" xfId="141" applyFont="1" applyBorder="1" applyAlignment="1">
      <alignment horizontal="centerContinuous"/>
      <protection/>
    </xf>
    <xf numFmtId="4" fontId="0" fillId="51" borderId="89" xfId="141" applyNumberFormat="1" applyFont="1" applyFill="1" applyBorder="1" applyAlignment="1">
      <alignment horizontal="right"/>
      <protection/>
    </xf>
    <xf numFmtId="4" fontId="0" fillId="51" borderId="28" xfId="141" applyNumberFormat="1" applyFont="1" applyFill="1" applyBorder="1" applyAlignment="1">
      <alignment horizontal="right"/>
      <protection/>
    </xf>
    <xf numFmtId="4" fontId="0" fillId="51" borderId="25" xfId="141" applyNumberFormat="1" applyFont="1" applyFill="1" applyBorder="1" applyAlignment="1">
      <alignment horizontal="right"/>
      <protection/>
    </xf>
    <xf numFmtId="4" fontId="0" fillId="51" borderId="50" xfId="141" applyNumberFormat="1" applyFont="1" applyFill="1" applyBorder="1" applyAlignment="1">
      <alignment horizontal="right"/>
      <protection/>
    </xf>
    <xf numFmtId="4" fontId="0" fillId="51" borderId="29" xfId="141" applyNumberFormat="1" applyFont="1" applyFill="1" applyBorder="1" applyAlignment="1">
      <alignment horizontal="right"/>
      <protection/>
    </xf>
    <xf numFmtId="4" fontId="0" fillId="51" borderId="30" xfId="141" applyNumberFormat="1" applyFont="1" applyFill="1" applyBorder="1" applyAlignment="1">
      <alignment horizontal="right"/>
      <protection/>
    </xf>
    <xf numFmtId="0" fontId="58" fillId="0" borderId="122" xfId="141" applyFont="1" applyBorder="1" applyAlignment="1">
      <alignment horizontal="left"/>
      <protection/>
    </xf>
    <xf numFmtId="0" fontId="58" fillId="0" borderId="23" xfId="141" applyFont="1" applyBorder="1" applyAlignment="1">
      <alignment horizontal="centerContinuous"/>
      <protection/>
    </xf>
    <xf numFmtId="4" fontId="0" fillId="0" borderId="50" xfId="141" applyNumberFormat="1" applyFont="1" applyBorder="1" applyAlignment="1">
      <alignment horizontal="right"/>
      <protection/>
    </xf>
    <xf numFmtId="4" fontId="0" fillId="0" borderId="29" xfId="141" applyNumberFormat="1" applyFont="1" applyBorder="1" applyAlignment="1">
      <alignment horizontal="right"/>
      <protection/>
    </xf>
    <xf numFmtId="0" fontId="0" fillId="0" borderId="0" xfId="141" applyFont="1" applyBorder="1" applyAlignment="1">
      <alignment horizontal="left"/>
      <protection/>
    </xf>
    <xf numFmtId="0" fontId="0" fillId="0" borderId="0" xfId="141" applyFont="1" applyBorder="1" applyAlignment="1">
      <alignment horizontal="centerContinuous" wrapText="1"/>
      <protection/>
    </xf>
    <xf numFmtId="0" fontId="58" fillId="0" borderId="118" xfId="141" applyFont="1" applyBorder="1" applyAlignment="1">
      <alignment horizontal="left"/>
      <protection/>
    </xf>
    <xf numFmtId="0" fontId="58" fillId="0" borderId="127" xfId="141" applyFont="1" applyBorder="1" applyAlignment="1">
      <alignment horizontal="centerContinuous"/>
      <protection/>
    </xf>
    <xf numFmtId="0" fontId="0" fillId="0" borderId="0" xfId="141" applyFont="1" applyAlignment="1">
      <alignment horizontal="left"/>
      <protection/>
    </xf>
    <xf numFmtId="0" fontId="63" fillId="0" borderId="43" xfId="141" applyFont="1" applyBorder="1" applyAlignment="1">
      <alignment horizontal="centerContinuous"/>
      <protection/>
    </xf>
    <xf numFmtId="0" fontId="0" fillId="0" borderId="35" xfId="141" applyFont="1" applyBorder="1">
      <alignment/>
      <protection/>
    </xf>
    <xf numFmtId="0" fontId="63" fillId="0" borderId="202" xfId="141" applyFont="1" applyFill="1" applyBorder="1" applyAlignment="1">
      <alignment horizontal="left"/>
      <protection/>
    </xf>
    <xf numFmtId="0" fontId="0" fillId="0" borderId="25" xfId="141" applyFont="1" applyBorder="1">
      <alignment/>
      <protection/>
    </xf>
    <xf numFmtId="0" fontId="0" fillId="0" borderId="55" xfId="141" applyFont="1" applyBorder="1" applyAlignment="1">
      <alignment horizontal="center"/>
      <protection/>
    </xf>
    <xf numFmtId="0" fontId="0" fillId="0" borderId="85" xfId="141" applyFont="1" applyBorder="1" applyAlignment="1">
      <alignment horizontal="center"/>
      <protection/>
    </xf>
    <xf numFmtId="4" fontId="0" fillId="0" borderId="59" xfId="141" applyNumberFormat="1" applyFont="1" applyBorder="1" applyAlignment="1">
      <alignment horizontal="right"/>
      <protection/>
    </xf>
    <xf numFmtId="4" fontId="0" fillId="51" borderId="139" xfId="141" applyNumberFormat="1" applyFont="1" applyFill="1" applyBorder="1" applyAlignment="1">
      <alignment horizontal="right"/>
      <protection/>
    </xf>
    <xf numFmtId="0" fontId="58" fillId="0" borderId="38" xfId="141" applyFont="1" applyBorder="1" applyAlignment="1">
      <alignment horizontal="left"/>
      <protection/>
    </xf>
    <xf numFmtId="0" fontId="58" fillId="0" borderId="23" xfId="141" applyFont="1" applyBorder="1" applyAlignment="1">
      <alignment horizontal="left"/>
      <protection/>
    </xf>
    <xf numFmtId="4" fontId="0" fillId="51" borderId="24" xfId="141" applyNumberFormat="1" applyFont="1" applyFill="1" applyBorder="1" applyAlignment="1">
      <alignment horizontal="right"/>
      <protection/>
    </xf>
    <xf numFmtId="4" fontId="0" fillId="51" borderId="61" xfId="141" applyNumberFormat="1" applyFont="1" applyFill="1" applyBorder="1" applyAlignment="1">
      <alignment horizontal="right"/>
      <protection/>
    </xf>
    <xf numFmtId="0" fontId="0" fillId="0" borderId="204" xfId="141" applyFont="1" applyBorder="1">
      <alignment/>
      <protection/>
    </xf>
    <xf numFmtId="0" fontId="0" fillId="0" borderId="42" xfId="141" applyFont="1" applyBorder="1" applyAlignment="1">
      <alignment horizontal="center"/>
      <protection/>
    </xf>
    <xf numFmtId="4" fontId="0" fillId="51" borderId="88" xfId="141" applyNumberFormat="1" applyFont="1" applyFill="1" applyBorder="1" applyAlignment="1">
      <alignment horizontal="right"/>
      <protection/>
    </xf>
    <xf numFmtId="4" fontId="0" fillId="51" borderId="39" xfId="141" applyNumberFormat="1" applyFont="1" applyFill="1" applyBorder="1" applyAlignment="1">
      <alignment horizontal="right"/>
      <protection/>
    </xf>
    <xf numFmtId="4" fontId="0" fillId="51" borderId="41" xfId="141" applyNumberFormat="1" applyFont="1" applyFill="1" applyBorder="1" applyAlignment="1">
      <alignment horizontal="right"/>
      <protection/>
    </xf>
    <xf numFmtId="4" fontId="0" fillId="51" borderId="84" xfId="141" applyNumberFormat="1" applyFont="1" applyFill="1" applyBorder="1" applyAlignment="1">
      <alignment horizontal="right"/>
      <protection/>
    </xf>
    <xf numFmtId="0" fontId="63" fillId="0" borderId="0" xfId="141" applyFont="1" applyBorder="1" applyAlignment="1" applyProtection="1">
      <alignment horizontal="left"/>
      <protection locked="0"/>
    </xf>
    <xf numFmtId="0" fontId="92" fillId="0" borderId="0" xfId="141" applyFont="1">
      <alignment/>
      <protection/>
    </xf>
    <xf numFmtId="0" fontId="3" fillId="0" borderId="0" xfId="141" applyFont="1" applyBorder="1" applyAlignment="1">
      <alignment horizontal="left"/>
      <protection/>
    </xf>
    <xf numFmtId="0" fontId="3" fillId="0" borderId="0" xfId="141" applyFont="1" applyBorder="1" applyAlignment="1">
      <alignment horizontal="center"/>
      <protection/>
    </xf>
    <xf numFmtId="0" fontId="3" fillId="0" borderId="0" xfId="141" applyFont="1" applyBorder="1">
      <alignment/>
      <protection/>
    </xf>
    <xf numFmtId="0" fontId="58" fillId="0" borderId="0" xfId="141" applyFont="1">
      <alignment/>
      <protection/>
    </xf>
    <xf numFmtId="0" fontId="77" fillId="0" borderId="0" xfId="143" applyFont="1" applyFill="1" applyBorder="1">
      <alignment/>
      <protection/>
    </xf>
    <xf numFmtId="0" fontId="31" fillId="0" borderId="0" xfId="141" applyFont="1">
      <alignment/>
      <protection/>
    </xf>
    <xf numFmtId="4" fontId="0" fillId="51" borderId="43" xfId="141" applyNumberFormat="1" applyFont="1" applyFill="1" applyBorder="1" applyAlignment="1">
      <alignment horizontal="right"/>
      <protection/>
    </xf>
    <xf numFmtId="4" fontId="0" fillId="51" borderId="62" xfId="141" applyNumberFormat="1" applyFont="1" applyFill="1" applyBorder="1" applyAlignment="1">
      <alignment horizontal="right"/>
      <protection/>
    </xf>
    <xf numFmtId="4" fontId="0" fillId="51" borderId="47" xfId="141" applyNumberFormat="1" applyFont="1" applyFill="1" applyBorder="1" applyAlignment="1">
      <alignment horizontal="right"/>
      <protection/>
    </xf>
    <xf numFmtId="0" fontId="83" fillId="0" borderId="71" xfId="141" applyFont="1" applyBorder="1" applyAlignment="1">
      <alignment wrapText="1"/>
      <protection/>
    </xf>
    <xf numFmtId="0" fontId="83" fillId="0" borderId="122" xfId="141" applyFont="1" applyBorder="1" applyAlignment="1">
      <alignment wrapText="1"/>
      <protection/>
    </xf>
    <xf numFmtId="0" fontId="83" fillId="0" borderId="16" xfId="141" applyFont="1" applyBorder="1" applyAlignment="1">
      <alignment horizontal="center"/>
      <protection/>
    </xf>
    <xf numFmtId="0" fontId="83" fillId="0" borderId="24" xfId="141" applyFont="1" applyBorder="1" applyAlignment="1">
      <alignment horizontal="center"/>
      <protection/>
    </xf>
    <xf numFmtId="0" fontId="83" fillId="0" borderId="71" xfId="141" applyFont="1" applyBorder="1">
      <alignment/>
      <protection/>
    </xf>
    <xf numFmtId="0" fontId="83" fillId="0" borderId="122" xfId="141" applyFont="1" applyBorder="1">
      <alignment/>
      <protection/>
    </xf>
    <xf numFmtId="0" fontId="83" fillId="0" borderId="16" xfId="141" applyFont="1" applyBorder="1" applyAlignment="1">
      <alignment horizontal="center" wrapText="1"/>
      <protection/>
    </xf>
    <xf numFmtId="0" fontId="83" fillId="0" borderId="24" xfId="141" applyFont="1" applyBorder="1" applyAlignment="1">
      <alignment horizontal="center" wrapText="1"/>
      <protection/>
    </xf>
    <xf numFmtId="0" fontId="83" fillId="0" borderId="204" xfId="141" applyFont="1" applyBorder="1">
      <alignment/>
      <protection/>
    </xf>
    <xf numFmtId="0" fontId="83" fillId="0" borderId="39" xfId="141" applyFont="1" applyBorder="1" applyAlignment="1">
      <alignment horizontal="center" wrapText="1"/>
      <protection/>
    </xf>
    <xf numFmtId="0" fontId="83" fillId="0" borderId="84" xfId="141" applyFont="1" applyBorder="1" applyAlignment="1">
      <alignment horizontal="center" wrapText="1"/>
      <protection/>
    </xf>
    <xf numFmtId="0" fontId="0" fillId="0" borderId="0" xfId="141" applyFont="1">
      <alignment/>
      <protection/>
    </xf>
    <xf numFmtId="0" fontId="32" fillId="0" borderId="0" xfId="141" applyFont="1" applyAlignment="1">
      <alignment horizontal="right"/>
      <protection/>
    </xf>
    <xf numFmtId="0" fontId="0" fillId="0" borderId="0" xfId="0" applyFont="1" applyBorder="1" applyAlignment="1">
      <alignment/>
    </xf>
    <xf numFmtId="0" fontId="37" fillId="0" borderId="0" xfId="136" applyFont="1" applyAlignment="1">
      <alignment/>
      <protection/>
    </xf>
    <xf numFmtId="4" fontId="4" fillId="0" borderId="75" xfId="138" applyNumberFormat="1" applyFont="1" applyFill="1" applyBorder="1">
      <alignment/>
      <protection/>
    </xf>
    <xf numFmtId="3" fontId="4" fillId="0" borderId="151" xfId="138" applyNumberFormat="1" applyFont="1" applyFill="1" applyBorder="1">
      <alignment/>
      <protection/>
    </xf>
    <xf numFmtId="3" fontId="4" fillId="0" borderId="16" xfId="138" applyNumberFormat="1" applyFont="1" applyFill="1" applyBorder="1">
      <alignment/>
      <protection/>
    </xf>
    <xf numFmtId="3" fontId="4" fillId="0" borderId="24" xfId="138" applyNumberFormat="1" applyFont="1" applyFill="1" applyBorder="1">
      <alignment/>
      <protection/>
    </xf>
    <xf numFmtId="0" fontId="32" fillId="0" borderId="154" xfId="138" applyFont="1" applyFill="1" applyBorder="1">
      <alignment/>
      <protection/>
    </xf>
    <xf numFmtId="3" fontId="32" fillId="0" borderId="32" xfId="138" applyNumberFormat="1" applyFont="1" applyFill="1" applyBorder="1">
      <alignment/>
      <protection/>
    </xf>
    <xf numFmtId="3" fontId="32" fillId="0" borderId="61" xfId="138" applyNumberFormat="1" applyFont="1" applyFill="1" applyBorder="1">
      <alignment/>
      <protection/>
    </xf>
    <xf numFmtId="3" fontId="4" fillId="0" borderId="138" xfId="138" applyNumberFormat="1" applyFont="1" applyFill="1" applyBorder="1">
      <alignment/>
      <protection/>
    </xf>
    <xf numFmtId="3" fontId="4" fillId="0" borderId="28" xfId="138" applyNumberFormat="1" applyFont="1" applyFill="1" applyBorder="1">
      <alignment/>
      <protection/>
    </xf>
    <xf numFmtId="3" fontId="4" fillId="0" borderId="57" xfId="138" applyNumberFormat="1" applyFont="1" applyFill="1" applyBorder="1">
      <alignment/>
      <protection/>
    </xf>
    <xf numFmtId="3" fontId="4" fillId="0" borderId="165" xfId="138" applyNumberFormat="1" applyFont="1" applyFill="1" applyBorder="1">
      <alignment/>
      <protection/>
    </xf>
    <xf numFmtId="3" fontId="4" fillId="0" borderId="27" xfId="138" applyNumberFormat="1" applyFont="1" applyFill="1" applyBorder="1">
      <alignment/>
      <protection/>
    </xf>
    <xf numFmtId="3" fontId="4" fillId="0" borderId="139" xfId="138" applyNumberFormat="1" applyFont="1" applyFill="1" applyBorder="1">
      <alignment/>
      <protection/>
    </xf>
    <xf numFmtId="3" fontId="4" fillId="0" borderId="122" xfId="138" applyNumberFormat="1" applyFont="1" applyFill="1" applyBorder="1">
      <alignment/>
      <protection/>
    </xf>
    <xf numFmtId="4" fontId="4" fillId="0" borderId="54" xfId="138" applyNumberFormat="1" applyFont="1" applyFill="1" applyBorder="1">
      <alignment/>
      <protection/>
    </xf>
    <xf numFmtId="0" fontId="32" fillId="0" borderId="170" xfId="0" applyFont="1" applyFill="1" applyBorder="1" applyAlignment="1">
      <alignment vertical="center"/>
    </xf>
    <xf numFmtId="0" fontId="32" fillId="0" borderId="205" xfId="0" applyFont="1" applyFill="1" applyBorder="1" applyAlignment="1">
      <alignment horizontal="centerContinuous" vertical="center"/>
    </xf>
    <xf numFmtId="0" fontId="32" fillId="0" borderId="206" xfId="0" applyFont="1" applyFill="1" applyBorder="1" applyAlignment="1">
      <alignment horizontal="centerContinuous" vertical="center"/>
    </xf>
    <xf numFmtId="0" fontId="32" fillId="0" borderId="207" xfId="0" applyFont="1" applyFill="1" applyBorder="1" applyAlignment="1">
      <alignment horizontal="centerContinuous" vertical="center"/>
    </xf>
    <xf numFmtId="0" fontId="32" fillId="0" borderId="208" xfId="0" applyFont="1" applyFill="1" applyBorder="1" applyAlignment="1">
      <alignment horizontal="centerContinuous" vertical="center" wrapText="1"/>
    </xf>
    <xf numFmtId="0" fontId="32" fillId="0" borderId="209" xfId="0" applyFont="1" applyFill="1" applyBorder="1" applyAlignment="1">
      <alignment horizontal="centerContinuous" vertical="center" wrapText="1"/>
    </xf>
    <xf numFmtId="0" fontId="32" fillId="0" borderId="210" xfId="0" applyFont="1" applyFill="1" applyBorder="1" applyAlignment="1">
      <alignment horizontal="centerContinuous" vertical="center"/>
    </xf>
    <xf numFmtId="0" fontId="32" fillId="0" borderId="176" xfId="0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3" fontId="31" fillId="0" borderId="55" xfId="0" applyNumberFormat="1" applyFont="1" applyFill="1" applyBorder="1" applyAlignment="1">
      <alignment horizontal="center"/>
    </xf>
    <xf numFmtId="3" fontId="31" fillId="0" borderId="169" xfId="0" applyNumberFormat="1" applyFont="1" applyFill="1" applyBorder="1" applyAlignment="1">
      <alignment/>
    </xf>
    <xf numFmtId="3" fontId="31" fillId="0" borderId="49" xfId="0" applyNumberFormat="1" applyFont="1" applyFill="1" applyBorder="1" applyAlignment="1">
      <alignment/>
    </xf>
    <xf numFmtId="3" fontId="31" fillId="0" borderId="45" xfId="0" applyNumberFormat="1" applyFont="1" applyFill="1" applyBorder="1" applyAlignment="1">
      <alignment/>
    </xf>
    <xf numFmtId="3" fontId="31" fillId="0" borderId="26" xfId="0" applyNumberFormat="1" applyFont="1" applyFill="1" applyBorder="1" applyAlignment="1">
      <alignment horizontal="center"/>
    </xf>
    <xf numFmtId="3" fontId="31" fillId="0" borderId="26" xfId="0" applyNumberFormat="1" applyFont="1" applyFill="1" applyBorder="1" applyAlignment="1">
      <alignment/>
    </xf>
    <xf numFmtId="3" fontId="31" fillId="0" borderId="20" xfId="0" applyNumberFormat="1" applyFont="1" applyFill="1" applyBorder="1" applyAlignment="1">
      <alignment/>
    </xf>
    <xf numFmtId="3" fontId="31" fillId="0" borderId="62" xfId="0" applyNumberFormat="1" applyFont="1" applyFill="1" applyBorder="1" applyAlignment="1">
      <alignment/>
    </xf>
    <xf numFmtId="3" fontId="31" fillId="0" borderId="64" xfId="0" applyNumberFormat="1" applyFont="1" applyFill="1" applyBorder="1" applyAlignment="1">
      <alignment/>
    </xf>
    <xf numFmtId="3" fontId="31" fillId="0" borderId="63" xfId="0" applyNumberFormat="1" applyFont="1" applyFill="1" applyBorder="1" applyAlignment="1">
      <alignment/>
    </xf>
    <xf numFmtId="3" fontId="31" fillId="0" borderId="45" xfId="0" applyNumberFormat="1" applyFont="1" applyFill="1" applyBorder="1" applyAlignment="1">
      <alignment horizontal="center"/>
    </xf>
    <xf numFmtId="3" fontId="31" fillId="0" borderId="31" xfId="0" applyNumberFormat="1" applyFont="1" applyFill="1" applyBorder="1" applyAlignment="1">
      <alignment horizontal="center"/>
    </xf>
    <xf numFmtId="3" fontId="31" fillId="0" borderId="58" xfId="0" applyNumberFormat="1" applyFont="1" applyFill="1" applyBorder="1" applyAlignment="1">
      <alignment horizontal="center"/>
    </xf>
    <xf numFmtId="3" fontId="31" fillId="0" borderId="0" xfId="0" applyNumberFormat="1" applyFont="1" applyFill="1" applyBorder="1" applyAlignment="1">
      <alignment horizontal="center"/>
    </xf>
    <xf numFmtId="3" fontId="31" fillId="0" borderId="90" xfId="0" applyNumberFormat="1" applyFont="1" applyFill="1" applyBorder="1" applyAlignment="1">
      <alignment horizontal="center"/>
    </xf>
    <xf numFmtId="3" fontId="31" fillId="0" borderId="50" xfId="0" applyNumberFormat="1" applyFont="1" applyFill="1" applyBorder="1" applyAlignment="1">
      <alignment horizontal="center"/>
    </xf>
    <xf numFmtId="3" fontId="31" fillId="0" borderId="30" xfId="0" applyNumberFormat="1" applyFont="1" applyFill="1" applyBorder="1" applyAlignment="1">
      <alignment horizontal="center"/>
    </xf>
    <xf numFmtId="3" fontId="31" fillId="0" borderId="29" xfId="0" applyNumberFormat="1" applyFont="1" applyFill="1" applyBorder="1" applyAlignment="1">
      <alignment horizontal="center"/>
    </xf>
    <xf numFmtId="3" fontId="31" fillId="0" borderId="72" xfId="0" applyNumberFormat="1" applyFont="1" applyFill="1" applyBorder="1" applyAlignment="1">
      <alignment horizontal="center"/>
    </xf>
    <xf numFmtId="3" fontId="31" fillId="0" borderId="19" xfId="0" applyNumberFormat="1" applyFont="1" applyFill="1" applyBorder="1" applyAlignment="1">
      <alignment horizontal="center"/>
    </xf>
    <xf numFmtId="3" fontId="32" fillId="0" borderId="124" xfId="0" applyNumberFormat="1" applyFont="1" applyFill="1" applyBorder="1" applyAlignment="1">
      <alignment horizontal="center"/>
    </xf>
    <xf numFmtId="3" fontId="32" fillId="0" borderId="121" xfId="0" applyNumberFormat="1" applyFont="1" applyFill="1" applyBorder="1" applyAlignment="1">
      <alignment horizontal="center"/>
    </xf>
    <xf numFmtId="3" fontId="1" fillId="0" borderId="45" xfId="138" applyNumberFormat="1" applyFont="1" applyFill="1" applyBorder="1">
      <alignment/>
      <protection/>
    </xf>
    <xf numFmtId="3" fontId="1" fillId="0" borderId="26" xfId="138" applyNumberFormat="1" applyFont="1" applyFill="1" applyBorder="1">
      <alignment/>
      <protection/>
    </xf>
    <xf numFmtId="3" fontId="1" fillId="0" borderId="55" xfId="138" applyNumberFormat="1" applyFont="1" applyFill="1" applyBorder="1">
      <alignment/>
      <protection/>
    </xf>
    <xf numFmtId="3" fontId="1" fillId="0" borderId="31" xfId="138" applyNumberFormat="1" applyFont="1" applyFill="1" applyBorder="1">
      <alignment/>
      <protection/>
    </xf>
    <xf numFmtId="3" fontId="1" fillId="0" borderId="58" xfId="138" applyNumberFormat="1" applyFont="1" applyFill="1" applyBorder="1">
      <alignment/>
      <protection/>
    </xf>
    <xf numFmtId="3" fontId="1" fillId="0" borderId="36" xfId="138" applyNumberFormat="1" applyFont="1" applyFill="1" applyBorder="1">
      <alignment/>
      <protection/>
    </xf>
    <xf numFmtId="3" fontId="1" fillId="0" borderId="142" xfId="138" applyNumberFormat="1" applyFont="1" applyFill="1" applyBorder="1">
      <alignment/>
      <protection/>
    </xf>
    <xf numFmtId="0" fontId="77" fillId="0" borderId="0" xfId="0" applyFont="1" applyFill="1" applyBorder="1" applyAlignment="1">
      <alignment/>
    </xf>
    <xf numFmtId="0" fontId="77" fillId="0" borderId="0" xfId="0" applyFont="1" applyFill="1" applyAlignment="1">
      <alignment/>
    </xf>
    <xf numFmtId="4" fontId="1" fillId="0" borderId="0" xfId="138" applyNumberFormat="1" applyFont="1" applyFill="1" applyBorder="1">
      <alignment/>
      <protection/>
    </xf>
    <xf numFmtId="3" fontId="1" fillId="0" borderId="0" xfId="138" applyNumberFormat="1" applyFont="1" applyFill="1" applyBorder="1">
      <alignment/>
      <protection/>
    </xf>
    <xf numFmtId="0" fontId="81" fillId="0" borderId="0" xfId="0" applyFont="1" applyFill="1" applyAlignment="1">
      <alignment horizontal="right"/>
    </xf>
    <xf numFmtId="0" fontId="7" fillId="0" borderId="0" xfId="0" applyFont="1" applyFill="1" applyAlignment="1">
      <alignment horizontal="left"/>
    </xf>
    <xf numFmtId="49" fontId="76" fillId="0" borderId="70" xfId="0" applyNumberFormat="1" applyFont="1" applyFill="1" applyBorder="1" applyAlignment="1">
      <alignment horizontal="left" indent="1"/>
    </xf>
    <xf numFmtId="4" fontId="76" fillId="0" borderId="35" xfId="0" applyNumberFormat="1" applyFont="1" applyFill="1" applyBorder="1" applyAlignment="1">
      <alignment horizontal="right" indent="1"/>
    </xf>
    <xf numFmtId="4" fontId="76" fillId="0" borderId="81" xfId="0" applyNumberFormat="1" applyFont="1" applyFill="1" applyBorder="1" applyAlignment="1">
      <alignment horizontal="right" indent="1"/>
    </xf>
    <xf numFmtId="4" fontId="76" fillId="0" borderId="79" xfId="0" applyNumberFormat="1" applyFont="1" applyFill="1" applyBorder="1" applyAlignment="1">
      <alignment horizontal="right" indent="1"/>
    </xf>
    <xf numFmtId="4" fontId="76" fillId="0" borderId="202" xfId="0" applyNumberFormat="1" applyFont="1" applyFill="1" applyBorder="1" applyAlignment="1">
      <alignment horizontal="right" indent="1"/>
    </xf>
    <xf numFmtId="10" fontId="76" fillId="0" borderId="81" xfId="156" applyNumberFormat="1" applyFont="1" applyFill="1" applyBorder="1" applyAlignment="1">
      <alignment horizontal="center"/>
    </xf>
    <xf numFmtId="10" fontId="76" fillId="0" borderId="57" xfId="156" applyNumberFormat="1" applyFont="1" applyFill="1" applyBorder="1" applyAlignment="1">
      <alignment horizontal="center"/>
    </xf>
    <xf numFmtId="49" fontId="76" fillId="0" borderId="82" xfId="0" applyNumberFormat="1" applyFont="1" applyFill="1" applyBorder="1" applyAlignment="1">
      <alignment horizontal="left" indent="1"/>
    </xf>
    <xf numFmtId="4" fontId="76" fillId="0" borderId="80" xfId="0" applyNumberFormat="1" applyFont="1" applyFill="1" applyBorder="1" applyAlignment="1">
      <alignment horizontal="right" indent="1"/>
    </xf>
    <xf numFmtId="4" fontId="76" fillId="0" borderId="98" xfId="0" applyNumberFormat="1" applyFont="1" applyFill="1" applyBorder="1" applyAlignment="1">
      <alignment horizontal="right" indent="1"/>
    </xf>
    <xf numFmtId="0" fontId="55" fillId="0" borderId="126" xfId="0" applyFont="1" applyFill="1" applyBorder="1" applyAlignment="1">
      <alignment horizontal="left" indent="1"/>
    </xf>
    <xf numFmtId="4" fontId="55" fillId="0" borderId="41" xfId="0" applyNumberFormat="1" applyFont="1" applyFill="1" applyBorder="1" applyAlignment="1">
      <alignment horizontal="right" indent="1"/>
    </xf>
    <xf numFmtId="4" fontId="55" fillId="0" borderId="39" xfId="0" applyNumberFormat="1" applyFont="1" applyFill="1" applyBorder="1" applyAlignment="1">
      <alignment horizontal="right" indent="1"/>
    </xf>
    <xf numFmtId="4" fontId="55" fillId="0" borderId="84" xfId="0" applyNumberFormat="1" applyFont="1" applyFill="1" applyBorder="1" applyAlignment="1">
      <alignment horizontal="right" indent="1"/>
    </xf>
    <xf numFmtId="4" fontId="55" fillId="0" borderId="88" xfId="0" applyNumberFormat="1" applyFont="1" applyFill="1" applyBorder="1" applyAlignment="1">
      <alignment horizontal="right" indent="1"/>
    </xf>
    <xf numFmtId="10" fontId="55" fillId="0" borderId="39" xfId="156" applyNumberFormat="1" applyFont="1" applyFill="1" applyBorder="1" applyAlignment="1">
      <alignment horizontal="center"/>
    </xf>
    <xf numFmtId="10" fontId="55" fillId="0" borderId="84" xfId="156" applyNumberFormat="1" applyFont="1" applyFill="1" applyBorder="1" applyAlignment="1">
      <alignment horizontal="center"/>
    </xf>
    <xf numFmtId="4" fontId="76" fillId="0" borderId="211" xfId="0" applyNumberFormat="1" applyFont="1" applyFill="1" applyBorder="1" applyAlignment="1">
      <alignment horizontal="right" indent="1"/>
    </xf>
    <xf numFmtId="0" fontId="7" fillId="0" borderId="0" xfId="0" applyFont="1" applyFill="1" applyBorder="1" applyAlignment="1">
      <alignment/>
    </xf>
    <xf numFmtId="0" fontId="55" fillId="0" borderId="84" xfId="0" applyFont="1" applyFill="1" applyBorder="1" applyAlignment="1">
      <alignment horizontal="left" indent="1"/>
    </xf>
    <xf numFmtId="10" fontId="55" fillId="0" borderId="32" xfId="156" applyNumberFormat="1" applyFont="1" applyFill="1" applyBorder="1" applyAlignment="1">
      <alignment horizontal="center"/>
    </xf>
    <xf numFmtId="10" fontId="55" fillId="0" borderId="61" xfId="156" applyNumberFormat="1" applyFont="1" applyFill="1" applyBorder="1" applyAlignment="1">
      <alignment horizontal="center"/>
    </xf>
    <xf numFmtId="0" fontId="0" fillId="0" borderId="0" xfId="137" applyFont="1" applyFill="1" applyAlignment="1">
      <alignment horizontal="left" vertical="center"/>
      <protection/>
    </xf>
    <xf numFmtId="0" fontId="3" fillId="0" borderId="0" xfId="137" applyFont="1" applyFill="1">
      <alignment/>
      <protection/>
    </xf>
    <xf numFmtId="4" fontId="3" fillId="0" borderId="0" xfId="137" applyNumberFormat="1" applyFont="1" applyFill="1">
      <alignment/>
      <protection/>
    </xf>
    <xf numFmtId="0" fontId="1" fillId="0" borderId="0" xfId="137" applyFont="1" applyFill="1" applyAlignment="1">
      <alignment horizontal="centerContinuous" vertical="center" wrapText="1"/>
      <protection/>
    </xf>
    <xf numFmtId="0" fontId="3" fillId="0" borderId="0" xfId="137" applyFont="1" applyFill="1" applyAlignment="1">
      <alignment horizontal="centerContinuous" vertical="center"/>
      <protection/>
    </xf>
    <xf numFmtId="4" fontId="0" fillId="0" borderId="0" xfId="137" applyNumberFormat="1" applyFont="1" applyFill="1">
      <alignment/>
      <protection/>
    </xf>
    <xf numFmtId="0" fontId="0" fillId="0" borderId="0" xfId="137" applyFont="1" applyFill="1">
      <alignment/>
      <protection/>
    </xf>
    <xf numFmtId="0" fontId="0" fillId="0" borderId="0" xfId="137" applyFont="1" applyFill="1" applyAlignment="1">
      <alignment horizontal="left" vertical="top"/>
      <protection/>
    </xf>
    <xf numFmtId="0" fontId="3" fillId="0" borderId="0" xfId="137" applyFont="1" applyFill="1" applyAlignment="1">
      <alignment horizontal="centerContinuous"/>
      <protection/>
    </xf>
    <xf numFmtId="0" fontId="0" fillId="0" borderId="0" xfId="137" applyFont="1" applyFill="1" applyAlignment="1">
      <alignment horizontal="right" vertical="top"/>
      <protection/>
    </xf>
    <xf numFmtId="0" fontId="0" fillId="0" borderId="20" xfId="137" applyFont="1" applyFill="1" applyBorder="1" applyAlignment="1">
      <alignment/>
      <protection/>
    </xf>
    <xf numFmtId="0" fontId="3" fillId="0" borderId="62" xfId="137" applyFont="1" applyFill="1" applyBorder="1" applyAlignment="1">
      <alignment horizontal="left"/>
      <protection/>
    </xf>
    <xf numFmtId="0" fontId="3" fillId="0" borderId="139" xfId="137" applyFont="1" applyFill="1" applyBorder="1" applyAlignment="1">
      <alignment horizontal="centerContinuous" vertical="center"/>
      <protection/>
    </xf>
    <xf numFmtId="0" fontId="3" fillId="0" borderId="48" xfId="137" applyFont="1" applyFill="1" applyBorder="1" applyAlignment="1">
      <alignment horizontal="centerContinuous"/>
      <protection/>
    </xf>
    <xf numFmtId="0" fontId="3" fillId="0" borderId="73" xfId="137" applyFont="1" applyFill="1" applyBorder="1" applyAlignment="1">
      <alignment horizontal="center"/>
      <protection/>
    </xf>
    <xf numFmtId="0" fontId="3" fillId="0" borderId="47" xfId="137" applyFont="1" applyFill="1" applyBorder="1" applyAlignment="1">
      <alignment horizontal="center"/>
      <protection/>
    </xf>
    <xf numFmtId="0" fontId="58" fillId="0" borderId="55" xfId="137" applyFont="1" applyFill="1" applyBorder="1" applyAlignment="1">
      <alignment horizontal="center"/>
      <protection/>
    </xf>
    <xf numFmtId="0" fontId="3" fillId="0" borderId="31" xfId="137" applyFont="1" applyFill="1" applyBorder="1" applyAlignment="1">
      <alignment horizontal="centerContinuous"/>
      <protection/>
    </xf>
    <xf numFmtId="0" fontId="3" fillId="0" borderId="31" xfId="137" applyFont="1" applyFill="1" applyBorder="1" applyAlignment="1">
      <alignment horizontal="center"/>
      <protection/>
    </xf>
    <xf numFmtId="0" fontId="3" fillId="0" borderId="0" xfId="137" applyFont="1" applyFill="1" applyBorder="1" applyAlignment="1">
      <alignment horizontal="center"/>
      <protection/>
    </xf>
    <xf numFmtId="0" fontId="3" fillId="0" borderId="45" xfId="137" applyFont="1" applyFill="1" applyBorder="1" applyAlignment="1">
      <alignment horizontal="center"/>
      <protection/>
    </xf>
    <xf numFmtId="0" fontId="70" fillId="0" borderId="26" xfId="137" applyFont="1" applyFill="1" applyBorder="1" applyAlignment="1">
      <alignment horizontal="center"/>
      <protection/>
    </xf>
    <xf numFmtId="0" fontId="0" fillId="0" borderId="55" xfId="137" applyFont="1" applyFill="1" applyBorder="1">
      <alignment/>
      <protection/>
    </xf>
    <xf numFmtId="0" fontId="3" fillId="0" borderId="28" xfId="137" applyFont="1" applyFill="1" applyBorder="1">
      <alignment/>
      <protection/>
    </xf>
    <xf numFmtId="0" fontId="3" fillId="0" borderId="28" xfId="137" applyFont="1" applyFill="1" applyBorder="1" applyAlignment="1">
      <alignment horizontal="center" vertical="top"/>
      <protection/>
    </xf>
    <xf numFmtId="0" fontId="3" fillId="0" borderId="28" xfId="137" applyFont="1" applyFill="1" applyBorder="1" applyAlignment="1">
      <alignment horizontal="center"/>
      <protection/>
    </xf>
    <xf numFmtId="0" fontId="3" fillId="0" borderId="89" xfId="137" applyNumberFormat="1" applyFont="1" applyFill="1" applyBorder="1" applyAlignment="1" quotePrefix="1">
      <alignment horizontal="center"/>
      <protection/>
    </xf>
    <xf numFmtId="0" fontId="3" fillId="0" borderId="25" xfId="137" applyNumberFormat="1" applyFont="1" applyFill="1" applyBorder="1" applyAlignment="1" quotePrefix="1">
      <alignment horizontal="center"/>
      <protection/>
    </xf>
    <xf numFmtId="0" fontId="0" fillId="0" borderId="90" xfId="137" applyFont="1" applyFill="1" applyBorder="1">
      <alignment/>
      <protection/>
    </xf>
    <xf numFmtId="0" fontId="59" fillId="0" borderId="29" xfId="137" applyFont="1" applyFill="1" applyBorder="1" applyAlignment="1">
      <alignment horizontal="center"/>
      <protection/>
    </xf>
    <xf numFmtId="0" fontId="59" fillId="0" borderId="19" xfId="137" applyFont="1" applyFill="1" applyBorder="1" applyAlignment="1">
      <alignment horizontal="center"/>
      <protection/>
    </xf>
    <xf numFmtId="0" fontId="59" fillId="0" borderId="50" xfId="137" applyFont="1" applyFill="1" applyBorder="1" applyAlignment="1">
      <alignment horizontal="center"/>
      <protection/>
    </xf>
    <xf numFmtId="0" fontId="59" fillId="0" borderId="30" xfId="137" applyFont="1" applyFill="1" applyBorder="1" applyAlignment="1">
      <alignment horizontal="center"/>
      <protection/>
    </xf>
    <xf numFmtId="0" fontId="31" fillId="0" borderId="20" xfId="137" applyFont="1" applyFill="1" applyBorder="1" applyAlignment="1" applyProtection="1">
      <alignment horizontal="center" vertical="center" wrapText="1"/>
      <protection locked="0"/>
    </xf>
    <xf numFmtId="165" fontId="31" fillId="0" borderId="73" xfId="137" applyNumberFormat="1" applyFont="1" applyFill="1" applyBorder="1" applyAlignment="1">
      <alignment horizontal="right" vertical="center"/>
      <protection/>
    </xf>
    <xf numFmtId="165" fontId="0" fillId="0" borderId="73" xfId="137" applyNumberFormat="1" applyFont="1" applyFill="1" applyBorder="1" applyAlignment="1">
      <alignment horizontal="right"/>
      <protection/>
    </xf>
    <xf numFmtId="165" fontId="31" fillId="0" borderId="47" xfId="137" applyNumberFormat="1" applyFont="1" applyFill="1" applyBorder="1" applyAlignment="1">
      <alignment horizontal="right" vertical="center"/>
      <protection/>
    </xf>
    <xf numFmtId="4" fontId="31" fillId="0" borderId="0" xfId="137" applyNumberFormat="1" applyFont="1" applyFill="1">
      <alignment/>
      <protection/>
    </xf>
    <xf numFmtId="0" fontId="31" fillId="0" borderId="0" xfId="137" applyFont="1" applyFill="1">
      <alignment/>
      <protection/>
    </xf>
    <xf numFmtId="0" fontId="3" fillId="0" borderId="51" xfId="137" applyFont="1" applyFill="1" applyBorder="1" applyAlignment="1" applyProtection="1">
      <alignment wrapText="1"/>
      <protection locked="0"/>
    </xf>
    <xf numFmtId="165" fontId="0" fillId="0" borderId="74" xfId="137" applyNumberFormat="1" applyFont="1" applyFill="1" applyBorder="1" applyAlignment="1">
      <alignment horizontal="right"/>
      <protection/>
    </xf>
    <xf numFmtId="165" fontId="0" fillId="0" borderId="212" xfId="137" applyNumberFormat="1" applyFont="1" applyFill="1" applyBorder="1" applyAlignment="1">
      <alignment horizontal="right"/>
      <protection/>
    </xf>
    <xf numFmtId="0" fontId="61" fillId="0" borderId="51" xfId="137" applyFont="1" applyFill="1" applyBorder="1" applyAlignment="1" applyProtection="1">
      <alignment wrapText="1"/>
      <protection locked="0"/>
    </xf>
    <xf numFmtId="165" fontId="31" fillId="0" borderId="74" xfId="137" applyNumberFormat="1" applyFont="1" applyFill="1" applyBorder="1" applyAlignment="1">
      <alignment horizontal="right"/>
      <protection/>
    </xf>
    <xf numFmtId="165" fontId="31" fillId="0" borderId="212" xfId="137" applyNumberFormat="1" applyFont="1" applyFill="1" applyBorder="1" applyAlignment="1">
      <alignment horizontal="right"/>
      <protection/>
    </xf>
    <xf numFmtId="0" fontId="63" fillId="0" borderId="51" xfId="137" applyFont="1" applyFill="1" applyBorder="1" applyAlignment="1" applyProtection="1">
      <alignment wrapText="1"/>
      <protection locked="0"/>
    </xf>
    <xf numFmtId="165" fontId="31" fillId="0" borderId="108" xfId="137" applyNumberFormat="1" applyFont="1" applyFill="1" applyBorder="1" applyAlignment="1">
      <alignment horizontal="right"/>
      <protection/>
    </xf>
    <xf numFmtId="165" fontId="31" fillId="0" borderId="113" xfId="137" applyNumberFormat="1" applyFont="1" applyFill="1" applyBorder="1" applyAlignment="1">
      <alignment horizontal="right"/>
      <protection/>
    </xf>
    <xf numFmtId="165" fontId="31" fillId="0" borderId="213" xfId="137" applyNumberFormat="1" applyFont="1" applyFill="1" applyBorder="1" applyAlignment="1">
      <alignment horizontal="right"/>
      <protection/>
    </xf>
    <xf numFmtId="0" fontId="31" fillId="0" borderId="85" xfId="137" applyFont="1" applyFill="1" applyBorder="1" applyAlignment="1" applyProtection="1">
      <alignment vertical="center" wrapText="1"/>
      <protection locked="0"/>
    </xf>
    <xf numFmtId="165" fontId="31" fillId="0" borderId="86" xfId="137" applyNumberFormat="1" applyFont="1" applyFill="1" applyBorder="1" applyAlignment="1">
      <alignment horizontal="right"/>
      <protection/>
    </xf>
    <xf numFmtId="165" fontId="31" fillId="0" borderId="129" xfId="137" applyNumberFormat="1" applyFont="1" applyFill="1" applyBorder="1" applyAlignment="1">
      <alignment horizontal="right"/>
      <protection/>
    </xf>
    <xf numFmtId="165" fontId="31" fillId="0" borderId="127" xfId="137" applyNumberFormat="1" applyFont="1" applyFill="1" applyBorder="1" applyAlignment="1">
      <alignment horizontal="right"/>
      <protection/>
    </xf>
    <xf numFmtId="0" fontId="60" fillId="0" borderId="85" xfId="137" applyFont="1" applyFill="1" applyBorder="1" applyAlignment="1" applyProtection="1">
      <alignment vertical="center" wrapText="1"/>
      <protection locked="0"/>
    </xf>
    <xf numFmtId="165" fontId="31" fillId="0" borderId="29" xfId="137" applyNumberFormat="1" applyFont="1" applyFill="1" applyBorder="1" applyAlignment="1">
      <alignment horizontal="right"/>
      <protection/>
    </xf>
    <xf numFmtId="165" fontId="31" fillId="0" borderId="50" xfId="137" applyNumberFormat="1" applyFont="1" applyFill="1" applyBorder="1" applyAlignment="1">
      <alignment horizontal="right"/>
      <protection/>
    </xf>
    <xf numFmtId="165" fontId="31" fillId="0" borderId="30" xfId="137" applyNumberFormat="1" applyFont="1" applyFill="1" applyBorder="1" applyAlignment="1">
      <alignment horizontal="right"/>
      <protection/>
    </xf>
    <xf numFmtId="0" fontId="3" fillId="0" borderId="51" xfId="137" applyFont="1" applyFill="1" applyBorder="1" applyAlignment="1">
      <alignment wrapText="1"/>
      <protection/>
    </xf>
    <xf numFmtId="0" fontId="61" fillId="0" borderId="51" xfId="137" applyFont="1" applyFill="1" applyBorder="1" applyAlignment="1">
      <alignment wrapText="1"/>
      <protection/>
    </xf>
    <xf numFmtId="0" fontId="61" fillId="0" borderId="55" xfId="137" applyFont="1" applyFill="1" applyBorder="1" applyAlignment="1">
      <alignment wrapText="1"/>
      <protection/>
    </xf>
    <xf numFmtId="165" fontId="31" fillId="0" borderId="76" xfId="137" applyNumberFormat="1" applyFont="1" applyFill="1" applyBorder="1" applyAlignment="1">
      <alignment horizontal="right"/>
      <protection/>
    </xf>
    <xf numFmtId="165" fontId="31" fillId="0" borderId="214" xfId="137" applyNumberFormat="1" applyFont="1" applyFill="1" applyBorder="1" applyAlignment="1">
      <alignment horizontal="right"/>
      <protection/>
    </xf>
    <xf numFmtId="165" fontId="31" fillId="0" borderId="215" xfId="137" applyNumberFormat="1" applyFont="1" applyFill="1" applyBorder="1" applyAlignment="1">
      <alignment horizontal="right"/>
      <protection/>
    </xf>
    <xf numFmtId="0" fontId="3" fillId="0" borderId="52" xfId="137" applyFont="1" applyFill="1" applyBorder="1" applyAlignment="1">
      <alignment wrapText="1"/>
      <protection/>
    </xf>
    <xf numFmtId="165" fontId="0" fillId="0" borderId="76" xfId="137" applyNumberFormat="1" applyFont="1" applyFill="1" applyBorder="1" applyAlignment="1">
      <alignment horizontal="right"/>
      <protection/>
    </xf>
    <xf numFmtId="165" fontId="0" fillId="0" borderId="214" xfId="137" applyNumberFormat="1" applyFont="1" applyFill="1" applyBorder="1" applyAlignment="1">
      <alignment horizontal="right"/>
      <protection/>
    </xf>
    <xf numFmtId="165" fontId="0" fillId="0" borderId="215" xfId="137" applyNumberFormat="1" applyFont="1" applyFill="1" applyBorder="1" applyAlignment="1">
      <alignment horizontal="right"/>
      <protection/>
    </xf>
    <xf numFmtId="0" fontId="61" fillId="0" borderId="112" xfId="137" applyFont="1" applyFill="1" applyBorder="1" applyAlignment="1">
      <alignment wrapText="1"/>
      <protection/>
    </xf>
    <xf numFmtId="0" fontId="31" fillId="0" borderId="85" xfId="137" applyFont="1" applyFill="1" applyBorder="1" applyAlignment="1">
      <alignment vertical="center" wrapText="1"/>
      <protection/>
    </xf>
    <xf numFmtId="0" fontId="31" fillId="0" borderId="0" xfId="137" applyFont="1" applyFill="1" applyBorder="1" applyAlignment="1">
      <alignment vertical="center" wrapText="1"/>
      <protection/>
    </xf>
    <xf numFmtId="165" fontId="0" fillId="0" borderId="129" xfId="137" applyNumberFormat="1" applyFont="1" applyFill="1" applyBorder="1" applyAlignment="1">
      <alignment horizontal="right"/>
      <protection/>
    </xf>
    <xf numFmtId="165" fontId="0" fillId="0" borderId="127" xfId="137" applyNumberFormat="1" applyFont="1" applyFill="1" applyBorder="1" applyAlignment="1">
      <alignment horizontal="right"/>
      <protection/>
    </xf>
    <xf numFmtId="0" fontId="0" fillId="0" borderId="85" xfId="137" applyFont="1" applyFill="1" applyBorder="1" applyAlignment="1">
      <alignment vertical="center" wrapText="1"/>
      <protection/>
    </xf>
    <xf numFmtId="165" fontId="0" fillId="0" borderId="86" xfId="137" applyNumberFormat="1" applyFont="1" applyFill="1" applyBorder="1" applyAlignment="1">
      <alignment horizontal="right"/>
      <protection/>
    </xf>
    <xf numFmtId="0" fontId="31" fillId="0" borderId="55" xfId="137" applyFont="1" applyFill="1" applyBorder="1" applyAlignment="1">
      <alignment horizontal="center" wrapText="1"/>
      <protection/>
    </xf>
    <xf numFmtId="0" fontId="72" fillId="0" borderId="51" xfId="137" applyFont="1" applyFill="1" applyBorder="1" applyAlignment="1">
      <alignment wrapText="1"/>
      <protection/>
    </xf>
    <xf numFmtId="0" fontId="3" fillId="0" borderId="51" xfId="137" applyFont="1" applyFill="1" applyBorder="1" applyAlignment="1">
      <alignment horizontal="left" wrapText="1"/>
      <protection/>
    </xf>
    <xf numFmtId="0" fontId="3" fillId="0" borderId="52" xfId="137" applyFont="1" applyFill="1" applyBorder="1" applyAlignment="1">
      <alignment wrapText="1"/>
      <protection/>
    </xf>
    <xf numFmtId="0" fontId="61" fillId="0" borderId="52" xfId="137" applyFont="1" applyFill="1" applyBorder="1" applyAlignment="1">
      <alignment wrapText="1"/>
      <protection/>
    </xf>
    <xf numFmtId="0" fontId="31" fillId="0" borderId="90" xfId="137" applyFont="1" applyFill="1" applyBorder="1" applyAlignment="1">
      <alignment wrapText="1"/>
      <protection/>
    </xf>
    <xf numFmtId="0" fontId="64" fillId="0" borderId="0" xfId="137" applyFont="1" applyFill="1" applyAlignment="1">
      <alignment wrapText="1"/>
      <protection/>
    </xf>
    <xf numFmtId="165" fontId="0" fillId="0" borderId="118" xfId="137" applyNumberFormat="1" applyFont="1" applyFill="1" applyBorder="1" applyAlignment="1">
      <alignment horizontal="right"/>
      <protection/>
    </xf>
    <xf numFmtId="0" fontId="3" fillId="0" borderId="85" xfId="137" applyFont="1" applyFill="1" applyBorder="1" applyAlignment="1" applyProtection="1">
      <alignment vertical="center"/>
      <protection locked="0"/>
    </xf>
    <xf numFmtId="0" fontId="60" fillId="0" borderId="38" xfId="137" applyFont="1" applyFill="1" applyBorder="1" applyAlignment="1" applyProtection="1">
      <alignment horizontal="center" vertical="center"/>
      <protection locked="0"/>
    </xf>
    <xf numFmtId="165" fontId="0" fillId="0" borderId="216" xfId="137" applyNumberFormat="1" applyFont="1" applyFill="1" applyBorder="1" applyAlignment="1">
      <alignment horizontal="right"/>
      <protection/>
    </xf>
    <xf numFmtId="0" fontId="58" fillId="0" borderId="51" xfId="137" applyFont="1" applyFill="1" applyBorder="1" applyAlignment="1">
      <alignment wrapText="1"/>
      <protection/>
    </xf>
    <xf numFmtId="0" fontId="58" fillId="0" borderId="52" xfId="137" applyFont="1" applyFill="1" applyBorder="1" applyAlignment="1">
      <alignment wrapText="1"/>
      <protection/>
    </xf>
    <xf numFmtId="0" fontId="58" fillId="0" borderId="115" xfId="137" applyFont="1" applyFill="1" applyBorder="1" applyAlignment="1">
      <alignment wrapText="1"/>
      <protection/>
    </xf>
    <xf numFmtId="165" fontId="0" fillId="0" borderId="74" xfId="137" applyNumberFormat="1" applyFont="1" applyFill="1" applyBorder="1" applyAlignment="1">
      <alignment horizontal="right"/>
      <protection/>
    </xf>
    <xf numFmtId="165" fontId="0" fillId="0" borderId="212" xfId="137" applyNumberFormat="1" applyFont="1" applyFill="1" applyBorder="1" applyAlignment="1">
      <alignment horizontal="right"/>
      <protection/>
    </xf>
    <xf numFmtId="0" fontId="61" fillId="0" borderId="115" xfId="137" applyFont="1" applyFill="1" applyBorder="1" applyAlignment="1">
      <alignment wrapText="1"/>
      <protection/>
    </xf>
    <xf numFmtId="0" fontId="58" fillId="0" borderId="115" xfId="137" applyFont="1" applyFill="1" applyBorder="1" applyAlignment="1">
      <alignment wrapText="1"/>
      <protection/>
    </xf>
    <xf numFmtId="165" fontId="31" fillId="0" borderId="45" xfId="137" applyNumberFormat="1" applyFont="1" applyFill="1" applyBorder="1" applyAlignment="1">
      <alignment horizontal="right"/>
      <protection/>
    </xf>
    <xf numFmtId="165" fontId="31" fillId="0" borderId="26" xfId="137" applyNumberFormat="1" applyFont="1" applyFill="1" applyBorder="1" applyAlignment="1">
      <alignment horizontal="right"/>
      <protection/>
    </xf>
    <xf numFmtId="0" fontId="31" fillId="0" borderId="44" xfId="137" applyFont="1" applyFill="1" applyBorder="1" applyAlignment="1">
      <alignment vertical="center" wrapText="1"/>
      <protection/>
    </xf>
    <xf numFmtId="165" fontId="0" fillId="0" borderId="0" xfId="137" applyNumberFormat="1" applyFont="1" applyFill="1" applyBorder="1" applyAlignment="1">
      <alignment horizontal="right" vertical="center"/>
      <protection/>
    </xf>
    <xf numFmtId="0" fontId="60" fillId="0" borderId="117" xfId="137" applyFont="1" applyFill="1" applyBorder="1" applyAlignment="1" applyProtection="1">
      <alignment vertical="center"/>
      <protection locked="0"/>
    </xf>
    <xf numFmtId="0" fontId="7" fillId="0" borderId="0" xfId="137" applyFill="1">
      <alignment/>
      <protection/>
    </xf>
    <xf numFmtId="0" fontId="31" fillId="0" borderId="0" xfId="137" applyFont="1" applyFill="1" applyAlignment="1">
      <alignment horizontal="left"/>
      <protection/>
    </xf>
    <xf numFmtId="0" fontId="0" fillId="0" borderId="0" xfId="137" applyFont="1" applyFill="1" applyAlignment="1">
      <alignment horizontal="left"/>
      <protection/>
    </xf>
    <xf numFmtId="0" fontId="31" fillId="0" borderId="0" xfId="137" applyFont="1" applyFill="1" applyAlignment="1">
      <alignment horizontal="left"/>
      <protection/>
    </xf>
    <xf numFmtId="165" fontId="31" fillId="0" borderId="86" xfId="137" applyNumberFormat="1" applyFont="1" applyFill="1" applyBorder="1" applyAlignment="1">
      <alignment horizontal="right" vertical="center"/>
      <protection/>
    </xf>
    <xf numFmtId="165" fontId="31" fillId="0" borderId="129" xfId="137" applyNumberFormat="1" applyFont="1" applyFill="1" applyBorder="1" applyAlignment="1">
      <alignment horizontal="right" vertical="center"/>
      <protection/>
    </xf>
    <xf numFmtId="165" fontId="31" fillId="0" borderId="127" xfId="137" applyNumberFormat="1" applyFont="1" applyFill="1" applyBorder="1" applyAlignment="1">
      <alignment horizontal="right" vertical="center"/>
      <protection/>
    </xf>
    <xf numFmtId="4" fontId="31" fillId="0" borderId="0" xfId="137" applyNumberFormat="1" applyFont="1" applyFill="1" applyAlignment="1">
      <alignment vertical="center"/>
      <protection/>
    </xf>
    <xf numFmtId="0" fontId="31" fillId="0" borderId="0" xfId="137" applyFont="1" applyFill="1" applyAlignment="1">
      <alignment vertical="center"/>
      <protection/>
    </xf>
    <xf numFmtId="4" fontId="0" fillId="0" borderId="0" xfId="137" applyNumberFormat="1" applyFont="1" applyFill="1" applyAlignment="1">
      <alignment vertical="center"/>
      <protection/>
    </xf>
    <xf numFmtId="0" fontId="0" fillId="0" borderId="0" xfId="137" applyFont="1" applyFill="1" applyAlignment="1">
      <alignment vertical="center"/>
      <protection/>
    </xf>
    <xf numFmtId="3" fontId="37" fillId="0" borderId="0" xfId="136" applyNumberFormat="1" applyFont="1">
      <alignment/>
      <protection/>
    </xf>
    <xf numFmtId="0" fontId="37" fillId="0" borderId="0" xfId="145" applyFont="1" applyFill="1">
      <alignment/>
      <protection/>
    </xf>
    <xf numFmtId="0" fontId="37" fillId="0" borderId="0" xfId="136" applyFont="1" applyFill="1">
      <alignment/>
      <protection/>
    </xf>
    <xf numFmtId="4" fontId="37" fillId="0" borderId="0" xfId="136" applyNumberFormat="1" applyFont="1">
      <alignment/>
      <protection/>
    </xf>
    <xf numFmtId="0" fontId="96" fillId="0" borderId="0" xfId="136" applyFont="1">
      <alignment/>
      <protection/>
    </xf>
    <xf numFmtId="3" fontId="96" fillId="0" borderId="0" xfId="136" applyNumberFormat="1" applyFont="1">
      <alignment/>
      <protection/>
    </xf>
    <xf numFmtId="0" fontId="96" fillId="0" borderId="0" xfId="145" applyFont="1">
      <alignment/>
      <protection/>
    </xf>
    <xf numFmtId="0" fontId="79" fillId="0" borderId="0" xfId="145" applyFont="1">
      <alignment/>
      <protection/>
    </xf>
    <xf numFmtId="0" fontId="79" fillId="0" borderId="0" xfId="136" applyFont="1">
      <alignment/>
      <protection/>
    </xf>
    <xf numFmtId="0" fontId="79" fillId="0" borderId="31" xfId="145" applyFont="1" applyBorder="1" applyAlignment="1">
      <alignment horizontal="center" vertical="center" wrapText="1"/>
      <protection/>
    </xf>
    <xf numFmtId="0" fontId="79" fillId="0" borderId="204" xfId="145" applyFont="1" applyBorder="1" applyAlignment="1">
      <alignment horizontal="center" vertical="center" wrapText="1"/>
      <protection/>
    </xf>
    <xf numFmtId="0" fontId="79" fillId="0" borderId="41" xfId="145" applyFont="1" applyBorder="1" applyAlignment="1">
      <alignment horizontal="center" vertical="center" wrapText="1"/>
      <protection/>
    </xf>
    <xf numFmtId="0" fontId="79" fillId="0" borderId="39" xfId="145" applyFont="1" applyBorder="1" applyAlignment="1">
      <alignment horizontal="center" vertical="center" wrapText="1"/>
      <protection/>
    </xf>
    <xf numFmtId="0" fontId="79" fillId="0" borderId="39" xfId="145" applyFont="1" applyBorder="1" applyAlignment="1">
      <alignment horizontal="center" vertical="center"/>
      <protection/>
    </xf>
    <xf numFmtId="0" fontId="79" fillId="0" borderId="84" xfId="145" applyFont="1" applyBorder="1" applyAlignment="1">
      <alignment horizontal="center" vertical="center"/>
      <protection/>
    </xf>
    <xf numFmtId="0" fontId="79" fillId="0" borderId="90" xfId="145" applyFont="1" applyBorder="1" applyAlignment="1">
      <alignment horizontal="center" vertical="center"/>
      <protection/>
    </xf>
    <xf numFmtId="0" fontId="79" fillId="0" borderId="50" xfId="145" applyFont="1" applyBorder="1" applyAlignment="1">
      <alignment horizontal="center" vertical="center"/>
      <protection/>
    </xf>
    <xf numFmtId="0" fontId="79" fillId="0" borderId="29" xfId="145" applyFont="1" applyBorder="1" applyAlignment="1">
      <alignment horizontal="center" vertical="center" wrapText="1"/>
      <protection/>
    </xf>
    <xf numFmtId="0" fontId="79" fillId="0" borderId="126" xfId="145" applyFont="1" applyBorder="1" applyAlignment="1">
      <alignment horizontal="center" vertical="center" wrapText="1"/>
      <protection/>
    </xf>
    <xf numFmtId="0" fontId="79" fillId="0" borderId="29" xfId="145" applyFont="1" applyBorder="1" applyAlignment="1">
      <alignment horizontal="center" vertical="center"/>
      <protection/>
    </xf>
    <xf numFmtId="0" fontId="79" fillId="0" borderId="72" xfId="145" applyFont="1" applyBorder="1" applyAlignment="1">
      <alignment horizontal="center" vertical="center" wrapText="1"/>
      <protection/>
    </xf>
    <xf numFmtId="0" fontId="79" fillId="0" borderId="55" xfId="145" applyFont="1" applyBorder="1" applyAlignment="1">
      <alignment horizontal="center" vertical="center"/>
      <protection/>
    </xf>
    <xf numFmtId="0" fontId="79" fillId="0" borderId="45" xfId="145" applyFont="1" applyBorder="1" applyAlignment="1">
      <alignment horizontal="center" vertical="center"/>
      <protection/>
    </xf>
    <xf numFmtId="0" fontId="79" fillId="0" borderId="58" xfId="145" applyFont="1" applyBorder="1" applyAlignment="1">
      <alignment horizontal="center" vertical="center" wrapText="1"/>
      <protection/>
    </xf>
    <xf numFmtId="0" fontId="81" fillId="0" borderId="0" xfId="136" applyFont="1">
      <alignment/>
      <protection/>
    </xf>
    <xf numFmtId="3" fontId="81" fillId="0" borderId="0" xfId="145" applyNumberFormat="1" applyFont="1">
      <alignment/>
      <protection/>
    </xf>
    <xf numFmtId="3" fontId="81" fillId="0" borderId="0" xfId="136" applyNumberFormat="1" applyFont="1">
      <alignment/>
      <protection/>
    </xf>
    <xf numFmtId="0" fontId="81" fillId="0" borderId="0" xfId="145" applyFont="1">
      <alignment/>
      <protection/>
    </xf>
    <xf numFmtId="4" fontId="81" fillId="0" borderId="0" xfId="145" applyNumberFormat="1" applyFont="1">
      <alignment/>
      <protection/>
    </xf>
    <xf numFmtId="3" fontId="81" fillId="0" borderId="31" xfId="145" applyNumberFormat="1" applyFont="1" applyBorder="1" applyAlignment="1">
      <alignment/>
      <protection/>
    </xf>
    <xf numFmtId="3" fontId="81" fillId="0" borderId="58" xfId="145" applyNumberFormat="1" applyFont="1" applyBorder="1" applyAlignment="1">
      <alignment/>
      <protection/>
    </xf>
    <xf numFmtId="0" fontId="81" fillId="0" borderId="0" xfId="136" applyFont="1" applyAlignment="1">
      <alignment vertical="center"/>
      <protection/>
    </xf>
    <xf numFmtId="0" fontId="81" fillId="0" borderId="0" xfId="136" applyFont="1" applyBorder="1">
      <alignment/>
      <protection/>
    </xf>
    <xf numFmtId="49" fontId="7" fillId="0" borderId="57" xfId="0" applyNumberFormat="1" applyFont="1" applyFill="1" applyBorder="1" applyAlignment="1">
      <alignment horizontal="left" indent="1"/>
    </xf>
    <xf numFmtId="4" fontId="4" fillId="0" borderId="0" xfId="0" applyNumberFormat="1" applyFont="1" applyAlignment="1">
      <alignment/>
    </xf>
    <xf numFmtId="0" fontId="99" fillId="0" borderId="0" xfId="0" applyFont="1" applyAlignment="1">
      <alignment/>
    </xf>
    <xf numFmtId="0" fontId="58" fillId="0" borderId="153" xfId="138" applyFont="1" applyFill="1" applyBorder="1">
      <alignment/>
      <protection/>
    </xf>
    <xf numFmtId="4" fontId="32" fillId="0" borderId="59" xfId="138" applyNumberFormat="1" applyFont="1" applyFill="1" applyBorder="1">
      <alignment/>
      <protection/>
    </xf>
    <xf numFmtId="4" fontId="32" fillId="0" borderId="75" xfId="138" applyNumberFormat="1" applyFont="1" applyFill="1" applyBorder="1">
      <alignment/>
      <protection/>
    </xf>
    <xf numFmtId="3" fontId="32" fillId="0" borderId="60" xfId="138" applyNumberFormat="1" applyFont="1" applyFill="1" applyBorder="1">
      <alignment/>
      <protection/>
    </xf>
    <xf numFmtId="3" fontId="32" fillId="0" borderId="217" xfId="138" applyNumberFormat="1" applyFont="1" applyFill="1" applyBorder="1">
      <alignment/>
      <protection/>
    </xf>
    <xf numFmtId="3" fontId="32" fillId="0" borderId="209" xfId="138" applyNumberFormat="1" applyFont="1" applyFill="1" applyBorder="1">
      <alignment/>
      <protection/>
    </xf>
    <xf numFmtId="0" fontId="7" fillId="0" borderId="0" xfId="137" applyAlignment="1">
      <alignment/>
      <protection/>
    </xf>
    <xf numFmtId="49" fontId="11" fillId="0" borderId="0" xfId="142" applyNumberFormat="1" applyFont="1" applyFill="1" applyAlignment="1">
      <alignment horizontal="left" wrapText="1"/>
      <protection/>
    </xf>
    <xf numFmtId="0" fontId="2" fillId="0" borderId="0" xfId="0" applyFont="1" applyFill="1" applyAlignment="1">
      <alignment horizontal="center"/>
    </xf>
    <xf numFmtId="0" fontId="32" fillId="0" borderId="205" xfId="0" applyFont="1" applyFill="1" applyBorder="1" applyAlignment="1">
      <alignment horizontal="center" vertical="center" wrapText="1"/>
    </xf>
    <xf numFmtId="0" fontId="32" fillId="0" borderId="206" xfId="0" applyFont="1" applyFill="1" applyBorder="1" applyAlignment="1">
      <alignment horizontal="center" vertical="center" wrapText="1"/>
    </xf>
    <xf numFmtId="0" fontId="32" fillId="0" borderId="207" xfId="0" applyFont="1" applyFill="1" applyBorder="1" applyAlignment="1">
      <alignment horizontal="center" vertical="center" wrapText="1"/>
    </xf>
    <xf numFmtId="0" fontId="63" fillId="0" borderId="43" xfId="141" applyFont="1" applyBorder="1" applyAlignment="1">
      <alignment horizontal="center"/>
      <protection/>
    </xf>
    <xf numFmtId="0" fontId="63" fillId="0" borderId="46" xfId="141" applyFont="1" applyBorder="1" applyAlignment="1">
      <alignment horizontal="center"/>
      <protection/>
    </xf>
    <xf numFmtId="0" fontId="63" fillId="0" borderId="47" xfId="141" applyFont="1" applyBorder="1" applyAlignment="1">
      <alignment horizontal="center"/>
      <protection/>
    </xf>
    <xf numFmtId="0" fontId="63" fillId="0" borderId="43" xfId="141" applyFont="1" applyBorder="1" applyAlignment="1">
      <alignment horizontal="center"/>
      <protection/>
    </xf>
    <xf numFmtId="0" fontId="63" fillId="0" borderId="46" xfId="141" applyFont="1" applyBorder="1" applyAlignment="1">
      <alignment horizontal="center"/>
      <protection/>
    </xf>
    <xf numFmtId="0" fontId="63" fillId="0" borderId="47" xfId="141" applyFont="1" applyBorder="1" applyAlignment="1">
      <alignment horizontal="center"/>
      <protection/>
    </xf>
    <xf numFmtId="0" fontId="63" fillId="0" borderId="35" xfId="141" applyFont="1" applyBorder="1" applyAlignment="1">
      <alignment horizontal="center"/>
      <protection/>
    </xf>
    <xf numFmtId="0" fontId="63" fillId="0" borderId="202" xfId="141" applyFont="1" applyBorder="1" applyAlignment="1">
      <alignment horizontal="center"/>
      <protection/>
    </xf>
    <xf numFmtId="0" fontId="63" fillId="0" borderId="25" xfId="141" applyFont="1" applyBorder="1" applyAlignment="1">
      <alignment horizontal="center"/>
      <protection/>
    </xf>
    <xf numFmtId="0" fontId="63" fillId="0" borderId="35" xfId="141" applyFont="1" applyBorder="1" applyAlignment="1">
      <alignment horizontal="center"/>
      <protection/>
    </xf>
    <xf numFmtId="0" fontId="63" fillId="0" borderId="202" xfId="141" applyFont="1" applyBorder="1" applyAlignment="1">
      <alignment horizontal="center"/>
      <protection/>
    </xf>
    <xf numFmtId="0" fontId="63" fillId="0" borderId="25" xfId="141" applyFont="1" applyBorder="1" applyAlignment="1">
      <alignment horizontal="center"/>
      <protection/>
    </xf>
    <xf numFmtId="0" fontId="0" fillId="0" borderId="38" xfId="141" applyFont="1" applyBorder="1" applyAlignment="1">
      <alignment horizontal="left" wrapText="1"/>
      <protection/>
    </xf>
    <xf numFmtId="0" fontId="0" fillId="0" borderId="23" xfId="141" applyFont="1" applyBorder="1" applyAlignment="1">
      <alignment horizontal="left" wrapText="1"/>
      <protection/>
    </xf>
    <xf numFmtId="0" fontId="0" fillId="0" borderId="40" xfId="141" applyFont="1" applyBorder="1" applyAlignment="1">
      <alignment horizontal="left" wrapText="1"/>
      <protection/>
    </xf>
    <xf numFmtId="0" fontId="0" fillId="0" borderId="42" xfId="141" applyFont="1" applyBorder="1" applyAlignment="1">
      <alignment horizontal="left" wrapText="1"/>
      <protection/>
    </xf>
    <xf numFmtId="0" fontId="31" fillId="0" borderId="117" xfId="141" applyFont="1" applyBorder="1" applyAlignment="1">
      <alignment horizontal="left" wrapText="1"/>
      <protection/>
    </xf>
    <xf numFmtId="0" fontId="31" fillId="0" borderId="127" xfId="141" applyFont="1" applyBorder="1" applyAlignment="1">
      <alignment horizontal="left" wrapText="1"/>
      <protection/>
    </xf>
    <xf numFmtId="0" fontId="31" fillId="51" borderId="43" xfId="141" applyFont="1" applyFill="1" applyBorder="1" applyAlignment="1">
      <alignment horizontal="left" wrapText="1"/>
      <protection/>
    </xf>
    <xf numFmtId="0" fontId="31" fillId="51" borderId="46" xfId="141" applyFont="1" applyFill="1" applyBorder="1" applyAlignment="1">
      <alignment horizontal="left" wrapText="1"/>
      <protection/>
    </xf>
    <xf numFmtId="0" fontId="3" fillId="0" borderId="0" xfId="141" applyFont="1" applyAlignment="1">
      <alignment horizontal="center"/>
      <protection/>
    </xf>
    <xf numFmtId="0" fontId="1" fillId="0" borderId="0" xfId="141" applyFont="1" applyAlignment="1">
      <alignment horizontal="center"/>
      <protection/>
    </xf>
    <xf numFmtId="0" fontId="0" fillId="0" borderId="34" xfId="141" applyFont="1" applyBorder="1" applyAlignment="1">
      <alignment horizontal="center" wrapText="1"/>
      <protection/>
    </xf>
    <xf numFmtId="0" fontId="0" fillId="0" borderId="21" xfId="141" applyFont="1" applyBorder="1" applyAlignment="1">
      <alignment horizontal="center" wrapText="1"/>
      <protection/>
    </xf>
    <xf numFmtId="0" fontId="58" fillId="0" borderId="40" xfId="141" applyFont="1" applyBorder="1" applyAlignment="1">
      <alignment horizontal="center" wrapText="1"/>
      <protection/>
    </xf>
    <xf numFmtId="0" fontId="58" fillId="0" borderId="42" xfId="141" applyFont="1" applyBorder="1" applyAlignment="1">
      <alignment horizontal="center" wrapText="1"/>
      <protection/>
    </xf>
    <xf numFmtId="0" fontId="0" fillId="0" borderId="117" xfId="141" applyFont="1" applyBorder="1" applyAlignment="1">
      <alignment horizontal="center" wrapText="1"/>
      <protection/>
    </xf>
    <xf numFmtId="0" fontId="0" fillId="0" borderId="127" xfId="141" applyFont="1" applyBorder="1" applyAlignment="1">
      <alignment horizontal="center" wrapText="1"/>
      <protection/>
    </xf>
    <xf numFmtId="0" fontId="58" fillId="0" borderId="117" xfId="141" applyFont="1" applyBorder="1" applyAlignment="1">
      <alignment horizontal="center" wrapText="1"/>
      <protection/>
    </xf>
    <xf numFmtId="0" fontId="58" fillId="0" borderId="127" xfId="141" applyFont="1" applyBorder="1" applyAlignment="1">
      <alignment horizontal="center" wrapText="1"/>
      <protection/>
    </xf>
    <xf numFmtId="0" fontId="63" fillId="0" borderId="35" xfId="141" applyFont="1" applyBorder="1" applyAlignment="1" applyProtection="1">
      <alignment horizontal="center"/>
      <protection locked="0"/>
    </xf>
    <xf numFmtId="0" fontId="63" fillId="0" borderId="202" xfId="141" applyFont="1" applyBorder="1" applyAlignment="1" applyProtection="1">
      <alignment horizontal="center"/>
      <protection locked="0"/>
    </xf>
    <xf numFmtId="0" fontId="63" fillId="0" borderId="25" xfId="141" applyFont="1" applyBorder="1" applyAlignment="1" applyProtection="1">
      <alignment horizontal="center"/>
      <protection locked="0"/>
    </xf>
    <xf numFmtId="0" fontId="63" fillId="0" borderId="35" xfId="141" applyFont="1" applyFill="1" applyBorder="1" applyAlignment="1" applyProtection="1">
      <alignment horizontal="center"/>
      <protection locked="0"/>
    </xf>
    <xf numFmtId="0" fontId="63" fillId="0" borderId="202" xfId="141" applyFont="1" applyFill="1" applyBorder="1" applyAlignment="1" applyProtection="1">
      <alignment horizontal="center"/>
      <protection locked="0"/>
    </xf>
    <xf numFmtId="0" fontId="63" fillId="0" borderId="25" xfId="141" applyFont="1" applyFill="1" applyBorder="1" applyAlignment="1" applyProtection="1">
      <alignment horizontal="center"/>
      <protection locked="0"/>
    </xf>
    <xf numFmtId="0" fontId="58" fillId="0" borderId="34" xfId="141" applyFont="1" applyBorder="1" applyAlignment="1">
      <alignment horizontal="left"/>
      <protection/>
    </xf>
    <xf numFmtId="0" fontId="58" fillId="0" borderId="21" xfId="141" applyFont="1" applyBorder="1" applyAlignment="1">
      <alignment horizontal="left"/>
      <protection/>
    </xf>
    <xf numFmtId="0" fontId="58" fillId="0" borderId="38" xfId="141" applyFont="1" applyBorder="1" applyAlignment="1">
      <alignment horizontal="left"/>
      <protection/>
    </xf>
    <xf numFmtId="0" fontId="58" fillId="0" borderId="23" xfId="141" applyFont="1" applyBorder="1" applyAlignment="1">
      <alignment horizontal="left"/>
      <protection/>
    </xf>
    <xf numFmtId="0" fontId="58" fillId="0" borderId="38" xfId="141" applyFont="1" applyBorder="1" applyAlignment="1">
      <alignment horizontal="center" wrapText="1"/>
      <protection/>
    </xf>
    <xf numFmtId="0" fontId="58" fillId="0" borderId="23" xfId="141" applyFont="1" applyBorder="1" applyAlignment="1">
      <alignment horizontal="center" wrapText="1"/>
      <protection/>
    </xf>
    <xf numFmtId="0" fontId="4" fillId="0" borderId="36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  <xf numFmtId="0" fontId="4" fillId="0" borderId="0" xfId="0" applyFont="1" applyBorder="1" applyAlignment="1">
      <alignment horizontal="right"/>
    </xf>
    <xf numFmtId="0" fontId="4" fillId="0" borderId="36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36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3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117" xfId="0" applyFont="1" applyFill="1" applyBorder="1" applyAlignment="1">
      <alignment horizontal="center" vertical="center"/>
    </xf>
    <xf numFmtId="0" fontId="7" fillId="0" borderId="118" xfId="0" applyFont="1" applyFill="1" applyBorder="1" applyAlignment="1">
      <alignment horizontal="center" vertical="center"/>
    </xf>
    <xf numFmtId="0" fontId="7" fillId="0" borderId="127" xfId="0" applyFont="1" applyFill="1" applyBorder="1" applyAlignment="1">
      <alignment horizontal="center" vertical="center"/>
    </xf>
    <xf numFmtId="0" fontId="88" fillId="0" borderId="0" xfId="0" applyFont="1" applyFill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35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46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202" xfId="0" applyFont="1" applyFill="1" applyBorder="1" applyAlignment="1">
      <alignment horizontal="center" vertical="center" wrapText="1"/>
    </xf>
    <xf numFmtId="0" fontId="55" fillId="0" borderId="117" xfId="0" applyFont="1" applyFill="1" applyBorder="1" applyAlignment="1">
      <alignment horizontal="left" vertical="center" indent="2"/>
    </xf>
    <xf numFmtId="0" fontId="55" fillId="0" borderId="127" xfId="0" applyFont="1" applyFill="1" applyBorder="1" applyAlignment="1">
      <alignment horizontal="left" vertical="center" indent="2"/>
    </xf>
    <xf numFmtId="0" fontId="78" fillId="0" borderId="117" xfId="0" applyFont="1" applyFill="1" applyBorder="1" applyAlignment="1">
      <alignment horizontal="center" vertical="center"/>
    </xf>
    <xf numFmtId="0" fontId="78" fillId="0" borderId="118" xfId="0" applyFont="1" applyFill="1" applyBorder="1" applyAlignment="1">
      <alignment horizontal="center" vertical="center"/>
    </xf>
    <xf numFmtId="0" fontId="78" fillId="0" borderId="127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17" xfId="0" applyFont="1" applyFill="1" applyBorder="1" applyAlignment="1">
      <alignment horizontal="center" vertical="center" wrapText="1"/>
    </xf>
    <xf numFmtId="0" fontId="7" fillId="0" borderId="118" xfId="0" applyFont="1" applyFill="1" applyBorder="1" applyAlignment="1">
      <alignment horizontal="center" vertical="center" wrapText="1"/>
    </xf>
    <xf numFmtId="0" fontId="7" fillId="0" borderId="127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1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81" fillId="0" borderId="0" xfId="0" applyFont="1" applyFill="1" applyAlignment="1">
      <alignment horizontal="left"/>
    </xf>
    <xf numFmtId="0" fontId="88" fillId="0" borderId="0" xfId="0" applyFont="1" applyFill="1" applyAlignment="1">
      <alignment horizontal="center" vertical="center"/>
    </xf>
    <xf numFmtId="0" fontId="78" fillId="0" borderId="43" xfId="0" applyFont="1" applyFill="1" applyBorder="1" applyAlignment="1">
      <alignment horizontal="center" vertical="center" wrapText="1"/>
    </xf>
    <xf numFmtId="0" fontId="78" fillId="0" borderId="46" xfId="0" applyFont="1" applyFill="1" applyBorder="1" applyAlignment="1">
      <alignment horizontal="center" vertical="center" wrapText="1"/>
    </xf>
    <xf numFmtId="0" fontId="78" fillId="0" borderId="73" xfId="0" applyFont="1" applyFill="1" applyBorder="1" applyAlignment="1">
      <alignment horizontal="center" vertical="center" wrapText="1"/>
    </xf>
    <xf numFmtId="0" fontId="78" fillId="0" borderId="35" xfId="0" applyFont="1" applyFill="1" applyBorder="1" applyAlignment="1">
      <alignment horizontal="center" vertical="center" wrapText="1"/>
    </xf>
    <xf numFmtId="0" fontId="78" fillId="0" borderId="202" xfId="0" applyFont="1" applyFill="1" applyBorder="1" applyAlignment="1">
      <alignment horizontal="center" vertical="center" wrapText="1"/>
    </xf>
    <xf numFmtId="0" fontId="78" fillId="0" borderId="89" xfId="0" applyFont="1" applyFill="1" applyBorder="1" applyAlignment="1">
      <alignment horizontal="center" vertical="center" wrapText="1"/>
    </xf>
    <xf numFmtId="0" fontId="78" fillId="0" borderId="63" xfId="0" applyFont="1" applyFill="1" applyBorder="1" applyAlignment="1">
      <alignment horizontal="center" vertical="center" wrapText="1"/>
    </xf>
    <xf numFmtId="0" fontId="78" fillId="0" borderId="47" xfId="0" applyFont="1" applyFill="1" applyBorder="1" applyAlignment="1">
      <alignment horizontal="center" vertical="center" wrapText="1"/>
    </xf>
    <xf numFmtId="0" fontId="78" fillId="0" borderId="70" xfId="0" applyFont="1" applyFill="1" applyBorder="1" applyAlignment="1">
      <alignment horizontal="center" vertical="center" wrapText="1"/>
    </xf>
    <xf numFmtId="0" fontId="78" fillId="0" borderId="25" xfId="0" applyFont="1" applyFill="1" applyBorder="1" applyAlignment="1">
      <alignment horizontal="center" vertical="center" wrapText="1"/>
    </xf>
    <xf numFmtId="0" fontId="78" fillId="0" borderId="38" xfId="0" applyFont="1" applyFill="1" applyBorder="1" applyAlignment="1">
      <alignment horizontal="center" vertical="center" wrapText="1"/>
    </xf>
    <xf numFmtId="0" fontId="78" fillId="0" borderId="122" xfId="0" applyFont="1" applyFill="1" applyBorder="1" applyAlignment="1">
      <alignment horizontal="center" vertical="center" wrapText="1"/>
    </xf>
    <xf numFmtId="0" fontId="78" fillId="0" borderId="54" xfId="0" applyFont="1" applyFill="1" applyBorder="1" applyAlignment="1">
      <alignment horizontal="center" vertical="center" wrapText="1"/>
    </xf>
    <xf numFmtId="0" fontId="78" fillId="0" borderId="7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/>
    </xf>
    <xf numFmtId="0" fontId="79" fillId="0" borderId="0" xfId="0" applyFont="1" applyFill="1" applyAlignment="1">
      <alignment horizontal="center" vertical="center" wrapText="1"/>
    </xf>
    <xf numFmtId="0" fontId="78" fillId="0" borderId="34" xfId="0" applyFont="1" applyFill="1" applyBorder="1" applyAlignment="1">
      <alignment horizontal="center" vertical="center" wrapText="1"/>
    </xf>
    <xf numFmtId="0" fontId="78" fillId="0" borderId="48" xfId="0" applyFont="1" applyFill="1" applyBorder="1" applyAlignment="1">
      <alignment horizontal="center" vertical="center" wrapText="1"/>
    </xf>
    <xf numFmtId="0" fontId="78" fillId="0" borderId="21" xfId="0" applyFont="1" applyFill="1" applyBorder="1" applyAlignment="1">
      <alignment horizontal="center" vertical="center" wrapText="1"/>
    </xf>
    <xf numFmtId="0" fontId="88" fillId="0" borderId="0" xfId="0" applyFont="1" applyFill="1" applyAlignment="1">
      <alignment horizontal="right"/>
    </xf>
    <xf numFmtId="0" fontId="81" fillId="0" borderId="0" xfId="0" applyFont="1" applyFill="1" applyAlignment="1">
      <alignment horizontal="right"/>
    </xf>
    <xf numFmtId="0" fontId="55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63" xfId="0" applyFont="1" applyFill="1" applyBorder="1" applyAlignment="1">
      <alignment horizontal="center" vertical="center" wrapText="1"/>
    </xf>
    <xf numFmtId="0" fontId="7" fillId="0" borderId="70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7" fillId="0" borderId="71" xfId="0" applyFont="1" applyFill="1" applyBorder="1" applyAlignment="1">
      <alignment horizontal="center" vertical="center" wrapText="1"/>
    </xf>
    <xf numFmtId="0" fontId="79" fillId="0" borderId="38" xfId="136" applyFont="1" applyBorder="1" applyAlignment="1">
      <alignment horizontal="center" vertical="center" wrapText="1"/>
      <protection/>
    </xf>
    <xf numFmtId="0" fontId="79" fillId="0" borderId="122" xfId="136" applyFont="1" applyBorder="1" applyAlignment="1">
      <alignment horizontal="center" vertical="center" wrapText="1"/>
      <protection/>
    </xf>
    <xf numFmtId="0" fontId="79" fillId="0" borderId="22" xfId="136" applyFont="1" applyBorder="1" applyAlignment="1">
      <alignment horizontal="center" vertical="center" wrapText="1"/>
      <protection/>
    </xf>
    <xf numFmtId="0" fontId="79" fillId="0" borderId="16" xfId="136" applyFont="1" applyBorder="1" applyAlignment="1">
      <alignment horizontal="center" vertical="center" wrapText="1"/>
      <protection/>
    </xf>
    <xf numFmtId="0" fontId="79" fillId="0" borderId="16" xfId="145" applyFont="1" applyBorder="1" applyAlignment="1">
      <alignment horizontal="center" vertical="center" wrapText="1"/>
      <protection/>
    </xf>
    <xf numFmtId="0" fontId="79" fillId="0" borderId="24" xfId="145" applyFont="1" applyBorder="1" applyAlignment="1">
      <alignment horizontal="center" vertical="center" wrapText="1"/>
      <protection/>
    </xf>
    <xf numFmtId="0" fontId="79" fillId="0" borderId="54" xfId="136" applyFont="1" applyBorder="1" applyAlignment="1">
      <alignment horizontal="center" vertical="center" wrapText="1"/>
      <protection/>
    </xf>
    <xf numFmtId="0" fontId="97" fillId="0" borderId="0" xfId="145" applyFont="1" applyAlignment="1">
      <alignment horizontal="right"/>
      <protection/>
    </xf>
    <xf numFmtId="0" fontId="79" fillId="0" borderId="20" xfId="136" applyFont="1" applyBorder="1" applyAlignment="1">
      <alignment horizontal="center" vertical="center" wrapText="1"/>
      <protection/>
    </xf>
    <xf numFmtId="0" fontId="79" fillId="0" borderId="55" xfId="136" applyFont="1" applyBorder="1" applyAlignment="1">
      <alignment horizontal="center" vertical="center" wrapText="1"/>
      <protection/>
    </xf>
    <xf numFmtId="0" fontId="79" fillId="0" borderId="69" xfId="136" applyFont="1" applyBorder="1" applyAlignment="1">
      <alignment horizontal="center" vertical="center" wrapText="1"/>
      <protection/>
    </xf>
    <xf numFmtId="0" fontId="79" fillId="0" borderId="32" xfId="136" applyFont="1" applyBorder="1" applyAlignment="1">
      <alignment horizontal="center" vertical="center" wrapText="1"/>
      <protection/>
    </xf>
    <xf numFmtId="0" fontId="79" fillId="0" borderId="31" xfId="145" applyFont="1" applyBorder="1" applyAlignment="1">
      <alignment horizontal="center" vertical="center" wrapText="1"/>
      <protection/>
    </xf>
    <xf numFmtId="0" fontId="79" fillId="0" borderId="28" xfId="145" applyFont="1" applyBorder="1" applyAlignment="1">
      <alignment horizontal="center" vertical="center" wrapText="1"/>
      <protection/>
    </xf>
    <xf numFmtId="0" fontId="79" fillId="0" borderId="62" xfId="136" applyFont="1" applyFill="1" applyBorder="1" applyAlignment="1">
      <alignment horizontal="center" vertical="center" wrapText="1"/>
      <protection/>
    </xf>
    <xf numFmtId="0" fontId="79" fillId="0" borderId="62" xfId="145" applyFont="1" applyFill="1" applyBorder="1" applyAlignment="1">
      <alignment horizontal="center" vertical="center" wrapText="1"/>
      <protection/>
    </xf>
    <xf numFmtId="0" fontId="79" fillId="0" borderId="64" xfId="145" applyFont="1" applyFill="1" applyBorder="1" applyAlignment="1">
      <alignment horizontal="center" vertical="center" wrapText="1"/>
      <protection/>
    </xf>
    <xf numFmtId="0" fontId="79" fillId="0" borderId="31" xfId="145" applyFont="1" applyFill="1" applyBorder="1" applyAlignment="1">
      <alignment horizontal="center" vertical="center" wrapText="1"/>
      <protection/>
    </xf>
    <xf numFmtId="0" fontId="79" fillId="0" borderId="58" xfId="145" applyFont="1" applyFill="1" applyBorder="1" applyAlignment="1">
      <alignment horizontal="center" vertical="center" wrapText="1"/>
      <protection/>
    </xf>
    <xf numFmtId="0" fontId="79" fillId="0" borderId="28" xfId="145" applyFont="1" applyFill="1" applyBorder="1" applyAlignment="1">
      <alignment horizontal="center" vertical="center" wrapText="1"/>
      <protection/>
    </xf>
    <xf numFmtId="0" fontId="79" fillId="0" borderId="57" xfId="145" applyFont="1" applyFill="1" applyBorder="1" applyAlignment="1">
      <alignment horizontal="center" vertical="center" wrapText="1"/>
      <protection/>
    </xf>
    <xf numFmtId="175" fontId="79" fillId="0" borderId="61" xfId="146" applyNumberFormat="1" applyFont="1" applyFill="1" applyBorder="1" applyAlignment="1" applyProtection="1">
      <alignment horizontal="center" vertical="center"/>
      <protection hidden="1"/>
    </xf>
    <xf numFmtId="0" fontId="79" fillId="0" borderId="58" xfId="145" applyFont="1" applyBorder="1" applyAlignment="1">
      <alignment horizontal="center"/>
      <protection/>
    </xf>
    <xf numFmtId="0" fontId="79" fillId="0" borderId="57" xfId="145" applyFont="1" applyBorder="1" applyAlignment="1">
      <alignment horizontal="center"/>
      <protection/>
    </xf>
    <xf numFmtId="175" fontId="79" fillId="0" borderId="32" xfId="146" applyNumberFormat="1" applyFont="1" applyFill="1" applyBorder="1" applyAlignment="1" applyProtection="1">
      <alignment horizontal="center" vertical="center" wrapText="1"/>
      <protection hidden="1"/>
    </xf>
    <xf numFmtId="175" fontId="79" fillId="0" borderId="31" xfId="146" applyNumberFormat="1" applyFont="1" applyFill="1" applyBorder="1" applyAlignment="1" applyProtection="1">
      <alignment horizontal="center" vertical="center" wrapText="1"/>
      <protection hidden="1"/>
    </xf>
    <xf numFmtId="175" fontId="79" fillId="0" borderId="28" xfId="146" applyNumberFormat="1" applyFont="1" applyFill="1" applyBorder="1" applyAlignment="1" applyProtection="1">
      <alignment horizontal="center" vertical="center" wrapText="1"/>
      <protection hidden="1"/>
    </xf>
    <xf numFmtId="0" fontId="95" fillId="0" borderId="0" xfId="136" applyFont="1" applyAlignment="1">
      <alignment wrapText="1"/>
      <protection/>
    </xf>
    <xf numFmtId="0" fontId="7" fillId="0" borderId="0" xfId="136" applyFont="1" applyAlignment="1">
      <alignment wrapText="1"/>
      <protection/>
    </xf>
    <xf numFmtId="0" fontId="79" fillId="0" borderId="46" xfId="136" applyFont="1" applyBorder="1" applyAlignment="1">
      <alignment horizontal="center" vertical="center" wrapText="1"/>
      <protection/>
    </xf>
    <xf numFmtId="0" fontId="79" fillId="0" borderId="0" xfId="136" applyFont="1" applyBorder="1" applyAlignment="1">
      <alignment horizontal="center" vertical="center" wrapText="1"/>
      <protection/>
    </xf>
    <xf numFmtId="0" fontId="79" fillId="0" borderId="202" xfId="136" applyFont="1" applyBorder="1" applyAlignment="1">
      <alignment horizontal="center" vertical="center" wrapText="1"/>
      <protection/>
    </xf>
    <xf numFmtId="0" fontId="79" fillId="0" borderId="146" xfId="136" applyFont="1" applyBorder="1" applyAlignment="1">
      <alignment horizontal="center" wrapText="1"/>
      <protection/>
    </xf>
    <xf numFmtId="0" fontId="79" fillId="0" borderId="124" xfId="136" applyFont="1" applyBorder="1" applyAlignment="1">
      <alignment horizontal="center" wrapText="1"/>
      <protection/>
    </xf>
    <xf numFmtId="0" fontId="98" fillId="0" borderId="124" xfId="0" applyFont="1" applyBorder="1" applyAlignment="1">
      <alignment horizontal="center" wrapText="1"/>
    </xf>
    <xf numFmtId="0" fontId="98" fillId="0" borderId="121" xfId="0" applyFont="1" applyBorder="1" applyAlignment="1">
      <alignment horizontal="center" wrapText="1"/>
    </xf>
    <xf numFmtId="0" fontId="7" fillId="45" borderId="0" xfId="136" applyFont="1" applyFill="1" applyBorder="1" applyAlignment="1">
      <alignment wrapText="1"/>
      <protection/>
    </xf>
    <xf numFmtId="0" fontId="95" fillId="0" borderId="0" xfId="136" applyFont="1" applyFill="1" applyBorder="1" applyAlignment="1">
      <alignment wrapText="1"/>
      <protection/>
    </xf>
    <xf numFmtId="0" fontId="7" fillId="0" borderId="0" xfId="136" applyFont="1" applyFill="1" applyBorder="1" applyAlignment="1">
      <alignment wrapText="1"/>
      <protection/>
    </xf>
    <xf numFmtId="0" fontId="79" fillId="0" borderId="34" xfId="136" applyFont="1" applyBorder="1" applyAlignment="1">
      <alignment horizontal="center" vertical="center" wrapText="1"/>
      <protection/>
    </xf>
    <xf numFmtId="0" fontId="79" fillId="0" borderId="48" xfId="136" applyFont="1" applyBorder="1" applyAlignment="1">
      <alignment horizontal="center" vertical="center" wrapText="1"/>
      <protection/>
    </xf>
    <xf numFmtId="0" fontId="79" fillId="0" borderId="21" xfId="136" applyFont="1" applyBorder="1" applyAlignment="1">
      <alignment horizontal="center" vertical="center" wrapText="1"/>
      <protection/>
    </xf>
    <xf numFmtId="175" fontId="79" fillId="0" borderId="37" xfId="146" applyNumberFormat="1" applyFont="1" applyFill="1" applyBorder="1" applyAlignment="1" applyProtection="1">
      <alignment horizontal="center" vertical="center" wrapText="1"/>
      <protection hidden="1"/>
    </xf>
    <xf numFmtId="0" fontId="79" fillId="0" borderId="36" xfId="145" applyFont="1" applyBorder="1" applyAlignment="1">
      <alignment horizontal="center" vertical="center" wrapText="1"/>
      <protection/>
    </xf>
    <xf numFmtId="0" fontId="79" fillId="0" borderId="35" xfId="145" applyFont="1" applyBorder="1" applyAlignment="1">
      <alignment horizontal="center" vertical="center" wrapText="1"/>
      <protection/>
    </xf>
    <xf numFmtId="175" fontId="79" fillId="0" borderId="59" xfId="146" applyNumberFormat="1" applyFont="1" applyFill="1" applyBorder="1" applyAlignment="1" applyProtection="1">
      <alignment horizontal="center" vertical="center" wrapText="1"/>
      <protection hidden="1"/>
    </xf>
    <xf numFmtId="175" fontId="79" fillId="0" borderId="55" xfId="146" applyNumberFormat="1" applyFont="1" applyFill="1" applyBorder="1" applyAlignment="1" applyProtection="1">
      <alignment horizontal="center" vertical="center" wrapText="1"/>
      <protection hidden="1"/>
    </xf>
    <xf numFmtId="175" fontId="79" fillId="0" borderId="69" xfId="146" applyNumberFormat="1" applyFont="1" applyFill="1" applyBorder="1" applyAlignment="1" applyProtection="1">
      <alignment horizontal="center" vertical="center" wrapText="1"/>
      <protection hidden="1"/>
    </xf>
    <xf numFmtId="0" fontId="97" fillId="0" borderId="0" xfId="136" applyFont="1" applyAlignment="1">
      <alignment horizontal="center"/>
      <protection/>
    </xf>
    <xf numFmtId="0" fontId="88" fillId="0" borderId="0" xfId="136" applyFont="1" applyAlignment="1">
      <alignment horizontal="center"/>
      <protection/>
    </xf>
    <xf numFmtId="0" fontId="79" fillId="0" borderId="43" xfId="136" applyFont="1" applyBorder="1" applyAlignment="1">
      <alignment horizontal="center" vertical="center" wrapText="1"/>
      <protection/>
    </xf>
    <xf numFmtId="0" fontId="79" fillId="0" borderId="46" xfId="145" applyFont="1" applyBorder="1" applyAlignment="1">
      <alignment horizontal="center" vertical="center"/>
      <protection/>
    </xf>
    <xf numFmtId="0" fontId="79" fillId="0" borderId="47" xfId="145" applyFont="1" applyBorder="1" applyAlignment="1">
      <alignment horizontal="center" vertical="center"/>
      <protection/>
    </xf>
    <xf numFmtId="0" fontId="79" fillId="0" borderId="62" xfId="136" applyFont="1" applyBorder="1" applyAlignment="1">
      <alignment horizontal="center" vertical="center" wrapText="1"/>
      <protection/>
    </xf>
    <xf numFmtId="0" fontId="79" fillId="0" borderId="31" xfId="136" applyFont="1" applyBorder="1" applyAlignment="1">
      <alignment horizontal="center" vertical="center" wrapText="1"/>
      <protection/>
    </xf>
    <xf numFmtId="0" fontId="79" fillId="0" borderId="28" xfId="136" applyFont="1" applyBorder="1" applyAlignment="1">
      <alignment horizontal="center" vertical="center" wrapText="1"/>
      <protection/>
    </xf>
    <xf numFmtId="0" fontId="79" fillId="0" borderId="140" xfId="136" applyFont="1" applyBorder="1" applyAlignment="1">
      <alignment horizontal="center" vertical="center" wrapText="1"/>
      <protection/>
    </xf>
    <xf numFmtId="0" fontId="79" fillId="0" borderId="49" xfId="136" applyFont="1" applyBorder="1" applyAlignment="1">
      <alignment horizontal="center" vertical="center" wrapText="1"/>
      <protection/>
    </xf>
    <xf numFmtId="0" fontId="79" fillId="0" borderId="27" xfId="136" applyFont="1" applyBorder="1" applyAlignment="1">
      <alignment horizontal="center" vertical="center" wrapText="1"/>
      <protection/>
    </xf>
    <xf numFmtId="0" fontId="79" fillId="0" borderId="139" xfId="136" applyFont="1" applyBorder="1" applyAlignment="1">
      <alignment horizontal="center" vertical="center"/>
      <protection/>
    </xf>
    <xf numFmtId="175" fontId="79" fillId="0" borderId="60" xfId="146" applyNumberFormat="1" applyFont="1" applyFill="1" applyBorder="1" applyAlignment="1" applyProtection="1">
      <alignment horizontal="center" vertical="center"/>
      <protection hidden="1"/>
    </xf>
    <xf numFmtId="175" fontId="79" fillId="0" borderId="56" xfId="146" applyNumberFormat="1" applyFont="1" applyFill="1" applyBorder="1" applyAlignment="1" applyProtection="1">
      <alignment horizontal="center" vertical="center"/>
      <protection hidden="1"/>
    </xf>
    <xf numFmtId="175" fontId="79" fillId="0" borderId="70" xfId="146" applyNumberFormat="1" applyFont="1" applyFill="1" applyBorder="1" applyAlignment="1" applyProtection="1">
      <alignment horizontal="center" vertical="center"/>
      <protection hidden="1"/>
    </xf>
    <xf numFmtId="0" fontId="90" fillId="0" borderId="0" xfId="0" applyFont="1" applyFill="1" applyAlignment="1">
      <alignment/>
    </xf>
    <xf numFmtId="0" fontId="7" fillId="0" borderId="0" xfId="136" applyFont="1" applyAlignment="1">
      <alignment/>
      <protection/>
    </xf>
    <xf numFmtId="0" fontId="95" fillId="0" borderId="0" xfId="136" applyFont="1" applyAlignment="1">
      <alignment/>
      <protection/>
    </xf>
    <xf numFmtId="0" fontId="7" fillId="53" borderId="0" xfId="136" applyFont="1" applyFill="1" applyAlignment="1">
      <alignment/>
      <protection/>
    </xf>
    <xf numFmtId="0" fontId="95" fillId="45" borderId="0" xfId="136" applyFont="1" applyFill="1" applyAlignment="1">
      <alignment wrapText="1"/>
      <protection/>
    </xf>
    <xf numFmtId="0" fontId="7" fillId="45" borderId="0" xfId="136" applyFont="1" applyFill="1" applyAlignment="1">
      <alignment wrapText="1"/>
      <protection/>
    </xf>
    <xf numFmtId="0" fontId="81" fillId="0" borderId="46" xfId="0" applyFont="1" applyFill="1" applyBorder="1" applyAlignment="1">
      <alignment horizontal="right"/>
    </xf>
    <xf numFmtId="0" fontId="37" fillId="0" borderId="117" xfId="0" applyFont="1" applyBorder="1" applyAlignment="1">
      <alignment horizontal="center" vertical="center"/>
    </xf>
    <xf numFmtId="0" fontId="7" fillId="0" borderId="118" xfId="0" applyFont="1" applyBorder="1" applyAlignment="1">
      <alignment horizontal="center" vertical="center"/>
    </xf>
    <xf numFmtId="0" fontId="7" fillId="0" borderId="127" xfId="0" applyFont="1" applyBorder="1" applyAlignment="1">
      <alignment horizontal="center" vertical="center"/>
    </xf>
    <xf numFmtId="0" fontId="80" fillId="0" borderId="43" xfId="0" applyFont="1" applyFill="1" applyBorder="1" applyAlignment="1">
      <alignment horizontal="center" vertical="center" wrapText="1"/>
    </xf>
    <xf numFmtId="0" fontId="80" fillId="0" borderId="46" xfId="0" applyFont="1" applyBorder="1" applyAlignment="1">
      <alignment horizontal="center" vertical="center" wrapText="1"/>
    </xf>
    <xf numFmtId="0" fontId="80" fillId="0" borderId="47" xfId="0" applyFont="1" applyBorder="1" applyAlignment="1">
      <alignment horizontal="center" vertical="center" wrapText="1"/>
    </xf>
    <xf numFmtId="0" fontId="37" fillId="0" borderId="43" xfId="0" applyFont="1" applyFill="1" applyBorder="1" applyAlignment="1">
      <alignment horizontal="center" vertical="center" wrapText="1"/>
    </xf>
    <xf numFmtId="0" fontId="37" fillId="0" borderId="36" xfId="0" applyFont="1" applyFill="1" applyBorder="1" applyAlignment="1">
      <alignment horizontal="center" vertical="center" wrapText="1"/>
    </xf>
    <xf numFmtId="0" fontId="37" fillId="0" borderId="121" xfId="0" applyFont="1" applyFill="1" applyBorder="1" applyAlignment="1">
      <alignment horizontal="center" vertical="center" wrapText="1"/>
    </xf>
    <xf numFmtId="0" fontId="37" fillId="0" borderId="34" xfId="0" applyFont="1" applyFill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37" fillId="0" borderId="63" xfId="0" applyFont="1" applyFill="1" applyBorder="1" applyAlignment="1">
      <alignment horizontal="center" vertical="center" wrapText="1"/>
    </xf>
    <xf numFmtId="0" fontId="7" fillId="0" borderId="202" xfId="0" applyFont="1" applyBorder="1" applyAlignment="1">
      <alignment/>
    </xf>
    <xf numFmtId="0" fontId="37" fillId="0" borderId="169" xfId="0" applyFont="1" applyFill="1" applyBorder="1" applyAlignment="1">
      <alignment horizontal="center" vertical="center" wrapText="1"/>
    </xf>
    <xf numFmtId="0" fontId="37" fillId="0" borderId="64" xfId="0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 wrapText="1"/>
    </xf>
    <xf numFmtId="0" fontId="80" fillId="0" borderId="46" xfId="0" applyFont="1" applyFill="1" applyBorder="1" applyAlignment="1">
      <alignment horizontal="center" vertical="center" wrapText="1"/>
    </xf>
    <xf numFmtId="0" fontId="79" fillId="0" borderId="47" xfId="0" applyFont="1" applyBorder="1" applyAlignment="1">
      <alignment horizontal="center" vertical="center"/>
    </xf>
    <xf numFmtId="0" fontId="79" fillId="0" borderId="146" xfId="0" applyFont="1" applyFill="1" applyBorder="1" applyAlignment="1">
      <alignment horizontal="center" vertical="center" wrapText="1"/>
    </xf>
    <xf numFmtId="0" fontId="79" fillId="0" borderId="124" xfId="0" applyFont="1" applyFill="1" applyBorder="1" applyAlignment="1">
      <alignment horizontal="center" vertical="center" wrapText="1"/>
    </xf>
    <xf numFmtId="0" fontId="79" fillId="0" borderId="43" xfId="0" applyFont="1" applyFill="1" applyBorder="1" applyAlignment="1">
      <alignment horizontal="center" vertical="center" wrapText="1"/>
    </xf>
    <xf numFmtId="0" fontId="79" fillId="0" borderId="46" xfId="0" applyFont="1" applyFill="1" applyBorder="1" applyAlignment="1">
      <alignment horizontal="center" vertical="center" wrapText="1"/>
    </xf>
    <xf numFmtId="0" fontId="79" fillId="0" borderId="63" xfId="0" applyFont="1" applyFill="1" applyBorder="1" applyAlignment="1">
      <alignment horizontal="center" vertical="center" wrapText="1"/>
    </xf>
    <xf numFmtId="0" fontId="79" fillId="0" borderId="70" xfId="0" applyFont="1" applyBorder="1" applyAlignment="1">
      <alignment/>
    </xf>
    <xf numFmtId="0" fontId="79" fillId="0" borderId="169" xfId="0" applyFont="1" applyFill="1" applyBorder="1" applyAlignment="1">
      <alignment horizontal="center" vertical="center" wrapText="1"/>
    </xf>
    <xf numFmtId="0" fontId="79" fillId="0" borderId="49" xfId="0" applyFont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7" fillId="0" borderId="146" xfId="0" applyFont="1" applyFill="1" applyBorder="1" applyAlignment="1">
      <alignment horizontal="center" vertical="center" wrapText="1"/>
    </xf>
    <xf numFmtId="0" fontId="37" fillId="0" borderId="124" xfId="0" applyFont="1" applyFill="1" applyBorder="1" applyAlignment="1">
      <alignment horizontal="center" vertical="center" wrapText="1"/>
    </xf>
    <xf numFmtId="0" fontId="37" fillId="0" borderId="48" xfId="0" applyFont="1" applyFill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70" xfId="0" applyFont="1" applyBorder="1" applyAlignment="1">
      <alignment/>
    </xf>
    <xf numFmtId="0" fontId="37" fillId="0" borderId="118" xfId="0" applyFont="1" applyBorder="1" applyAlignment="1">
      <alignment horizontal="center" vertical="center"/>
    </xf>
    <xf numFmtId="0" fontId="37" fillId="0" borderId="127" xfId="0" applyFont="1" applyBorder="1" applyAlignment="1">
      <alignment horizontal="center" vertical="center"/>
    </xf>
    <xf numFmtId="0" fontId="37" fillId="0" borderId="44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51" xfId="0" applyFont="1" applyFill="1" applyBorder="1" applyAlignment="1">
      <alignment horizontal="left" wrapText="1" indent="1"/>
    </xf>
    <xf numFmtId="0" fontId="7" fillId="0" borderId="31" xfId="0" applyFont="1" applyFill="1" applyBorder="1" applyAlignment="1">
      <alignment horizontal="left" wrapText="1" indent="1"/>
    </xf>
    <xf numFmtId="0" fontId="7" fillId="0" borderId="68" xfId="0" applyFont="1" applyFill="1" applyBorder="1" applyAlignment="1">
      <alignment horizontal="left" wrapText="1" indent="1"/>
    </xf>
    <xf numFmtId="0" fontId="77" fillId="0" borderId="43" xfId="0" applyFont="1" applyFill="1" applyBorder="1" applyAlignment="1">
      <alignment horizontal="center" vertical="center" wrapText="1"/>
    </xf>
    <xf numFmtId="0" fontId="55" fillId="0" borderId="46" xfId="0" applyFont="1" applyBorder="1" applyAlignment="1">
      <alignment horizontal="center" vertical="center" wrapText="1"/>
    </xf>
    <xf numFmtId="0" fontId="55" fillId="0" borderId="47" xfId="0" applyFont="1" applyBorder="1" applyAlignment="1">
      <alignment horizontal="center" vertical="center" wrapText="1"/>
    </xf>
  </cellXfs>
  <cellStyles count="220">
    <cellStyle name="Normal" xfId="0"/>
    <cellStyle name="20 % – Zvýraznění1" xfId="15"/>
    <cellStyle name="20 % – Zvýraznění1 2" xfId="16"/>
    <cellStyle name="20 % – Zvýraznění2" xfId="17"/>
    <cellStyle name="20 % – Zvýraznění2 2" xfId="18"/>
    <cellStyle name="20 % – Zvýraznění3" xfId="19"/>
    <cellStyle name="20 % – Zvýraznění3 2" xfId="20"/>
    <cellStyle name="20 % – Zvýraznění4" xfId="21"/>
    <cellStyle name="20 % – Zvýraznění4 2" xfId="22"/>
    <cellStyle name="20 % – Zvýraznění5" xfId="23"/>
    <cellStyle name="20 % – Zvýraznění5 2" xfId="24"/>
    <cellStyle name="20 % – Zvýraznění6" xfId="25"/>
    <cellStyle name="20 % – Zvýraznění6 2" xfId="26"/>
    <cellStyle name="40 % – Zvýraznění1" xfId="27"/>
    <cellStyle name="40 % – Zvýraznění1 2" xfId="28"/>
    <cellStyle name="40 % – Zvýraznění2" xfId="29"/>
    <cellStyle name="40 % – Zvýraznění2 2" xfId="30"/>
    <cellStyle name="40 % – Zvýraznění3" xfId="31"/>
    <cellStyle name="40 % – Zvýraznění3 2" xfId="32"/>
    <cellStyle name="40 % – Zvýraznění4" xfId="33"/>
    <cellStyle name="40 % – Zvýraznění4 2" xfId="34"/>
    <cellStyle name="40 % – Zvýraznění5" xfId="35"/>
    <cellStyle name="40 % – Zvýraznění5 2" xfId="36"/>
    <cellStyle name="40 % – Zvýraznění6" xfId="37"/>
    <cellStyle name="40 % – Zvýraznění6 2" xfId="38"/>
    <cellStyle name="60 % – Zvýraznění1" xfId="39"/>
    <cellStyle name="60 % – Zvýraznění1 2" xfId="40"/>
    <cellStyle name="60 % – Zvýraznění2" xfId="41"/>
    <cellStyle name="60 % – Zvýraznění2 2" xfId="42"/>
    <cellStyle name="60 % – Zvýraznění3" xfId="43"/>
    <cellStyle name="60 % – Zvýraznění3 2" xfId="44"/>
    <cellStyle name="60 % – Zvýraznění4" xfId="45"/>
    <cellStyle name="60 % – Zvýraznění4 2" xfId="46"/>
    <cellStyle name="60 % – Zvýraznění5" xfId="47"/>
    <cellStyle name="60 % – Zvýraznění5 2" xfId="48"/>
    <cellStyle name="60 % – Zvýraznění6" xfId="49"/>
    <cellStyle name="60 % – Zvýraznění6 2" xfId="50"/>
    <cellStyle name="Accent1 - 20%" xfId="51"/>
    <cellStyle name="Accent1 - 40%" xfId="52"/>
    <cellStyle name="Accent1 - 60%" xfId="53"/>
    <cellStyle name="Accent2 - 20%" xfId="54"/>
    <cellStyle name="Accent2 - 40%" xfId="55"/>
    <cellStyle name="Accent2 - 60%" xfId="56"/>
    <cellStyle name="Accent3 - 20%" xfId="57"/>
    <cellStyle name="Accent3 - 40%" xfId="58"/>
    <cellStyle name="Accent3 - 60%" xfId="59"/>
    <cellStyle name="Accent4 - 20%" xfId="60"/>
    <cellStyle name="Accent4 - 40%" xfId="61"/>
    <cellStyle name="Accent4 - 60%" xfId="62"/>
    <cellStyle name="Accent5 - 20%" xfId="63"/>
    <cellStyle name="Accent5 - 40%" xfId="64"/>
    <cellStyle name="Accent5 - 60%" xfId="65"/>
    <cellStyle name="Accent6 - 20%" xfId="66"/>
    <cellStyle name="Accent6 - 40%" xfId="67"/>
    <cellStyle name="Accent6 - 60%" xfId="68"/>
    <cellStyle name="Bad" xfId="69"/>
    <cellStyle name="Calculation" xfId="70"/>
    <cellStyle name="Celkem" xfId="71"/>
    <cellStyle name="Celkem 2" xfId="72"/>
    <cellStyle name="CISPUB0" xfId="73"/>
    <cellStyle name="Comma" xfId="74"/>
    <cellStyle name="Currency" xfId="75"/>
    <cellStyle name="Comma" xfId="76"/>
    <cellStyle name="čárky [0]_přehled_opatření" xfId="77"/>
    <cellStyle name="čárky 2" xfId="78"/>
    <cellStyle name="Comma [0]" xfId="79"/>
    <cellStyle name="Date" xfId="80"/>
    <cellStyle name="Emphasis 1" xfId="81"/>
    <cellStyle name="Emphasis 2" xfId="82"/>
    <cellStyle name="Emphasis 3" xfId="83"/>
    <cellStyle name="Explanatory Text" xfId="84"/>
    <cellStyle name="Fixed" xfId="85"/>
    <cellStyle name="Good" xfId="86"/>
    <cellStyle name="Heading 1" xfId="87"/>
    <cellStyle name="Heading 2" xfId="88"/>
    <cellStyle name="Heading 3" xfId="89"/>
    <cellStyle name="Heading 4" xfId="90"/>
    <cellStyle name="Heading1" xfId="91"/>
    <cellStyle name="Heading2" xfId="92"/>
    <cellStyle name="Hyperlink" xfId="93"/>
    <cellStyle name="Check Cell" xfId="94"/>
    <cellStyle name="Chybně" xfId="95"/>
    <cellStyle name="Chybně 2" xfId="96"/>
    <cellStyle name="Input" xfId="97"/>
    <cellStyle name="Kontrolní buňka" xfId="98"/>
    <cellStyle name="Kontrolní buňka 2" xfId="99"/>
    <cellStyle name="Linked Cell" xfId="100"/>
    <cellStyle name="Currency" xfId="101"/>
    <cellStyle name="Currency [0]" xfId="102"/>
    <cellStyle name="Nadpis 1" xfId="103"/>
    <cellStyle name="Nadpis 1 2" xfId="104"/>
    <cellStyle name="Nadpis 2" xfId="105"/>
    <cellStyle name="Nadpis 2 2" xfId="106"/>
    <cellStyle name="Nadpis 3" xfId="107"/>
    <cellStyle name="Nadpis 3 2" xfId="108"/>
    <cellStyle name="Nadpis 4" xfId="109"/>
    <cellStyle name="Nadpis 4 2" xfId="110"/>
    <cellStyle name="Název" xfId="111"/>
    <cellStyle name="Název 2" xfId="112"/>
    <cellStyle name="Neutral" xfId="113"/>
    <cellStyle name="Neutrální" xfId="114"/>
    <cellStyle name="Neutrální 2" xfId="115"/>
    <cellStyle name="Normal_Tableau1" xfId="116"/>
    <cellStyle name="normální 2" xfId="117"/>
    <cellStyle name="normální 2 2" xfId="118"/>
    <cellStyle name="normální 2 2 2" xfId="119"/>
    <cellStyle name="normální 2 3" xfId="120"/>
    <cellStyle name="normální 2_MŠMT pro SZÚ" xfId="121"/>
    <cellStyle name="normální 2_Tab. 4 v+v" xfId="122"/>
    <cellStyle name="normální 3" xfId="123"/>
    <cellStyle name="normální 3 2" xfId="124"/>
    <cellStyle name="normální 3_MŠMT pro SZÚ" xfId="125"/>
    <cellStyle name="normální 4" xfId="126"/>
    <cellStyle name="normální 5" xfId="127"/>
    <cellStyle name="normální 5 2" xfId="128"/>
    <cellStyle name="normální 5_MŠMT pro SZÚ" xfId="129"/>
    <cellStyle name="normální 6" xfId="130"/>
    <cellStyle name="normální 6 2" xfId="131"/>
    <cellStyle name="normální 6_MŠMT pro SZÚ" xfId="132"/>
    <cellStyle name="normální 7" xfId="133"/>
    <cellStyle name="normální 8" xfId="134"/>
    <cellStyle name="normální 9" xfId="135"/>
    <cellStyle name="normální_131 TA" xfId="136"/>
    <cellStyle name="normální_314_603 Bilance příjmů a výdajů SR_12.2013_2" xfId="137"/>
    <cellStyle name="normální_333 pro rok 2012 (2)" xfId="138"/>
    <cellStyle name="normální_Bilance příjmů a výdajů SR (druhová a funkční)" xfId="139"/>
    <cellStyle name="normální_Formulář 2 6 - předáno 12 10 2007 (3)" xfId="140"/>
    <cellStyle name="normální_TAB MF_vyhl 342 2009 vybrané " xfId="141"/>
    <cellStyle name="normální_Tab. 2 - ukazatele" xfId="142"/>
    <cellStyle name="normální_Tabulky č   9  2008 SZÚ" xfId="143"/>
    <cellStyle name="normální_tabulky SZÚ_2007" xfId="144"/>
    <cellStyle name="normální_Válková tabulky k SR" xfId="145"/>
    <cellStyle name="normální_Vzor RO" xfId="146"/>
    <cellStyle name="Note" xfId="147"/>
    <cellStyle name="Output" xfId="148"/>
    <cellStyle name="Percent" xfId="149"/>
    <cellStyle name="Followed Hyperlink" xfId="150"/>
    <cellStyle name="Poznámka" xfId="151"/>
    <cellStyle name="Poznámka 2" xfId="152"/>
    <cellStyle name="procent 2" xfId="153"/>
    <cellStyle name="procent 3" xfId="154"/>
    <cellStyle name="procent 3 2" xfId="155"/>
    <cellStyle name="Percent" xfId="156"/>
    <cellStyle name="Propojená buňka" xfId="157"/>
    <cellStyle name="Propojená buňka 2" xfId="158"/>
    <cellStyle name="SAPBEXaggData" xfId="159"/>
    <cellStyle name="SAPBEXaggDataEmph" xfId="160"/>
    <cellStyle name="SAPBEXaggItem" xfId="161"/>
    <cellStyle name="SAPBEXaggItemX" xfId="162"/>
    <cellStyle name="SAPBEXexcBad7" xfId="163"/>
    <cellStyle name="SAPBEXexcBad8" xfId="164"/>
    <cellStyle name="SAPBEXexcBad9" xfId="165"/>
    <cellStyle name="SAPBEXexcCritical4" xfId="166"/>
    <cellStyle name="SAPBEXexcCritical5" xfId="167"/>
    <cellStyle name="SAPBEXexcCritical6" xfId="168"/>
    <cellStyle name="SAPBEXexcGood1" xfId="169"/>
    <cellStyle name="SAPBEXexcGood2" xfId="170"/>
    <cellStyle name="SAPBEXexcGood3" xfId="171"/>
    <cellStyle name="SAPBEXfilterDrill" xfId="172"/>
    <cellStyle name="SAPBEXFilterInfo1" xfId="173"/>
    <cellStyle name="SAPBEXFilterInfo2" xfId="174"/>
    <cellStyle name="SAPBEXFilterInfoHlavicka" xfId="175"/>
    <cellStyle name="SAPBEXfilterItem" xfId="176"/>
    <cellStyle name="SAPBEXfilterText" xfId="177"/>
    <cellStyle name="SAPBEXformats" xfId="178"/>
    <cellStyle name="SAPBEXheaderItem" xfId="179"/>
    <cellStyle name="SAPBEXheaderText" xfId="180"/>
    <cellStyle name="SAPBEXHLevel0" xfId="181"/>
    <cellStyle name="SAPBEXHLevel0X" xfId="182"/>
    <cellStyle name="SAPBEXHLevel1" xfId="183"/>
    <cellStyle name="SAPBEXHLevel1X" xfId="184"/>
    <cellStyle name="SAPBEXHLevel2" xfId="185"/>
    <cellStyle name="SAPBEXHLevel2X" xfId="186"/>
    <cellStyle name="SAPBEXHLevel3" xfId="187"/>
    <cellStyle name="SAPBEXHLevel3X" xfId="188"/>
    <cellStyle name="SAPBEXchaText" xfId="189"/>
    <cellStyle name="SAPBEXinputData" xfId="190"/>
    <cellStyle name="SAPBEXItemHeader" xfId="191"/>
    <cellStyle name="SAPBEXresData" xfId="192"/>
    <cellStyle name="SAPBEXresDataEmph" xfId="193"/>
    <cellStyle name="SAPBEXresItem" xfId="194"/>
    <cellStyle name="SAPBEXresItemX" xfId="195"/>
    <cellStyle name="SAPBEXstdData" xfId="196"/>
    <cellStyle name="SAPBEXstdDataEmph" xfId="197"/>
    <cellStyle name="SAPBEXstdItem" xfId="198"/>
    <cellStyle name="SAPBEXstdItemX" xfId="199"/>
    <cellStyle name="SAPBEXtitle" xfId="200"/>
    <cellStyle name="SAPBEXunassignedItem" xfId="201"/>
    <cellStyle name="SAPBEXundefined" xfId="202"/>
    <cellStyle name="Sheet Title" xfId="203"/>
    <cellStyle name="Správně" xfId="204"/>
    <cellStyle name="Správně 2" xfId="205"/>
    <cellStyle name="Styl 1" xfId="206"/>
    <cellStyle name="Styl 2" xfId="207"/>
    <cellStyle name="Styl 3" xfId="208"/>
    <cellStyle name="Text upozornění" xfId="209"/>
    <cellStyle name="Text upozornění 2" xfId="210"/>
    <cellStyle name="Title" xfId="211"/>
    <cellStyle name="Total" xfId="212"/>
    <cellStyle name="Vstup" xfId="213"/>
    <cellStyle name="Vstup 2" xfId="214"/>
    <cellStyle name="Výpočet" xfId="215"/>
    <cellStyle name="Výpočet 2" xfId="216"/>
    <cellStyle name="Výstup" xfId="217"/>
    <cellStyle name="Výstup 2" xfId="218"/>
    <cellStyle name="Vysvětlující text" xfId="219"/>
    <cellStyle name="Vysvětlující text 2" xfId="220"/>
    <cellStyle name="Warning Text" xfId="221"/>
    <cellStyle name="Zvýraznění 1" xfId="222"/>
    <cellStyle name="Zvýraznění 1 2" xfId="223"/>
    <cellStyle name="Zvýraznění 2" xfId="224"/>
    <cellStyle name="Zvýraznění 2 2" xfId="225"/>
    <cellStyle name="Zvýraznění 3" xfId="226"/>
    <cellStyle name="Zvýraznění 3 2" xfId="227"/>
    <cellStyle name="Zvýraznění 4" xfId="228"/>
    <cellStyle name="Zvýraznění 4 2" xfId="229"/>
    <cellStyle name="Zvýraznění 5" xfId="230"/>
    <cellStyle name="Zvýraznění 5 2" xfId="231"/>
    <cellStyle name="Zvýraznění 6" xfId="232"/>
    <cellStyle name="Zvýraznění 6 2" xfId="2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V:\Dokumenty\E_DATA\2001%20pr&#367;b&#283;h\Pril%204%20SR%20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SZ&#218;%202000\I.%20&#269;tvrtlet&#237;\sestavy%205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WINDOWS\Plocha\Z%20U\ROK%2099\III.%20Q%201999\sestavy%205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14171\Documents\SZU%20SVOD%20kapitoly%202012\Landsing%20314%20MV%20opr%2028-2-13%20t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LANDSI~1\LOCALS~1\Temp\XPgrpwise\314_603%20Bilance%20p&#345;&#237;jm&#367;%20a%20v&#253;daj&#367;%20SR_12.2013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01-KPR"/>
      <sheetName val="302-PSP"/>
      <sheetName val="303-SP"/>
      <sheetName val="304-ÚV"/>
      <sheetName val="305-BIS"/>
      <sheetName val="306-MZV"/>
      <sheetName val="307-MO"/>
      <sheetName val="308-NBÚ"/>
      <sheetName val="309-KVOP"/>
      <sheetName val="312-MF"/>
      <sheetName val="313-MPSV"/>
      <sheetName val="314-MV"/>
      <sheetName val="315-MŽP"/>
      <sheetName val="317-MMR"/>
      <sheetName val="321-GA"/>
      <sheetName val="322-MPO"/>
      <sheetName val="327-MDS"/>
      <sheetName val="328-ČTÚ"/>
      <sheetName val="329-MZe"/>
      <sheetName val="333-MŠMT"/>
      <sheetName val="334-MK"/>
      <sheetName val="335-MZd"/>
      <sheetName val="336-MSp"/>
      <sheetName val="341-ÚVIS"/>
      <sheetName val="343-ÚOOÚ"/>
      <sheetName val="344-ÚPV"/>
      <sheetName val="345-ČSÚ"/>
      <sheetName val="346-ČÚZK"/>
      <sheetName val="347-KCP"/>
      <sheetName val="348-ČBÚ"/>
      <sheetName val="353-ÚOHS"/>
      <sheetName val="358-ÚS"/>
      <sheetName val="361-AV"/>
      <sheetName val="372-RRTV"/>
      <sheetName val="374-SSHR"/>
      <sheetName val="375-SÚJB"/>
      <sheetName val="380-OÚ"/>
      <sheetName val="380BE"/>
      <sheetName val="380BI"/>
      <sheetName val="380BK"/>
      <sheetName val="380BN"/>
      <sheetName val="380BR"/>
      <sheetName val="380BV"/>
      <sheetName val="380CB"/>
      <sheetName val="380CH"/>
      <sheetName val="380CK"/>
      <sheetName val="380CL"/>
      <sheetName val="380CR"/>
      <sheetName val="380CV"/>
      <sheetName val="380DC"/>
      <sheetName val="380DO"/>
      <sheetName val="380FM"/>
      <sheetName val="380HB"/>
      <sheetName val="380HK"/>
      <sheetName val="380HO"/>
      <sheetName val="380JC"/>
      <sheetName val="380JE"/>
      <sheetName val="380JH"/>
      <sheetName val="380JI"/>
      <sheetName val="380JN"/>
      <sheetName val="380KD"/>
      <sheetName val="380KH"/>
      <sheetName val="380KI"/>
      <sheetName val="380KM"/>
      <sheetName val="380KO"/>
      <sheetName val="380KT"/>
      <sheetName val="380KV"/>
      <sheetName val="380LI"/>
      <sheetName val="380LN"/>
      <sheetName val="380LT"/>
      <sheetName val="380MB"/>
      <sheetName val="380ME"/>
      <sheetName val="380MO"/>
      <sheetName val="380NA"/>
      <sheetName val="380NB"/>
      <sheetName val="380NJ"/>
      <sheetName val="380OC"/>
      <sheetName val="380OP"/>
      <sheetName val="380PB"/>
      <sheetName val="380PE"/>
      <sheetName val="380PI"/>
      <sheetName val="380PJ"/>
      <sheetName val="380PR"/>
      <sheetName val="380PS"/>
      <sheetName val="380PT"/>
      <sheetName val="380PU"/>
      <sheetName val="380PV"/>
      <sheetName val="380PY"/>
      <sheetName val="380PZ"/>
      <sheetName val="380RA"/>
      <sheetName val="380RK"/>
      <sheetName val="380RO"/>
      <sheetName val="380SM"/>
      <sheetName val="380SO"/>
      <sheetName val="380ST"/>
      <sheetName val="380SU"/>
      <sheetName val="380SY"/>
      <sheetName val="380TA"/>
      <sheetName val="380TC"/>
      <sheetName val="380TP"/>
      <sheetName val="380TR"/>
      <sheetName val="380TU"/>
      <sheetName val="380UH"/>
      <sheetName val="380UL"/>
      <sheetName val="380UO"/>
      <sheetName val="380VS"/>
      <sheetName val="380VY"/>
      <sheetName val="380ZL"/>
      <sheetName val="380ZN"/>
      <sheetName val="380ZR"/>
      <sheetName val="381-NKÚ"/>
      <sheetName val="396-SD"/>
      <sheetName val="397-SFA"/>
      <sheetName val="398-VPS"/>
      <sheetName val="301_KPR"/>
      <sheetName val="SOUHRN 314"/>
      <sheetName val="314020"/>
      <sheetName val="314030"/>
      <sheetName val="314040"/>
      <sheetName val="314050"/>
      <sheetName val="314060"/>
      <sheetName val="314070"/>
      <sheetName val="314120"/>
      <sheetName val="314130"/>
      <sheetName val="314140"/>
      <sheetName val="314210"/>
      <sheetName val="314310"/>
      <sheetName val="314610"/>
      <sheetName val="314620"/>
      <sheetName val="Poznámky"/>
      <sheetName val="List1"/>
      <sheetName val="List3"/>
      <sheetName val="SOUHRN_314"/>
      <sheetName val="314Poz_Boris"/>
      <sheetName val="ISPROFIN_314"/>
      <sheetName val="ISPROFIN 2003_314"/>
      <sheetName val="314 volné 1"/>
      <sheetName val="214 volné 2"/>
      <sheetName val="214 názvy prg"/>
      <sheetName val="List2"/>
      <sheetName val="ISPROFIN 2003_SOUHRN_314"/>
      <sheetName val="REZERV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0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0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. 3 mzdy"/>
    </sheetNames>
    <sheetDataSet>
      <sheetData sheetId="0">
        <row r="13">
          <cell r="AD13">
            <v>0</v>
          </cell>
          <cell r="AE13">
            <v>0</v>
          </cell>
          <cell r="AF13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ilanceSR-druh"/>
      <sheetName val="Hlavicka"/>
      <sheetName val="Druhova_CAST7"/>
      <sheetName val="Druhova"/>
      <sheetName val="VýdajeSR-funk"/>
      <sheetName val="BExRepositorySheet"/>
      <sheetName val="Funkcni"/>
    </sheetNames>
    <sheetDataSet>
      <sheetData sheetId="1">
        <row r="3">
          <cell r="I3" t="str">
            <v>314 Ministerstvo vnitra</v>
          </cell>
        </row>
      </sheetData>
      <sheetData sheetId="2">
        <row r="8">
          <cell r="D8">
            <v>5008052</v>
          </cell>
          <cell r="E8">
            <v>5008052</v>
          </cell>
          <cell r="F8">
            <v>5101246.82403</v>
          </cell>
          <cell r="M8">
            <v>5095865.716</v>
          </cell>
        </row>
      </sheetData>
      <sheetData sheetId="3">
        <row r="1">
          <cell r="B1" t="str">
            <v>012.2013</v>
          </cell>
          <cell r="C1" t="str">
            <v>012.2012</v>
          </cell>
        </row>
        <row r="2">
          <cell r="B2" t="str">
            <v>v tis.Kč</v>
          </cell>
        </row>
        <row r="3">
          <cell r="B3" t="str">
            <v>Sk012.2013/Sk012.2012</v>
          </cell>
        </row>
        <row r="20">
          <cell r="B20">
            <v>13000</v>
          </cell>
          <cell r="C20">
            <v>13000</v>
          </cell>
          <cell r="D20">
            <v>17302.09738</v>
          </cell>
          <cell r="G20">
            <v>14341.92204</v>
          </cell>
        </row>
        <row r="22">
          <cell r="B22">
            <v>13000</v>
          </cell>
          <cell r="C22">
            <v>13000</v>
          </cell>
          <cell r="D22">
            <v>17302.09738</v>
          </cell>
          <cell r="G22">
            <v>14341.92204</v>
          </cell>
        </row>
        <row r="31">
          <cell r="B31">
            <v>5608927</v>
          </cell>
          <cell r="C31">
            <v>5608927</v>
          </cell>
          <cell r="D31">
            <v>5608826.1555</v>
          </cell>
          <cell r="G31">
            <v>5591896.836</v>
          </cell>
        </row>
        <row r="36">
          <cell r="B36">
            <v>5608927</v>
          </cell>
          <cell r="C36">
            <v>5608927</v>
          </cell>
          <cell r="D36">
            <v>5608826.1555</v>
          </cell>
          <cell r="G36">
            <v>5591896.836</v>
          </cell>
        </row>
        <row r="39">
          <cell r="B39">
            <v>5621927</v>
          </cell>
          <cell r="C39">
            <v>5621927</v>
          </cell>
          <cell r="D39">
            <v>5626128.25288</v>
          </cell>
          <cell r="G39">
            <v>5606238.75804</v>
          </cell>
        </row>
        <row r="40">
          <cell r="B40">
            <v>13000</v>
          </cell>
          <cell r="C40">
            <v>13000</v>
          </cell>
          <cell r="D40">
            <v>17302.09738</v>
          </cell>
          <cell r="G40">
            <v>14341.92204</v>
          </cell>
        </row>
        <row r="41">
          <cell r="B41">
            <v>58007</v>
          </cell>
          <cell r="C41">
            <v>81177.41798</v>
          </cell>
          <cell r="D41">
            <v>88905.0636</v>
          </cell>
          <cell r="G41">
            <v>88482.00937</v>
          </cell>
        </row>
        <row r="42">
          <cell r="B42">
            <v>22910</v>
          </cell>
          <cell r="C42">
            <v>24420</v>
          </cell>
          <cell r="D42">
            <v>30244.9255</v>
          </cell>
          <cell r="G42">
            <v>79088.557</v>
          </cell>
        </row>
        <row r="44">
          <cell r="B44">
            <v>22910</v>
          </cell>
          <cell r="C44">
            <v>24420</v>
          </cell>
          <cell r="D44">
            <v>30238.6795</v>
          </cell>
          <cell r="G44">
            <v>79088.557</v>
          </cell>
        </row>
        <row r="45">
          <cell r="B45">
            <v>24612</v>
          </cell>
          <cell r="C45">
            <v>29307.01794</v>
          </cell>
          <cell r="D45">
            <v>31428.80752</v>
          </cell>
          <cell r="G45">
            <v>35037.96625</v>
          </cell>
        </row>
        <row r="46">
          <cell r="B46">
            <v>531</v>
          </cell>
          <cell r="C46">
            <v>233.45844</v>
          </cell>
          <cell r="D46">
            <v>60.3107</v>
          </cell>
          <cell r="G46">
            <v>620.28989</v>
          </cell>
        </row>
        <row r="48">
          <cell r="B48">
            <v>106060</v>
          </cell>
          <cell r="C48">
            <v>135137.89436</v>
          </cell>
          <cell r="D48">
            <v>150639.10732</v>
          </cell>
          <cell r="G48">
            <v>203228.82251</v>
          </cell>
        </row>
        <row r="49">
          <cell r="B49">
            <v>671</v>
          </cell>
          <cell r="C49">
            <v>15242.09105</v>
          </cell>
          <cell r="D49">
            <v>27073.49256</v>
          </cell>
          <cell r="G49">
            <v>34683.73282</v>
          </cell>
        </row>
        <row r="50">
          <cell r="B50">
            <v>23370</v>
          </cell>
          <cell r="C50">
            <v>14181.937</v>
          </cell>
          <cell r="D50">
            <v>17692.96266</v>
          </cell>
          <cell r="G50">
            <v>21782.71619</v>
          </cell>
        </row>
        <row r="51">
          <cell r="B51">
            <v>24041</v>
          </cell>
          <cell r="C51">
            <v>29424.02805</v>
          </cell>
          <cell r="D51">
            <v>44766.45522</v>
          </cell>
          <cell r="G51">
            <v>56466.44901</v>
          </cell>
        </row>
        <row r="52">
          <cell r="B52">
            <v>3333</v>
          </cell>
          <cell r="C52">
            <v>1562.2382</v>
          </cell>
          <cell r="D52">
            <v>1500.54827</v>
          </cell>
          <cell r="G52">
            <v>2042.54795</v>
          </cell>
        </row>
        <row r="53">
          <cell r="B53">
            <v>185884</v>
          </cell>
          <cell r="C53">
            <v>208975.54139</v>
          </cell>
          <cell r="D53">
            <v>340819.60535</v>
          </cell>
          <cell r="G53">
            <v>332608.76113</v>
          </cell>
        </row>
        <row r="57">
          <cell r="B57">
            <v>189217</v>
          </cell>
          <cell r="C57">
            <v>210537.77959</v>
          </cell>
          <cell r="D57">
            <v>342320.15362</v>
          </cell>
          <cell r="G57">
            <v>334651.30908</v>
          </cell>
        </row>
        <row r="69">
          <cell r="B69">
            <v>319318</v>
          </cell>
          <cell r="C69">
            <v>375099.702</v>
          </cell>
          <cell r="D69">
            <v>537725.71616</v>
          </cell>
          <cell r="G69">
            <v>594346.5806</v>
          </cell>
        </row>
        <row r="70">
          <cell r="B70">
            <v>180682</v>
          </cell>
          <cell r="C70">
            <v>188900.298</v>
          </cell>
          <cell r="D70">
            <v>205355.097</v>
          </cell>
          <cell r="G70">
            <v>257847.1648</v>
          </cell>
        </row>
        <row r="71">
          <cell r="B71">
            <v>100000</v>
          </cell>
          <cell r="C71">
            <v>36000</v>
          </cell>
          <cell r="D71">
            <v>112111.62545</v>
          </cell>
          <cell r="G71">
            <v>94930.3698</v>
          </cell>
        </row>
        <row r="72">
          <cell r="B72">
            <v>280682</v>
          </cell>
          <cell r="C72">
            <v>224900.298</v>
          </cell>
          <cell r="D72">
            <v>317466.72245</v>
          </cell>
          <cell r="G72">
            <v>352777.5346</v>
          </cell>
        </row>
        <row r="75">
          <cell r="B75">
            <v>280682</v>
          </cell>
          <cell r="C75">
            <v>224900.298</v>
          </cell>
          <cell r="D75">
            <v>317466.72245</v>
          </cell>
          <cell r="G75">
            <v>352777.5346</v>
          </cell>
        </row>
        <row r="76">
          <cell r="B76">
            <v>27800</v>
          </cell>
          <cell r="C76">
            <v>36849.851</v>
          </cell>
          <cell r="D76">
            <v>242263.18883</v>
          </cell>
          <cell r="G76">
            <v>398028.16753</v>
          </cell>
        </row>
        <row r="77">
          <cell r="B77">
            <v>27800</v>
          </cell>
          <cell r="C77">
            <v>36849.851</v>
          </cell>
          <cell r="D77">
            <v>242263.18883</v>
          </cell>
          <cell r="G77">
            <v>398028.16753</v>
          </cell>
        </row>
        <row r="79">
          <cell r="B79">
            <v>0</v>
          </cell>
          <cell r="C79">
            <v>0</v>
          </cell>
          <cell r="D79">
            <v>75032.81195</v>
          </cell>
          <cell r="G79">
            <v>82327.24724</v>
          </cell>
        </row>
        <row r="80">
          <cell r="B80">
            <v>231045</v>
          </cell>
          <cell r="C80">
            <v>231045</v>
          </cell>
          <cell r="D80">
            <v>187217.11742</v>
          </cell>
          <cell r="G80">
            <v>59003.31861</v>
          </cell>
        </row>
        <row r="81">
          <cell r="B81">
            <v>231045</v>
          </cell>
          <cell r="C81">
            <v>231045</v>
          </cell>
          <cell r="D81">
            <v>184617.41627</v>
          </cell>
          <cell r="G81">
            <v>57870.19438</v>
          </cell>
        </row>
        <row r="83">
          <cell r="B83">
            <v>258845</v>
          </cell>
          <cell r="C83">
            <v>267894.851</v>
          </cell>
          <cell r="D83">
            <v>504513.1182</v>
          </cell>
          <cell r="G83">
            <v>539358.73338</v>
          </cell>
        </row>
        <row r="84">
          <cell r="B84">
            <v>281773</v>
          </cell>
          <cell r="C84">
            <v>1026473.104</v>
          </cell>
          <cell r="D84">
            <v>179148.78056</v>
          </cell>
          <cell r="G84">
            <v>846462.28397</v>
          </cell>
        </row>
        <row r="85">
          <cell r="B85">
            <v>281773</v>
          </cell>
          <cell r="C85">
            <v>1026473.104</v>
          </cell>
          <cell r="D85">
            <v>179148.78056</v>
          </cell>
          <cell r="G85">
            <v>846462.28397</v>
          </cell>
        </row>
        <row r="87">
          <cell r="B87">
            <v>0</v>
          </cell>
          <cell r="C87">
            <v>0</v>
          </cell>
          <cell r="D87">
            <v>12233.92347</v>
          </cell>
          <cell r="G87">
            <v>11414.52747</v>
          </cell>
        </row>
        <row r="88">
          <cell r="B88">
            <v>0</v>
          </cell>
          <cell r="C88">
            <v>0</v>
          </cell>
          <cell r="D88">
            <v>12233.92347</v>
          </cell>
          <cell r="G88">
            <v>11010.71211</v>
          </cell>
        </row>
        <row r="90">
          <cell r="B90">
            <v>281773</v>
          </cell>
          <cell r="C90">
            <v>1026473.104</v>
          </cell>
          <cell r="D90">
            <v>191382.70403</v>
          </cell>
          <cell r="G90">
            <v>857876.81144</v>
          </cell>
        </row>
        <row r="91">
          <cell r="B91">
            <v>540618</v>
          </cell>
          <cell r="C91">
            <v>1294367.955</v>
          </cell>
          <cell r="D91">
            <v>695895.82223</v>
          </cell>
          <cell r="G91">
            <v>1397235.54482</v>
          </cell>
        </row>
        <row r="92">
          <cell r="B92">
            <v>6762545</v>
          </cell>
          <cell r="C92">
            <v>7516294.955</v>
          </cell>
          <cell r="D92">
            <v>7177216.51372</v>
          </cell>
          <cell r="G92">
            <v>7950598.41806</v>
          </cell>
        </row>
        <row r="93">
          <cell r="B93">
            <v>0</v>
          </cell>
          <cell r="C93">
            <v>0</v>
          </cell>
          <cell r="D93">
            <v>0</v>
          </cell>
          <cell r="G93">
            <v>0</v>
          </cell>
        </row>
        <row r="94">
          <cell r="B94">
            <v>6762545</v>
          </cell>
          <cell r="C94">
            <v>7516294.955</v>
          </cell>
          <cell r="D94">
            <v>7177216.51372</v>
          </cell>
          <cell r="G94">
            <v>7950598.41806</v>
          </cell>
        </row>
        <row r="95">
          <cell r="B95">
            <v>0</v>
          </cell>
          <cell r="C95">
            <v>0</v>
          </cell>
          <cell r="D95">
            <v>0</v>
          </cell>
          <cell r="G95">
            <v>0</v>
          </cell>
        </row>
        <row r="96">
          <cell r="B96">
            <v>21829625</v>
          </cell>
          <cell r="C96">
            <v>22008394.651</v>
          </cell>
          <cell r="D96">
            <v>22308918.77597</v>
          </cell>
          <cell r="G96">
            <v>22189130.31588</v>
          </cell>
        </row>
        <row r="97">
          <cell r="B97">
            <v>3922975</v>
          </cell>
          <cell r="C97">
            <v>4004178.134</v>
          </cell>
          <cell r="D97">
            <v>4083108.20848</v>
          </cell>
          <cell r="G97">
            <v>4076779.84388</v>
          </cell>
        </row>
        <row r="98">
          <cell r="B98">
            <v>17906650</v>
          </cell>
          <cell r="C98">
            <v>18004216.517</v>
          </cell>
          <cell r="D98">
            <v>18225810.56749</v>
          </cell>
          <cell r="G98">
            <v>18112350.472</v>
          </cell>
        </row>
        <row r="102">
          <cell r="B102">
            <v>291065</v>
          </cell>
          <cell r="C102">
            <v>461979.089</v>
          </cell>
          <cell r="D102">
            <v>442779.60736</v>
          </cell>
          <cell r="G102">
            <v>350023.60944</v>
          </cell>
        </row>
        <row r="103">
          <cell r="B103">
            <v>135820</v>
          </cell>
          <cell r="C103">
            <v>121872.837</v>
          </cell>
          <cell r="D103">
            <v>115717.71733</v>
          </cell>
          <cell r="G103">
            <v>133182.785</v>
          </cell>
        </row>
        <row r="104">
          <cell r="B104">
            <v>1280</v>
          </cell>
          <cell r="C104">
            <v>670.549</v>
          </cell>
          <cell r="D104">
            <v>670.549</v>
          </cell>
          <cell r="G104">
            <v>1279.2</v>
          </cell>
        </row>
        <row r="106">
          <cell r="B106">
            <v>43764</v>
          </cell>
          <cell r="C106">
            <v>37914.576</v>
          </cell>
          <cell r="D106">
            <v>24368.327</v>
          </cell>
          <cell r="G106">
            <v>52172.085</v>
          </cell>
        </row>
        <row r="108">
          <cell r="B108">
            <v>0</v>
          </cell>
          <cell r="C108">
            <v>320</v>
          </cell>
          <cell r="D108">
            <v>319.8</v>
          </cell>
        </row>
        <row r="110">
          <cell r="B110">
            <v>110201</v>
          </cell>
          <cell r="C110">
            <v>301201.127</v>
          </cell>
          <cell r="D110">
            <v>301703.21403</v>
          </cell>
          <cell r="G110">
            <v>163389.53944</v>
          </cell>
        </row>
        <row r="111">
          <cell r="B111">
            <v>7454390</v>
          </cell>
          <cell r="C111">
            <v>7514336.815</v>
          </cell>
          <cell r="D111">
            <v>7493499.51434</v>
          </cell>
          <cell r="G111">
            <v>7457553.30074</v>
          </cell>
        </row>
        <row r="112">
          <cell r="B112">
            <v>7454390</v>
          </cell>
          <cell r="C112">
            <v>7514336.815</v>
          </cell>
          <cell r="D112">
            <v>7493499.51434</v>
          </cell>
          <cell r="G112">
            <v>7457553.30074</v>
          </cell>
        </row>
        <row r="113">
          <cell r="B113">
            <v>1488</v>
          </cell>
          <cell r="C113">
            <v>3068.489</v>
          </cell>
          <cell r="D113">
            <v>2977.65</v>
          </cell>
          <cell r="G113">
            <v>1725.039</v>
          </cell>
        </row>
        <row r="114">
          <cell r="B114">
            <v>0</v>
          </cell>
          <cell r="C114">
            <v>8204.114</v>
          </cell>
          <cell r="D114">
            <v>8204.114</v>
          </cell>
          <cell r="G114">
            <v>6175.54</v>
          </cell>
        </row>
        <row r="115">
          <cell r="B115">
            <v>29576568</v>
          </cell>
          <cell r="C115">
            <v>29995983.158</v>
          </cell>
          <cell r="D115">
            <v>30256379.66167</v>
          </cell>
          <cell r="G115">
            <v>30004607.80506</v>
          </cell>
        </row>
        <row r="116">
          <cell r="B116">
            <v>1204221</v>
          </cell>
          <cell r="C116">
            <v>1527914.73099</v>
          </cell>
          <cell r="D116">
            <v>1594999.50587</v>
          </cell>
          <cell r="G116">
            <v>1501410.98442</v>
          </cell>
        </row>
        <row r="117">
          <cell r="B117">
            <v>592</v>
          </cell>
          <cell r="C117">
            <v>1640.04894</v>
          </cell>
          <cell r="D117">
            <v>1466.48841</v>
          </cell>
          <cell r="G117">
            <v>2092.62112</v>
          </cell>
        </row>
        <row r="118">
          <cell r="B118">
            <v>1784376</v>
          </cell>
          <cell r="C118">
            <v>1686168.61495</v>
          </cell>
          <cell r="D118">
            <v>1708913.77775</v>
          </cell>
          <cell r="G118">
            <v>1780408.1389</v>
          </cell>
        </row>
        <row r="119">
          <cell r="B119">
            <v>5048315</v>
          </cell>
          <cell r="C119">
            <v>5610573.42799</v>
          </cell>
          <cell r="D119">
            <v>5430883.51922</v>
          </cell>
          <cell r="G119">
            <v>5372935.38437</v>
          </cell>
        </row>
        <row r="120">
          <cell r="B120">
            <v>885487</v>
          </cell>
          <cell r="C120">
            <v>1213888.42176</v>
          </cell>
          <cell r="D120">
            <v>1294005.76881</v>
          </cell>
          <cell r="G120">
            <v>1369942.44917</v>
          </cell>
        </row>
        <row r="121">
          <cell r="B121">
            <v>410114</v>
          </cell>
          <cell r="C121">
            <v>565894.25705</v>
          </cell>
          <cell r="D121">
            <v>601406.05024</v>
          </cell>
          <cell r="G121">
            <v>639733.08324</v>
          </cell>
        </row>
        <row r="122">
          <cell r="B122">
            <v>140188</v>
          </cell>
          <cell r="C122">
            <v>203840.45216</v>
          </cell>
          <cell r="D122">
            <v>197100.82077</v>
          </cell>
          <cell r="G122">
            <v>176602.53412</v>
          </cell>
        </row>
        <row r="123">
          <cell r="B123">
            <v>250</v>
          </cell>
          <cell r="C123">
            <v>777.15039</v>
          </cell>
          <cell r="D123">
            <v>49.93759</v>
          </cell>
          <cell r="G123">
            <v>8.93764</v>
          </cell>
        </row>
        <row r="124">
          <cell r="B124">
            <v>423942</v>
          </cell>
          <cell r="C124">
            <v>231338.5001</v>
          </cell>
          <cell r="D124">
            <v>226032.11801</v>
          </cell>
          <cell r="G124">
            <v>411343.97877</v>
          </cell>
        </row>
        <row r="125">
          <cell r="B125">
            <v>9347183</v>
          </cell>
          <cell r="C125">
            <v>10272300.89512</v>
          </cell>
          <cell r="D125">
            <v>10256351.11566</v>
          </cell>
          <cell r="G125">
            <v>10438142.49439</v>
          </cell>
        </row>
        <row r="126">
          <cell r="B126">
            <v>127945</v>
          </cell>
          <cell r="C126">
            <v>168207</v>
          </cell>
          <cell r="D126">
            <v>190549.67159</v>
          </cell>
          <cell r="G126">
            <v>147900.338</v>
          </cell>
        </row>
        <row r="127">
          <cell r="B127">
            <v>49403</v>
          </cell>
          <cell r="C127">
            <v>119139.356</v>
          </cell>
          <cell r="D127">
            <v>126520.30317</v>
          </cell>
          <cell r="G127">
            <v>104465.72497</v>
          </cell>
        </row>
        <row r="128">
          <cell r="B128">
            <v>35019</v>
          </cell>
          <cell r="C128">
            <v>84551.4</v>
          </cell>
          <cell r="D128">
            <v>82150.70696</v>
          </cell>
          <cell r="G128">
            <v>68911.12886</v>
          </cell>
        </row>
        <row r="129">
          <cell r="B129">
            <v>0</v>
          </cell>
          <cell r="C129">
            <v>1455.066</v>
          </cell>
          <cell r="D129">
            <v>12425.27078</v>
          </cell>
          <cell r="G129">
            <v>11360.96904</v>
          </cell>
        </row>
        <row r="131">
          <cell r="B131">
            <v>0</v>
          </cell>
          <cell r="C131">
            <v>15</v>
          </cell>
          <cell r="D131">
            <v>0</v>
          </cell>
        </row>
        <row r="133">
          <cell r="B133">
            <v>177348</v>
          </cell>
          <cell r="C133">
            <v>287361.356</v>
          </cell>
          <cell r="D133">
            <v>317069.97476</v>
          </cell>
          <cell r="G133">
            <v>252366.06297</v>
          </cell>
        </row>
        <row r="134">
          <cell r="B134">
            <v>0</v>
          </cell>
          <cell r="C134">
            <v>0</v>
          </cell>
          <cell r="D134">
            <v>3641.18288</v>
          </cell>
          <cell r="G134">
            <v>2721.32088</v>
          </cell>
        </row>
        <row r="135">
          <cell r="B135">
            <v>0</v>
          </cell>
          <cell r="C135">
            <v>0</v>
          </cell>
          <cell r="D135">
            <v>3641.18288</v>
          </cell>
          <cell r="G135">
            <v>2721.32088</v>
          </cell>
        </row>
        <row r="138">
          <cell r="B138">
            <v>108958</v>
          </cell>
          <cell r="C138">
            <v>344356.9764</v>
          </cell>
          <cell r="D138">
            <v>646143.2344</v>
          </cell>
          <cell r="G138">
            <v>332330.31426</v>
          </cell>
        </row>
        <row r="139">
          <cell r="B139">
            <v>41188</v>
          </cell>
          <cell r="C139">
            <v>65752.7074</v>
          </cell>
          <cell r="D139">
            <v>264976.18987</v>
          </cell>
          <cell r="G139">
            <v>213442.80967</v>
          </cell>
        </row>
        <row r="141">
          <cell r="B141">
            <v>67770</v>
          </cell>
          <cell r="C141">
            <v>278604.269</v>
          </cell>
          <cell r="D141">
            <v>381167.04453</v>
          </cell>
          <cell r="G141">
            <v>118887.50459</v>
          </cell>
        </row>
        <row r="145">
          <cell r="B145">
            <v>788235</v>
          </cell>
          <cell r="C145">
            <v>1028870.96998</v>
          </cell>
          <cell r="D145">
            <v>1033029.07688</v>
          </cell>
          <cell r="G145">
            <v>1068741.05482</v>
          </cell>
        </row>
        <row r="146">
          <cell r="B146">
            <v>218298</v>
          </cell>
          <cell r="C146">
            <v>220055.36333</v>
          </cell>
          <cell r="D146">
            <v>223404.94613</v>
          </cell>
          <cell r="G146">
            <v>221890.71229</v>
          </cell>
        </row>
        <row r="147">
          <cell r="B147">
            <v>218298</v>
          </cell>
          <cell r="C147">
            <v>220045.13</v>
          </cell>
          <cell r="D147">
            <v>223394.71362</v>
          </cell>
          <cell r="G147">
            <v>221890.4104</v>
          </cell>
        </row>
        <row r="149">
          <cell r="B149">
            <v>5178</v>
          </cell>
          <cell r="C149">
            <v>43665.29891</v>
          </cell>
          <cell r="D149">
            <v>42409.70998</v>
          </cell>
          <cell r="G149">
            <v>13656.03716</v>
          </cell>
        </row>
        <row r="150">
          <cell r="B150">
            <v>1120669</v>
          </cell>
          <cell r="C150">
            <v>1636948.60862</v>
          </cell>
          <cell r="D150">
            <v>1948628.15027</v>
          </cell>
          <cell r="G150">
            <v>1639339.43941</v>
          </cell>
        </row>
        <row r="151">
          <cell r="B151">
            <v>9727474</v>
          </cell>
          <cell r="C151">
            <v>9727474</v>
          </cell>
          <cell r="D151">
            <v>8633921.94258</v>
          </cell>
          <cell r="G151">
            <v>8606347.99847</v>
          </cell>
        </row>
        <row r="152">
          <cell r="B152">
            <v>19416</v>
          </cell>
          <cell r="C152">
            <v>30890.45203</v>
          </cell>
          <cell r="D152">
            <v>190118.06456</v>
          </cell>
          <cell r="G152">
            <v>98891.09194</v>
          </cell>
        </row>
        <row r="153">
          <cell r="B153">
            <v>10847</v>
          </cell>
          <cell r="C153">
            <v>9304.0788</v>
          </cell>
          <cell r="D153">
            <v>9275.0142</v>
          </cell>
          <cell r="G153">
            <v>9786.65539</v>
          </cell>
        </row>
        <row r="154">
          <cell r="B154">
            <v>9757737</v>
          </cell>
          <cell r="C154">
            <v>9767668.53083</v>
          </cell>
          <cell r="D154">
            <v>8833315.02134</v>
          </cell>
          <cell r="G154">
            <v>8715025.7458</v>
          </cell>
        </row>
        <row r="155">
          <cell r="B155">
            <v>2290</v>
          </cell>
          <cell r="C155">
            <v>8485.67125</v>
          </cell>
          <cell r="D155">
            <v>6539.76561</v>
          </cell>
          <cell r="G155">
            <v>5564.25427</v>
          </cell>
        </row>
        <row r="159">
          <cell r="B159">
            <v>0</v>
          </cell>
          <cell r="C159">
            <v>47500</v>
          </cell>
          <cell r="D159">
            <v>47500</v>
          </cell>
        </row>
        <row r="160">
          <cell r="B160">
            <v>2290</v>
          </cell>
          <cell r="C160">
            <v>55985.67125</v>
          </cell>
          <cell r="D160">
            <v>54039.76561</v>
          </cell>
          <cell r="G160">
            <v>5564.25427</v>
          </cell>
        </row>
        <row r="178">
          <cell r="B178">
            <v>980671</v>
          </cell>
          <cell r="C178">
            <v>57675.72587</v>
          </cell>
          <cell r="D178">
            <v>88905.36165</v>
          </cell>
          <cell r="G178">
            <v>118054.42746</v>
          </cell>
        </row>
        <row r="179">
          <cell r="B179">
            <v>980671</v>
          </cell>
          <cell r="C179">
            <v>57675.72587</v>
          </cell>
          <cell r="D179">
            <v>88905.36165</v>
          </cell>
          <cell r="G179">
            <v>118054.42746</v>
          </cell>
        </row>
        <row r="180">
          <cell r="B180">
            <v>50962466</v>
          </cell>
          <cell r="C180">
            <v>52073923.94569</v>
          </cell>
          <cell r="D180">
            <v>51754689.05096</v>
          </cell>
          <cell r="G180">
            <v>51173100.22936</v>
          </cell>
        </row>
        <row r="181">
          <cell r="B181">
            <v>72907</v>
          </cell>
          <cell r="C181">
            <v>182664.69123</v>
          </cell>
          <cell r="D181">
            <v>382657.83377</v>
          </cell>
          <cell r="G181">
            <v>807084.39556</v>
          </cell>
        </row>
        <row r="182">
          <cell r="B182">
            <v>1226497</v>
          </cell>
          <cell r="C182">
            <v>2726133.86151</v>
          </cell>
          <cell r="D182">
            <v>2436004.27594</v>
          </cell>
          <cell r="G182">
            <v>1318480.51871</v>
          </cell>
        </row>
        <row r="183">
          <cell r="B183">
            <v>100</v>
          </cell>
          <cell r="C183">
            <v>6040.029</v>
          </cell>
          <cell r="D183">
            <v>6100.12943</v>
          </cell>
          <cell r="G183">
            <v>967.64</v>
          </cell>
        </row>
        <row r="184">
          <cell r="B184">
            <v>1299504</v>
          </cell>
          <cell r="C184">
            <v>2914838.58174</v>
          </cell>
          <cell r="D184">
            <v>2824762.23914</v>
          </cell>
          <cell r="G184">
            <v>2126532.55427</v>
          </cell>
        </row>
        <row r="187">
          <cell r="G187">
            <v>3225.358</v>
          </cell>
        </row>
        <row r="188">
          <cell r="G188">
            <v>143.799</v>
          </cell>
        </row>
        <row r="191">
          <cell r="B191">
            <v>30000</v>
          </cell>
          <cell r="C191">
            <v>30700.176</v>
          </cell>
          <cell r="D191">
            <v>37222.05675</v>
          </cell>
          <cell r="G191">
            <v>206976.99045</v>
          </cell>
        </row>
        <row r="192">
          <cell r="B192">
            <v>30000</v>
          </cell>
          <cell r="C192">
            <v>30700.176</v>
          </cell>
          <cell r="D192">
            <v>35202.43975</v>
          </cell>
          <cell r="G192">
            <v>154194.30945</v>
          </cell>
        </row>
        <row r="193">
          <cell r="B193">
            <v>0</v>
          </cell>
          <cell r="C193">
            <v>0</v>
          </cell>
          <cell r="D193">
            <v>2019.617</v>
          </cell>
          <cell r="G193">
            <v>52782.681</v>
          </cell>
        </row>
        <row r="198">
          <cell r="B198">
            <v>0</v>
          </cell>
          <cell r="C198">
            <v>3200</v>
          </cell>
          <cell r="D198">
            <v>3078.966</v>
          </cell>
        </row>
        <row r="202">
          <cell r="B202">
            <v>30000</v>
          </cell>
          <cell r="C202">
            <v>33900.176</v>
          </cell>
          <cell r="D202">
            <v>40301.02275</v>
          </cell>
          <cell r="G202">
            <v>210346.14745</v>
          </cell>
        </row>
        <row r="219">
          <cell r="B219">
            <v>148</v>
          </cell>
          <cell r="C219">
            <v>96021.73657</v>
          </cell>
          <cell r="D219">
            <v>0</v>
          </cell>
          <cell r="G219">
            <v>0</v>
          </cell>
        </row>
        <row r="220">
          <cell r="B220">
            <v>148</v>
          </cell>
          <cell r="C220">
            <v>96021.73657</v>
          </cell>
          <cell r="D220">
            <v>0</v>
          </cell>
          <cell r="G220">
            <v>0</v>
          </cell>
        </row>
        <row r="221">
          <cell r="B221">
            <v>1329652</v>
          </cell>
          <cell r="C221">
            <v>3044760.49431</v>
          </cell>
          <cell r="D221">
            <v>2865063.26189</v>
          </cell>
          <cell r="G221">
            <v>2336878.70172</v>
          </cell>
        </row>
        <row r="222">
          <cell r="B222">
            <v>52292118</v>
          </cell>
          <cell r="C222">
            <v>55118684.44</v>
          </cell>
          <cell r="D222">
            <v>54619752.31285</v>
          </cell>
          <cell r="G222">
            <v>53509978.93108</v>
          </cell>
        </row>
        <row r="223">
          <cell r="B223">
            <v>-45529573</v>
          </cell>
          <cell r="C223">
            <v>-47602389.485</v>
          </cell>
          <cell r="D223">
            <v>-47442535.79913</v>
          </cell>
          <cell r="G223">
            <v>-45559380.51302</v>
          </cell>
        </row>
        <row r="224">
          <cell r="B224">
            <v>0</v>
          </cell>
          <cell r="C224">
            <v>0</v>
          </cell>
          <cell r="D224">
            <v>0</v>
          </cell>
          <cell r="F224" t="str">
            <v>EMPTY</v>
          </cell>
          <cell r="G224">
            <v>0</v>
          </cell>
        </row>
        <row r="225">
          <cell r="B225">
            <v>52292118</v>
          </cell>
          <cell r="C225">
            <v>55118684.44</v>
          </cell>
          <cell r="D225">
            <v>54619752.31285</v>
          </cell>
          <cell r="G225">
            <v>53509978.93108</v>
          </cell>
        </row>
        <row r="226">
          <cell r="B226">
            <v>0</v>
          </cell>
          <cell r="C226">
            <v>0</v>
          </cell>
          <cell r="D226">
            <v>0</v>
          </cell>
          <cell r="F226" t="str">
            <v>EMPTY</v>
          </cell>
          <cell r="G226">
            <v>0</v>
          </cell>
        </row>
        <row r="227">
          <cell r="B227">
            <v>0</v>
          </cell>
          <cell r="C227">
            <v>0</v>
          </cell>
          <cell r="D227">
            <v>0</v>
          </cell>
          <cell r="F227" t="str">
            <v>FINANCOVÁNÍ</v>
          </cell>
          <cell r="G227">
            <v>0</v>
          </cell>
        </row>
        <row r="255">
          <cell r="B255">
            <v>-45529573</v>
          </cell>
          <cell r="C255">
            <v>-47602389.485</v>
          </cell>
          <cell r="D255">
            <v>-47442535.79913</v>
          </cell>
          <cell r="G255">
            <v>-45559380.51302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4:I22"/>
  <sheetViews>
    <sheetView tabSelected="1" zoomScalePageLayoutView="0" workbookViewId="0" topLeftCell="F1">
      <selection activeCell="F20" sqref="F20"/>
    </sheetView>
  </sheetViews>
  <sheetFormatPr defaultColWidth="9.00390625" defaultRowHeight="12.75"/>
  <cols>
    <col min="1" max="16384" width="9.125" style="40" customWidth="1"/>
  </cols>
  <sheetData>
    <row r="14" spans="1:9" ht="18">
      <c r="A14" s="3" t="s">
        <v>92</v>
      </c>
      <c r="B14" s="3"/>
      <c r="C14" s="3"/>
      <c r="D14" s="3"/>
      <c r="E14" s="3"/>
      <c r="F14" s="3"/>
      <c r="G14" s="3"/>
      <c r="H14" s="3"/>
      <c r="I14" s="3"/>
    </row>
    <row r="15" spans="1:9" ht="12.75" customHeight="1">
      <c r="A15" s="39"/>
      <c r="B15" s="39"/>
      <c r="C15" s="39"/>
      <c r="D15" s="39"/>
      <c r="E15" s="39"/>
      <c r="F15" s="39"/>
      <c r="G15" s="39"/>
      <c r="H15" s="39"/>
      <c r="I15" s="39"/>
    </row>
    <row r="16" spans="1:9" ht="18">
      <c r="A16" s="2" t="s">
        <v>93</v>
      </c>
      <c r="B16" s="2"/>
      <c r="C16" s="2"/>
      <c r="D16" s="2"/>
      <c r="E16" s="2"/>
      <c r="F16" s="2"/>
      <c r="G16" s="2"/>
      <c r="H16" s="2"/>
      <c r="I16" s="2"/>
    </row>
    <row r="17" spans="1:9" ht="12.75" customHeight="1">
      <c r="A17" s="39"/>
      <c r="B17" s="39"/>
      <c r="C17" s="39"/>
      <c r="D17" s="39"/>
      <c r="E17" s="39"/>
      <c r="F17" s="39"/>
      <c r="G17" s="39"/>
      <c r="H17" s="39"/>
      <c r="I17" s="39"/>
    </row>
    <row r="18" spans="1:9" ht="18">
      <c r="A18" s="2" t="s">
        <v>68</v>
      </c>
      <c r="B18" s="2"/>
      <c r="C18" s="2"/>
      <c r="D18" s="2"/>
      <c r="E18" s="2"/>
      <c r="F18" s="2"/>
      <c r="G18" s="2"/>
      <c r="H18" s="2"/>
      <c r="I18" s="2"/>
    </row>
    <row r="19" spans="1:9" ht="18">
      <c r="A19" s="39"/>
      <c r="B19" s="39"/>
      <c r="C19" s="39"/>
      <c r="D19" s="39"/>
      <c r="E19" s="39"/>
      <c r="F19" s="39"/>
      <c r="G19" s="39"/>
      <c r="H19" s="39"/>
      <c r="I19" s="39"/>
    </row>
    <row r="20" spans="1:9" ht="18">
      <c r="A20" s="39"/>
      <c r="B20" s="39"/>
      <c r="C20" s="39"/>
      <c r="D20" s="39"/>
      <c r="E20" s="39"/>
      <c r="F20" s="39"/>
      <c r="G20" s="39"/>
      <c r="H20" s="39"/>
      <c r="I20" s="39"/>
    </row>
    <row r="21" spans="1:9" ht="18">
      <c r="A21" s="39"/>
      <c r="B21" s="39"/>
      <c r="C21" s="39"/>
      <c r="D21" s="39"/>
      <c r="E21" s="39"/>
      <c r="F21" s="39"/>
      <c r="G21" s="39"/>
      <c r="H21" s="39"/>
      <c r="I21" s="39"/>
    </row>
    <row r="22" spans="1:9" ht="18">
      <c r="A22" s="2" t="s">
        <v>94</v>
      </c>
      <c r="B22" s="2"/>
      <c r="C22" s="2"/>
      <c r="D22" s="2"/>
      <c r="E22" s="2"/>
      <c r="F22" s="2"/>
      <c r="G22" s="2"/>
      <c r="H22" s="2"/>
      <c r="I22" s="2"/>
    </row>
  </sheetData>
  <sheetProtection/>
  <mergeCells count="4">
    <mergeCell ref="A14:I14"/>
    <mergeCell ref="A16:I16"/>
    <mergeCell ref="A18:I18"/>
    <mergeCell ref="A22:I2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Q100"/>
  <sheetViews>
    <sheetView tabSelected="1" zoomScale="75" zoomScaleNormal="75" zoomScaleSheetLayoutView="75" zoomScalePageLayoutView="0" workbookViewId="0" topLeftCell="B37">
      <selection activeCell="F20" sqref="F20"/>
    </sheetView>
  </sheetViews>
  <sheetFormatPr defaultColWidth="9.00390625" defaultRowHeight="12.75"/>
  <cols>
    <col min="1" max="1" width="6.625" style="43" customWidth="1"/>
    <col min="2" max="2" width="12.125" style="43" customWidth="1"/>
    <col min="3" max="3" width="51.00390625" style="43" customWidth="1"/>
    <col min="4" max="4" width="14.125" style="43" customWidth="1"/>
    <col min="5" max="5" width="15.00390625" style="43" customWidth="1"/>
    <col min="6" max="6" width="13.625" style="43" customWidth="1"/>
    <col min="7" max="7" width="15.375" style="43" customWidth="1"/>
    <col min="8" max="8" width="15.875" style="43" customWidth="1"/>
    <col min="9" max="9" width="16.00390625" style="43" bestFit="1" customWidth="1"/>
    <col min="10" max="10" width="13.875" style="43" customWidth="1"/>
    <col min="11" max="11" width="15.125" style="43" customWidth="1"/>
    <col min="12" max="12" width="15.875" style="43" customWidth="1"/>
    <col min="13" max="13" width="13.125" style="43" bestFit="1" customWidth="1"/>
    <col min="14" max="15" width="13.625" style="43" customWidth="1"/>
    <col min="16" max="16" width="5.375" style="43" customWidth="1"/>
    <col min="17" max="16384" width="9.125" style="43" customWidth="1"/>
  </cols>
  <sheetData>
    <row r="1" spans="2:15" s="481" customFormat="1" ht="19.5" customHeight="1">
      <c r="B1" s="1448" t="s">
        <v>134</v>
      </c>
      <c r="C1" s="1448"/>
      <c r="D1" s="479"/>
      <c r="E1" s="479"/>
      <c r="F1" s="479"/>
      <c r="G1" s="479"/>
      <c r="H1" s="479"/>
      <c r="I1" s="479"/>
      <c r="J1" s="480"/>
      <c r="K1" s="479"/>
      <c r="N1" s="1469" t="s">
        <v>615</v>
      </c>
      <c r="O1" s="1469"/>
    </row>
    <row r="2" spans="2:15" s="481" customFormat="1" ht="21.75" customHeight="1">
      <c r="B2" s="1449" t="s">
        <v>521</v>
      </c>
      <c r="C2" s="1449"/>
      <c r="D2" s="1449"/>
      <c r="E2" s="1449"/>
      <c r="F2" s="1449"/>
      <c r="G2" s="1449"/>
      <c r="H2" s="1449"/>
      <c r="I2" s="1449"/>
      <c r="J2" s="1449"/>
      <c r="K2" s="1449"/>
      <c r="L2" s="1449"/>
      <c r="M2" s="1449"/>
      <c r="N2" s="1449"/>
      <c r="O2" s="481" t="s">
        <v>616</v>
      </c>
    </row>
    <row r="3" spans="3:15" ht="9" customHeight="1">
      <c r="C3" s="1184"/>
      <c r="D3" s="145"/>
      <c r="E3" s="145"/>
      <c r="F3" s="145"/>
      <c r="G3" s="145"/>
      <c r="H3" s="145"/>
      <c r="I3" s="145"/>
      <c r="J3" s="145"/>
      <c r="K3" s="145"/>
      <c r="N3" s="1464"/>
      <c r="O3" s="1464"/>
    </row>
    <row r="4" spans="3:14" ht="20.25" customHeight="1">
      <c r="C4" s="1465" t="s">
        <v>522</v>
      </c>
      <c r="D4" s="1465"/>
      <c r="E4" s="1465"/>
      <c r="F4" s="1465"/>
      <c r="G4" s="1465"/>
      <c r="H4" s="1465"/>
      <c r="I4" s="1465"/>
      <c r="J4" s="1465"/>
      <c r="K4" s="1465"/>
      <c r="L4" s="1465"/>
      <c r="M4" s="1465"/>
      <c r="N4" s="1465"/>
    </row>
    <row r="5" spans="2:15" ht="15" customHeight="1">
      <c r="B5" s="1471" t="s">
        <v>523</v>
      </c>
      <c r="C5" s="1472"/>
      <c r="D5" s="1472"/>
      <c r="E5" s="1472"/>
      <c r="F5" s="1472"/>
      <c r="G5" s="1472"/>
      <c r="H5" s="1472"/>
      <c r="I5" s="1472"/>
      <c r="J5" s="1472"/>
      <c r="K5" s="1472"/>
      <c r="L5" s="1472"/>
      <c r="M5" s="1472"/>
      <c r="N5" s="1472"/>
      <c r="O5" s="1472"/>
    </row>
    <row r="6" spans="3:15" ht="6.75" customHeight="1" thickBot="1"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5" t="s">
        <v>524</v>
      </c>
    </row>
    <row r="7" spans="2:15" ht="15" customHeight="1">
      <c r="B7" s="1420" t="s">
        <v>525</v>
      </c>
      <c r="C7" s="1421"/>
      <c r="D7" s="1466" t="s">
        <v>526</v>
      </c>
      <c r="E7" s="1467"/>
      <c r="F7" s="1467"/>
      <c r="G7" s="1467"/>
      <c r="H7" s="1467"/>
      <c r="I7" s="1468"/>
      <c r="J7" s="1450" t="s">
        <v>527</v>
      </c>
      <c r="K7" s="1451"/>
      <c r="L7" s="1452"/>
      <c r="M7" s="1456" t="s">
        <v>528</v>
      </c>
      <c r="N7" s="1451"/>
      <c r="O7" s="1457"/>
    </row>
    <row r="8" spans="2:15" ht="15" customHeight="1">
      <c r="B8" s="1437"/>
      <c r="C8" s="1423"/>
      <c r="D8" s="1460" t="s">
        <v>132</v>
      </c>
      <c r="E8" s="1461"/>
      <c r="F8" s="1462"/>
      <c r="G8" s="1463" t="s">
        <v>138</v>
      </c>
      <c r="H8" s="1461"/>
      <c r="I8" s="1461"/>
      <c r="J8" s="1453"/>
      <c r="K8" s="1454"/>
      <c r="L8" s="1455"/>
      <c r="M8" s="1458"/>
      <c r="N8" s="1454"/>
      <c r="O8" s="1459"/>
    </row>
    <row r="9" spans="2:15" ht="43.5" customHeight="1">
      <c r="B9" s="1424"/>
      <c r="C9" s="1425"/>
      <c r="D9" s="148" t="s">
        <v>529</v>
      </c>
      <c r="E9" s="149" t="s">
        <v>530</v>
      </c>
      <c r="F9" s="150" t="s">
        <v>531</v>
      </c>
      <c r="G9" s="151" t="s">
        <v>529</v>
      </c>
      <c r="H9" s="149" t="s">
        <v>530</v>
      </c>
      <c r="I9" s="150" t="s">
        <v>531</v>
      </c>
      <c r="J9" s="148" t="s">
        <v>529</v>
      </c>
      <c r="K9" s="149" t="s">
        <v>530</v>
      </c>
      <c r="L9" s="150" t="s">
        <v>531</v>
      </c>
      <c r="M9" s="151" t="s">
        <v>529</v>
      </c>
      <c r="N9" s="149" t="s">
        <v>530</v>
      </c>
      <c r="O9" s="152" t="s">
        <v>531</v>
      </c>
    </row>
    <row r="10" spans="2:17" ht="15" customHeight="1" thickBot="1">
      <c r="B10" s="153"/>
      <c r="C10" s="154" t="s">
        <v>532</v>
      </c>
      <c r="D10" s="155">
        <v>1</v>
      </c>
      <c r="E10" s="156">
        <v>2</v>
      </c>
      <c r="F10" s="157">
        <v>3</v>
      </c>
      <c r="G10" s="156">
        <v>4</v>
      </c>
      <c r="H10" s="156">
        <v>5</v>
      </c>
      <c r="I10" s="157">
        <v>6</v>
      </c>
      <c r="J10" s="155">
        <v>10</v>
      </c>
      <c r="K10" s="156">
        <v>11</v>
      </c>
      <c r="L10" s="157">
        <v>12</v>
      </c>
      <c r="M10" s="158" t="s">
        <v>533</v>
      </c>
      <c r="N10" s="157" t="s">
        <v>534</v>
      </c>
      <c r="O10" s="159" t="s">
        <v>535</v>
      </c>
      <c r="P10" s="160"/>
      <c r="Q10" s="160"/>
    </row>
    <row r="11" spans="2:15" s="161" customFormat="1" ht="15" customHeight="1" thickBot="1">
      <c r="B11" s="1416" t="s">
        <v>536</v>
      </c>
      <c r="C11" s="1417"/>
      <c r="D11" s="1417"/>
      <c r="E11" s="1417"/>
      <c r="F11" s="1417"/>
      <c r="G11" s="1417"/>
      <c r="H11" s="1417"/>
      <c r="I11" s="1417"/>
      <c r="J11" s="1417"/>
      <c r="K11" s="1417"/>
      <c r="L11" s="1417"/>
      <c r="M11" s="1417"/>
      <c r="N11" s="1417"/>
      <c r="O11" s="1418"/>
    </row>
    <row r="12" spans="2:15" ht="12" customHeight="1">
      <c r="B12" s="167"/>
      <c r="C12" s="168" t="s">
        <v>537</v>
      </c>
      <c r="D12" s="169"/>
      <c r="E12" s="170"/>
      <c r="F12" s="170"/>
      <c r="G12" s="170"/>
      <c r="H12" s="170"/>
      <c r="I12" s="170"/>
      <c r="J12" s="169"/>
      <c r="K12" s="170"/>
      <c r="L12" s="171"/>
      <c r="M12" s="172"/>
      <c r="N12" s="172"/>
      <c r="O12" s="173"/>
    </row>
    <row r="13" spans="2:15" s="181" customFormat="1" ht="12" customHeight="1">
      <c r="B13" s="174"/>
      <c r="C13" s="238" t="s">
        <v>538</v>
      </c>
      <c r="D13" s="175"/>
      <c r="E13" s="176"/>
      <c r="F13" s="176"/>
      <c r="G13" s="176"/>
      <c r="H13" s="176"/>
      <c r="I13" s="176"/>
      <c r="J13" s="175"/>
      <c r="K13" s="177"/>
      <c r="L13" s="178"/>
      <c r="M13" s="179"/>
      <c r="N13" s="179"/>
      <c r="O13" s="180"/>
    </row>
    <row r="14" spans="2:15" s="181" customFormat="1" ht="12" customHeight="1">
      <c r="B14" s="182"/>
      <c r="C14" s="183" t="s">
        <v>539</v>
      </c>
      <c r="D14" s="184"/>
      <c r="E14" s="185"/>
      <c r="F14" s="185"/>
      <c r="G14" s="185"/>
      <c r="H14" s="185"/>
      <c r="I14" s="185"/>
      <c r="J14" s="184"/>
      <c r="K14" s="185"/>
      <c r="L14" s="186"/>
      <c r="M14" s="187"/>
      <c r="N14" s="187"/>
      <c r="O14" s="188"/>
    </row>
    <row r="15" spans="2:15" s="196" customFormat="1" ht="12" customHeight="1" thickBot="1">
      <c r="B15" s="189"/>
      <c r="C15" s="190" t="s">
        <v>540</v>
      </c>
      <c r="D15" s="191"/>
      <c r="E15" s="192"/>
      <c r="F15" s="192"/>
      <c r="G15" s="192"/>
      <c r="H15" s="192"/>
      <c r="I15" s="192"/>
      <c r="J15" s="191"/>
      <c r="K15" s="192"/>
      <c r="L15" s="193"/>
      <c r="M15" s="194"/>
      <c r="N15" s="194"/>
      <c r="O15" s="195"/>
    </row>
    <row r="16" spans="2:15" s="161" customFormat="1" ht="18.75" customHeight="1" thickBot="1">
      <c r="B16" s="1431" t="s">
        <v>541</v>
      </c>
      <c r="C16" s="1432"/>
      <c r="D16" s="1432"/>
      <c r="E16" s="1432"/>
      <c r="F16" s="1432"/>
      <c r="G16" s="1432"/>
      <c r="H16" s="1432"/>
      <c r="I16" s="1432"/>
      <c r="J16" s="1432"/>
      <c r="K16" s="1432"/>
      <c r="L16" s="1432"/>
      <c r="M16" s="1432"/>
      <c r="N16" s="1432"/>
      <c r="O16" s="1433"/>
    </row>
    <row r="17" spans="2:15" ht="15" customHeight="1">
      <c r="B17" s="197">
        <v>33</v>
      </c>
      <c r="C17" s="198" t="s">
        <v>542</v>
      </c>
      <c r="D17" s="199">
        <v>2304</v>
      </c>
      <c r="E17" s="200">
        <v>11015</v>
      </c>
      <c r="F17" s="200">
        <f>SUM(D17:E17)</f>
        <v>13319</v>
      </c>
      <c r="G17" s="201">
        <v>2484.1</v>
      </c>
      <c r="H17" s="200">
        <v>12035.55</v>
      </c>
      <c r="I17" s="202">
        <f>SUM(G17:H17)</f>
        <v>14519.65</v>
      </c>
      <c r="J17" s="201">
        <v>17923.32</v>
      </c>
      <c r="K17" s="200">
        <v>350720.8</v>
      </c>
      <c r="L17" s="200">
        <f>SUM(J17:K17)</f>
        <v>368644.12</v>
      </c>
      <c r="M17" s="203">
        <f aca="true" t="shared" si="0" ref="M17:M28">J17/G17</f>
        <v>7.2152</v>
      </c>
      <c r="N17" s="203">
        <f aca="true" t="shared" si="1" ref="N17:N28">K17/H17</f>
        <v>29.1404</v>
      </c>
      <c r="O17" s="204">
        <f aca="true" t="shared" si="2" ref="O17:O28">L17/I17</f>
        <v>25.3893</v>
      </c>
    </row>
    <row r="18" spans="2:15" ht="15" customHeight="1">
      <c r="B18" s="205">
        <v>36</v>
      </c>
      <c r="C18" s="206" t="s">
        <v>543</v>
      </c>
      <c r="D18" s="207">
        <v>56508</v>
      </c>
      <c r="E18" s="208">
        <v>250181</v>
      </c>
      <c r="F18" s="208">
        <f>SUM(D18:E18)</f>
        <v>306689</v>
      </c>
      <c r="G18" s="209">
        <v>66507.85</v>
      </c>
      <c r="H18" s="208">
        <v>990097.15</v>
      </c>
      <c r="I18" s="210">
        <f>SUM(G18:H18)</f>
        <v>1056605</v>
      </c>
      <c r="J18" s="209">
        <v>201262.36</v>
      </c>
      <c r="K18" s="208">
        <v>1183190.55</v>
      </c>
      <c r="L18" s="208">
        <f>SUM(J18:K18)</f>
        <v>1384452.91</v>
      </c>
      <c r="M18" s="211">
        <f t="shared" si="0"/>
        <v>3.0261</v>
      </c>
      <c r="N18" s="211">
        <f t="shared" si="1"/>
        <v>1.195</v>
      </c>
      <c r="O18" s="212">
        <f t="shared" si="2"/>
        <v>1.3103</v>
      </c>
    </row>
    <row r="19" spans="2:15" ht="15" customHeight="1">
      <c r="B19" s="205">
        <v>32</v>
      </c>
      <c r="C19" s="206" t="s">
        <v>544</v>
      </c>
      <c r="D19" s="207">
        <v>0</v>
      </c>
      <c r="E19" s="208">
        <v>0</v>
      </c>
      <c r="F19" s="208">
        <f>SUM(D19:E19)</f>
        <v>0</v>
      </c>
      <c r="G19" s="209">
        <v>0</v>
      </c>
      <c r="H19" s="208">
        <v>0</v>
      </c>
      <c r="I19" s="210">
        <f>SUM(G19:H19)</f>
        <v>0</v>
      </c>
      <c r="J19" s="209">
        <v>125.98</v>
      </c>
      <c r="K19" s="208">
        <v>713.9</v>
      </c>
      <c r="L19" s="208">
        <f>SUM(J19:K19)</f>
        <v>839.88</v>
      </c>
      <c r="M19" s="211" t="e">
        <f t="shared" si="0"/>
        <v>#DIV/0!</v>
      </c>
      <c r="N19" s="211" t="e">
        <f t="shared" si="1"/>
        <v>#DIV/0!</v>
      </c>
      <c r="O19" s="212" t="e">
        <f t="shared" si="2"/>
        <v>#DIV/0!</v>
      </c>
    </row>
    <row r="20" spans="2:15" ht="15" customHeight="1">
      <c r="B20" s="205">
        <v>41</v>
      </c>
      <c r="C20" s="206" t="s">
        <v>545</v>
      </c>
      <c r="D20" s="207">
        <v>449</v>
      </c>
      <c r="E20" s="208">
        <v>2537</v>
      </c>
      <c r="F20" s="208">
        <f>SUM(D20:E20)</f>
        <v>2986</v>
      </c>
      <c r="G20" s="209">
        <v>449</v>
      </c>
      <c r="H20" s="208">
        <v>2537</v>
      </c>
      <c r="I20" s="210">
        <f>SUM(G20:H20)</f>
        <v>2986</v>
      </c>
      <c r="J20" s="209">
        <v>1333.86</v>
      </c>
      <c r="K20" s="208">
        <v>6990.04</v>
      </c>
      <c r="L20" s="208">
        <f>SUM(J20:K20)</f>
        <v>8323.9</v>
      </c>
      <c r="M20" s="211">
        <f t="shared" si="0"/>
        <v>2.9707</v>
      </c>
      <c r="N20" s="211">
        <f t="shared" si="1"/>
        <v>2.7552</v>
      </c>
      <c r="O20" s="212">
        <f t="shared" si="2"/>
        <v>2.7876</v>
      </c>
    </row>
    <row r="21" spans="2:15" ht="15" customHeight="1">
      <c r="B21" s="167">
        <v>54</v>
      </c>
      <c r="C21" s="213" t="s">
        <v>546</v>
      </c>
      <c r="D21" s="214">
        <v>8952</v>
      </c>
      <c r="E21" s="215">
        <v>48377</v>
      </c>
      <c r="F21" s="208">
        <f>SUM(D21:E21)</f>
        <v>57329</v>
      </c>
      <c r="G21" s="215">
        <v>9893.65</v>
      </c>
      <c r="H21" s="215">
        <v>61190.25</v>
      </c>
      <c r="I21" s="210">
        <f>SUM(G21:H21)</f>
        <v>71083.9</v>
      </c>
      <c r="J21" s="216">
        <v>6736.63</v>
      </c>
      <c r="K21" s="215">
        <v>31448.99</v>
      </c>
      <c r="L21" s="208">
        <f>SUM(J21:K21)</f>
        <v>38185.62</v>
      </c>
      <c r="M21" s="211">
        <f t="shared" si="0"/>
        <v>0.6809</v>
      </c>
      <c r="N21" s="211">
        <f t="shared" si="1"/>
        <v>0.514</v>
      </c>
      <c r="O21" s="217">
        <f t="shared" si="2"/>
        <v>0.5372</v>
      </c>
    </row>
    <row r="22" spans="2:15" s="181" customFormat="1" ht="15" customHeight="1">
      <c r="B22" s="218"/>
      <c r="C22" s="1185" t="s">
        <v>538</v>
      </c>
      <c r="D22" s="1186">
        <f aca="true" t="shared" si="3" ref="D22:L22">SUM(D17:D21)</f>
        <v>68213</v>
      </c>
      <c r="E22" s="1187">
        <f t="shared" si="3"/>
        <v>312110</v>
      </c>
      <c r="F22" s="1187">
        <f t="shared" si="3"/>
        <v>380323</v>
      </c>
      <c r="G22" s="1187">
        <f t="shared" si="3"/>
        <v>79334.6</v>
      </c>
      <c r="H22" s="1187">
        <f t="shared" si="3"/>
        <v>1065859.95</v>
      </c>
      <c r="I22" s="1188">
        <f t="shared" si="3"/>
        <v>1145194.55</v>
      </c>
      <c r="J22" s="1189">
        <f t="shared" si="3"/>
        <v>227382.15</v>
      </c>
      <c r="K22" s="1187">
        <f t="shared" si="3"/>
        <v>1573064.28</v>
      </c>
      <c r="L22" s="1187">
        <f t="shared" si="3"/>
        <v>1800446.43</v>
      </c>
      <c r="M22" s="1190">
        <f t="shared" si="0"/>
        <v>2.8661</v>
      </c>
      <c r="N22" s="1190">
        <f t="shared" si="1"/>
        <v>1.4759</v>
      </c>
      <c r="O22" s="1191">
        <f t="shared" si="2"/>
        <v>1.5722</v>
      </c>
    </row>
    <row r="23" spans="2:15" ht="15" customHeight="1">
      <c r="B23" s="219">
        <v>47</v>
      </c>
      <c r="C23" s="220" t="s">
        <v>547</v>
      </c>
      <c r="D23" s="207">
        <v>37508</v>
      </c>
      <c r="E23" s="208">
        <v>225246</v>
      </c>
      <c r="F23" s="208">
        <f>SUM(D23:E23)</f>
        <v>262754</v>
      </c>
      <c r="G23" s="209">
        <v>35816</v>
      </c>
      <c r="H23" s="208">
        <v>219270</v>
      </c>
      <c r="I23" s="210">
        <f>SUM(G23:H23)</f>
        <v>255086</v>
      </c>
      <c r="J23" s="221">
        <v>22233.49</v>
      </c>
      <c r="K23" s="222">
        <v>168467.117</v>
      </c>
      <c r="L23" s="223">
        <f>SUM(J23:K23)</f>
        <v>190700.61</v>
      </c>
      <c r="M23" s="224">
        <f t="shared" si="0"/>
        <v>0.62</v>
      </c>
      <c r="N23" s="224">
        <f t="shared" si="1"/>
        <v>0.77</v>
      </c>
      <c r="O23" s="225">
        <f t="shared" si="2"/>
        <v>0.75</v>
      </c>
    </row>
    <row r="24" spans="2:15" ht="15" customHeight="1">
      <c r="B24" s="226">
        <v>47</v>
      </c>
      <c r="C24" s="206" t="s">
        <v>548</v>
      </c>
      <c r="D24" s="207">
        <v>8010</v>
      </c>
      <c r="E24" s="208">
        <v>1262</v>
      </c>
      <c r="F24" s="208">
        <f>SUM(D24:E24)</f>
        <v>9272</v>
      </c>
      <c r="G24" s="215">
        <v>783.222</v>
      </c>
      <c r="H24" s="215">
        <v>1262</v>
      </c>
      <c r="I24" s="210">
        <f>SUM(G24:H24)</f>
        <v>2045.22</v>
      </c>
      <c r="J24" s="227">
        <v>444.6</v>
      </c>
      <c r="K24" s="228">
        <v>2869.86</v>
      </c>
      <c r="L24" s="208">
        <f>SUM(J24:K24)</f>
        <v>3314.46</v>
      </c>
      <c r="M24" s="229">
        <f t="shared" si="0"/>
        <v>0.57</v>
      </c>
      <c r="N24" s="229">
        <f t="shared" si="1"/>
        <v>2.27</v>
      </c>
      <c r="O24" s="230">
        <f t="shared" si="2"/>
        <v>1.62</v>
      </c>
    </row>
    <row r="25" spans="2:15" ht="15" customHeight="1">
      <c r="B25" s="233"/>
      <c r="C25" s="1192" t="s">
        <v>549</v>
      </c>
      <c r="D25" s="1193">
        <f aca="true" t="shared" si="4" ref="D25:L25">SUM(D23:D24)</f>
        <v>45518</v>
      </c>
      <c r="E25" s="1187">
        <f t="shared" si="4"/>
        <v>226508</v>
      </c>
      <c r="F25" s="1187">
        <f t="shared" si="4"/>
        <v>272026</v>
      </c>
      <c r="G25" s="1187">
        <f t="shared" si="4"/>
        <v>36599.22</v>
      </c>
      <c r="H25" s="1187">
        <f t="shared" si="4"/>
        <v>220532</v>
      </c>
      <c r="I25" s="1188">
        <f t="shared" si="4"/>
        <v>257131.22</v>
      </c>
      <c r="J25" s="1194">
        <f t="shared" si="4"/>
        <v>22678.09</v>
      </c>
      <c r="K25" s="1187">
        <f t="shared" si="4"/>
        <v>171336.98</v>
      </c>
      <c r="L25" s="1187">
        <f t="shared" si="4"/>
        <v>194015.07</v>
      </c>
      <c r="M25" s="1190">
        <f t="shared" si="0"/>
        <v>0.6196</v>
      </c>
      <c r="N25" s="1190">
        <f t="shared" si="1"/>
        <v>0.7769</v>
      </c>
      <c r="O25" s="1191">
        <f t="shared" si="2"/>
        <v>0.7545</v>
      </c>
    </row>
    <row r="26" spans="2:15" ht="15" customHeight="1">
      <c r="B26" s="226">
        <v>46</v>
      </c>
      <c r="C26" s="478" t="s">
        <v>550</v>
      </c>
      <c r="D26" s="469">
        <v>0</v>
      </c>
      <c r="E26" s="470">
        <v>0</v>
      </c>
      <c r="F26" s="471">
        <f>SUM(D26:E26)</f>
        <v>0</v>
      </c>
      <c r="G26" s="470">
        <v>0</v>
      </c>
      <c r="H26" s="470">
        <v>0</v>
      </c>
      <c r="I26" s="472">
        <f>SUM(G26:H26)</f>
        <v>0</v>
      </c>
      <c r="J26" s="473">
        <v>0</v>
      </c>
      <c r="K26" s="470">
        <f>39.8</f>
        <v>39.8</v>
      </c>
      <c r="L26" s="470">
        <f>SUM(J26:K26)</f>
        <v>39.8</v>
      </c>
      <c r="M26" s="474" t="e">
        <f t="shared" si="0"/>
        <v>#DIV/0!</v>
      </c>
      <c r="N26" s="475" t="e">
        <f t="shared" si="1"/>
        <v>#DIV/0!</v>
      </c>
      <c r="O26" s="476" t="e">
        <f t="shared" si="2"/>
        <v>#DIV/0!</v>
      </c>
    </row>
    <row r="27" spans="2:15" ht="15" customHeight="1">
      <c r="B27" s="226">
        <v>46</v>
      </c>
      <c r="C27" s="477" t="s">
        <v>551</v>
      </c>
      <c r="D27" s="231">
        <v>500</v>
      </c>
      <c r="E27" s="232">
        <v>2000</v>
      </c>
      <c r="F27" s="208">
        <f>SUM(D27:E27)</f>
        <v>2500</v>
      </c>
      <c r="G27" s="232">
        <v>500</v>
      </c>
      <c r="H27" s="232">
        <v>2000</v>
      </c>
      <c r="I27" s="210">
        <f>SUM(G27:H27)</f>
        <v>2500</v>
      </c>
      <c r="J27" s="227">
        <v>310.76</v>
      </c>
      <c r="K27" s="228">
        <v>1654.05</v>
      </c>
      <c r="L27" s="468">
        <f>SUM(J27:K27)</f>
        <v>1964.81</v>
      </c>
      <c r="M27" s="229">
        <f t="shared" si="0"/>
        <v>0.62</v>
      </c>
      <c r="N27" s="211">
        <f t="shared" si="1"/>
        <v>0.827</v>
      </c>
      <c r="O27" s="212">
        <f t="shared" si="2"/>
        <v>0.7859</v>
      </c>
    </row>
    <row r="28" spans="2:15" s="196" customFormat="1" ht="15" customHeight="1" thickBot="1">
      <c r="B28" s="236"/>
      <c r="C28" s="1195" t="s">
        <v>540</v>
      </c>
      <c r="D28" s="1196">
        <f aca="true" t="shared" si="5" ref="D28:L28">D27+D26+D25+D22</f>
        <v>114231</v>
      </c>
      <c r="E28" s="1197">
        <f t="shared" si="5"/>
        <v>540618</v>
      </c>
      <c r="F28" s="1197">
        <f t="shared" si="5"/>
        <v>654849</v>
      </c>
      <c r="G28" s="1197">
        <f t="shared" si="5"/>
        <v>116433.82</v>
      </c>
      <c r="H28" s="1197">
        <f t="shared" si="5"/>
        <v>1288391.95</v>
      </c>
      <c r="I28" s="1198">
        <f t="shared" si="5"/>
        <v>1404825.77</v>
      </c>
      <c r="J28" s="1199">
        <f t="shared" si="5"/>
        <v>250371</v>
      </c>
      <c r="K28" s="1196">
        <f t="shared" si="5"/>
        <v>1746095.11</v>
      </c>
      <c r="L28" s="1196">
        <f t="shared" si="5"/>
        <v>1996466.11</v>
      </c>
      <c r="M28" s="1200">
        <f t="shared" si="0"/>
        <v>2.1503</v>
      </c>
      <c r="N28" s="1200">
        <f t="shared" si="1"/>
        <v>1.3553</v>
      </c>
      <c r="O28" s="1201">
        <f t="shared" si="2"/>
        <v>1.4211</v>
      </c>
    </row>
    <row r="29" spans="2:15" s="161" customFormat="1" ht="15" customHeight="1" thickBot="1">
      <c r="B29" s="1416" t="s">
        <v>552</v>
      </c>
      <c r="C29" s="1417"/>
      <c r="D29" s="1435"/>
      <c r="E29" s="1435"/>
      <c r="F29" s="1435"/>
      <c r="G29" s="1435"/>
      <c r="H29" s="1435"/>
      <c r="I29" s="1435"/>
      <c r="J29" s="1417"/>
      <c r="K29" s="1417"/>
      <c r="L29" s="1417"/>
      <c r="M29" s="1417"/>
      <c r="N29" s="1417"/>
      <c r="O29" s="1418"/>
    </row>
    <row r="30" spans="2:15" ht="15" customHeight="1">
      <c r="B30" s="197"/>
      <c r="C30" s="237" t="s">
        <v>537</v>
      </c>
      <c r="D30" s="162"/>
      <c r="E30" s="163"/>
      <c r="F30" s="163"/>
      <c r="G30" s="163"/>
      <c r="H30" s="163"/>
      <c r="I30" s="163"/>
      <c r="J30" s="162"/>
      <c r="K30" s="163"/>
      <c r="L30" s="164"/>
      <c r="M30" s="165"/>
      <c r="N30" s="165"/>
      <c r="O30" s="166"/>
    </row>
    <row r="31" spans="2:15" ht="15" customHeight="1">
      <c r="B31" s="167"/>
      <c r="C31" s="168" t="s">
        <v>537</v>
      </c>
      <c r="D31" s="169"/>
      <c r="E31" s="170"/>
      <c r="F31" s="170"/>
      <c r="G31" s="170"/>
      <c r="H31" s="170"/>
      <c r="I31" s="170"/>
      <c r="J31" s="169"/>
      <c r="K31" s="170"/>
      <c r="L31" s="171"/>
      <c r="M31" s="172"/>
      <c r="N31" s="172"/>
      <c r="O31" s="173"/>
    </row>
    <row r="32" spans="2:15" s="181" customFormat="1" ht="15" customHeight="1">
      <c r="B32" s="218"/>
      <c r="C32" s="238" t="s">
        <v>538</v>
      </c>
      <c r="D32" s="239"/>
      <c r="E32" s="177"/>
      <c r="F32" s="177"/>
      <c r="G32" s="177"/>
      <c r="H32" s="177"/>
      <c r="I32" s="177"/>
      <c r="J32" s="239"/>
      <c r="K32" s="177"/>
      <c r="L32" s="178"/>
      <c r="M32" s="179"/>
      <c r="N32" s="179"/>
      <c r="O32" s="180"/>
    </row>
    <row r="33" spans="2:15" ht="15" customHeight="1">
      <c r="B33" s="219"/>
      <c r="C33" s="240" t="s">
        <v>553</v>
      </c>
      <c r="D33" s="241"/>
      <c r="E33" s="242"/>
      <c r="F33" s="242"/>
      <c r="G33" s="242"/>
      <c r="H33" s="242"/>
      <c r="I33" s="242"/>
      <c r="J33" s="241"/>
      <c r="K33" s="242"/>
      <c r="L33" s="243"/>
      <c r="M33" s="244"/>
      <c r="N33" s="244"/>
      <c r="O33" s="245"/>
    </row>
    <row r="34" spans="2:15" ht="15" customHeight="1">
      <c r="B34" s="233"/>
      <c r="C34" s="246" t="s">
        <v>549</v>
      </c>
      <c r="D34" s="247"/>
      <c r="E34" s="248"/>
      <c r="F34" s="248"/>
      <c r="G34" s="248"/>
      <c r="H34" s="248"/>
      <c r="I34" s="248"/>
      <c r="J34" s="247"/>
      <c r="K34" s="248"/>
      <c r="L34" s="249"/>
      <c r="M34" s="250"/>
      <c r="N34" s="250"/>
      <c r="O34" s="251"/>
    </row>
    <row r="35" spans="2:15" ht="15" customHeight="1">
      <c r="B35" s="226"/>
      <c r="C35" s="183" t="s">
        <v>539</v>
      </c>
      <c r="D35" s="231"/>
      <c r="E35" s="232"/>
      <c r="F35" s="232"/>
      <c r="G35" s="232"/>
      <c r="H35" s="232"/>
      <c r="I35" s="232"/>
      <c r="J35" s="231"/>
      <c r="K35" s="232"/>
      <c r="L35" s="252"/>
      <c r="M35" s="253"/>
      <c r="N35" s="253"/>
      <c r="O35" s="254"/>
    </row>
    <row r="36" spans="2:15" ht="15" customHeight="1" thickBot="1">
      <c r="B36" s="255"/>
      <c r="C36" s="190" t="s">
        <v>540</v>
      </c>
      <c r="D36" s="256"/>
      <c r="E36" s="257"/>
      <c r="F36" s="257"/>
      <c r="G36" s="257"/>
      <c r="H36" s="257"/>
      <c r="I36" s="257"/>
      <c r="J36" s="256"/>
      <c r="K36" s="257"/>
      <c r="L36" s="258"/>
      <c r="M36" s="259"/>
      <c r="N36" s="259"/>
      <c r="O36" s="260"/>
    </row>
    <row r="37" spans="2:15" ht="14.25" customHeight="1" thickBot="1">
      <c r="B37" s="1429" t="s">
        <v>554</v>
      </c>
      <c r="C37" s="1430"/>
      <c r="D37" s="261"/>
      <c r="E37" s="262"/>
      <c r="F37" s="262"/>
      <c r="G37" s="262"/>
      <c r="H37" s="262"/>
      <c r="I37" s="263"/>
      <c r="J37" s="261"/>
      <c r="K37" s="262"/>
      <c r="L37" s="262"/>
      <c r="M37" s="262"/>
      <c r="N37" s="262"/>
      <c r="O37" s="263"/>
    </row>
    <row r="38" spans="2:15" ht="8.25" customHeight="1" thickBot="1">
      <c r="B38" s="264"/>
      <c r="C38" s="265"/>
      <c r="D38" s="266"/>
      <c r="E38" s="266"/>
      <c r="F38" s="266"/>
      <c r="G38" s="266"/>
      <c r="H38" s="266"/>
      <c r="I38" s="266"/>
      <c r="J38" s="266"/>
      <c r="K38" s="266"/>
      <c r="L38" s="266"/>
      <c r="M38" s="267"/>
      <c r="N38" s="267"/>
      <c r="O38" s="267"/>
    </row>
    <row r="39" spans="2:15" ht="15" customHeight="1" thickBot="1">
      <c r="B39" s="1420" t="s">
        <v>555</v>
      </c>
      <c r="C39" s="1436"/>
      <c r="D39" s="1439" t="s">
        <v>556</v>
      </c>
      <c r="E39" s="1440"/>
      <c r="F39" s="1440"/>
      <c r="G39" s="1440"/>
      <c r="H39" s="1440"/>
      <c r="I39" s="1441"/>
      <c r="J39" s="266"/>
      <c r="K39" s="266"/>
      <c r="L39" s="266"/>
      <c r="M39" s="267"/>
      <c r="N39" s="267"/>
      <c r="O39" s="267"/>
    </row>
    <row r="40" spans="2:15" ht="15" customHeight="1">
      <c r="B40" s="1437"/>
      <c r="C40" s="1438"/>
      <c r="D40" s="1427" t="s">
        <v>557</v>
      </c>
      <c r="E40" s="1428"/>
      <c r="F40" s="1434"/>
      <c r="G40" s="1428" t="s">
        <v>558</v>
      </c>
      <c r="H40" s="1428"/>
      <c r="I40" s="1434"/>
      <c r="J40" s="266"/>
      <c r="K40" s="266"/>
      <c r="L40" s="266"/>
      <c r="M40" s="267"/>
      <c r="N40" s="267"/>
      <c r="O40" s="267"/>
    </row>
    <row r="41" spans="2:15" ht="39.75" customHeight="1">
      <c r="B41" s="1437"/>
      <c r="C41" s="1438"/>
      <c r="D41" s="148" t="s">
        <v>529</v>
      </c>
      <c r="E41" s="149" t="s">
        <v>530</v>
      </c>
      <c r="F41" s="268" t="s">
        <v>531</v>
      </c>
      <c r="G41" s="147" t="s">
        <v>529</v>
      </c>
      <c r="H41" s="149" t="s">
        <v>530</v>
      </c>
      <c r="I41" s="152" t="s">
        <v>531</v>
      </c>
      <c r="J41" s="266"/>
      <c r="K41" s="266"/>
      <c r="L41" s="266"/>
      <c r="M41" s="267"/>
      <c r="N41" s="267"/>
      <c r="O41" s="267"/>
    </row>
    <row r="42" spans="2:15" ht="15" customHeight="1" thickBot="1">
      <c r="B42" s="269" t="s">
        <v>559</v>
      </c>
      <c r="C42" s="270" t="s">
        <v>532</v>
      </c>
      <c r="D42" s="271">
        <v>16</v>
      </c>
      <c r="E42" s="158">
        <v>17</v>
      </c>
      <c r="F42" s="272">
        <v>18</v>
      </c>
      <c r="G42" s="273">
        <v>19</v>
      </c>
      <c r="H42" s="274">
        <v>20</v>
      </c>
      <c r="I42" s="272">
        <v>21</v>
      </c>
      <c r="J42" s="266"/>
      <c r="K42" s="266"/>
      <c r="L42" s="266"/>
      <c r="M42" s="267"/>
      <c r="N42" s="267"/>
      <c r="O42" s="267"/>
    </row>
    <row r="43" spans="2:15" ht="15" customHeight="1" thickBot="1">
      <c r="B43" s="1416" t="s">
        <v>536</v>
      </c>
      <c r="C43" s="1417"/>
      <c r="D43" s="1417"/>
      <c r="E43" s="1417"/>
      <c r="F43" s="1417"/>
      <c r="G43" s="1417"/>
      <c r="H43" s="1417"/>
      <c r="I43" s="1418"/>
      <c r="J43" s="328"/>
      <c r="K43" s="328"/>
      <c r="L43" s="328"/>
      <c r="M43" s="328"/>
      <c r="N43" s="328"/>
      <c r="O43" s="328"/>
    </row>
    <row r="44" spans="2:15" ht="11.25" customHeight="1">
      <c r="B44" s="197"/>
      <c r="C44" s="237" t="s">
        <v>537</v>
      </c>
      <c r="D44" s="162"/>
      <c r="E44" s="163"/>
      <c r="F44" s="275"/>
      <c r="G44" s="276"/>
      <c r="H44" s="163"/>
      <c r="I44" s="275"/>
      <c r="J44" s="266"/>
      <c r="K44" s="266"/>
      <c r="L44" s="266"/>
      <c r="M44" s="267"/>
      <c r="N44" s="267"/>
      <c r="O44" s="267"/>
    </row>
    <row r="45" spans="2:15" ht="11.25" customHeight="1">
      <c r="B45" s="167"/>
      <c r="C45" s="168" t="s">
        <v>537</v>
      </c>
      <c r="D45" s="169"/>
      <c r="E45" s="170"/>
      <c r="F45" s="277"/>
      <c r="G45" s="278"/>
      <c r="H45" s="170"/>
      <c r="I45" s="277"/>
      <c r="J45" s="266"/>
      <c r="K45" s="266"/>
      <c r="L45" s="266"/>
      <c r="M45" s="267"/>
      <c r="N45" s="267"/>
      <c r="O45" s="267"/>
    </row>
    <row r="46" spans="2:15" ht="11.25" customHeight="1">
      <c r="B46" s="218"/>
      <c r="C46" s="238" t="s">
        <v>538</v>
      </c>
      <c r="D46" s="239"/>
      <c r="E46" s="177"/>
      <c r="F46" s="279"/>
      <c r="G46" s="280"/>
      <c r="H46" s="177"/>
      <c r="I46" s="279"/>
      <c r="J46" s="281"/>
      <c r="K46" s="281"/>
      <c r="L46" s="281"/>
      <c r="M46" s="282"/>
      <c r="N46" s="282"/>
      <c r="O46" s="282"/>
    </row>
    <row r="47" spans="2:15" ht="11.25" customHeight="1">
      <c r="B47" s="182"/>
      <c r="C47" s="183" t="s">
        <v>539</v>
      </c>
      <c r="D47" s="184"/>
      <c r="E47" s="185"/>
      <c r="F47" s="283"/>
      <c r="G47" s="284"/>
      <c r="H47" s="185"/>
      <c r="I47" s="283"/>
      <c r="J47" s="281"/>
      <c r="K47" s="281"/>
      <c r="L47" s="281"/>
      <c r="M47" s="282"/>
      <c r="N47" s="282"/>
      <c r="O47" s="282"/>
    </row>
    <row r="48" spans="2:15" ht="11.25" customHeight="1" thickBot="1">
      <c r="B48" s="189"/>
      <c r="C48" s="190" t="s">
        <v>540</v>
      </c>
      <c r="D48" s="285"/>
      <c r="E48" s="286"/>
      <c r="F48" s="287"/>
      <c r="G48" s="288"/>
      <c r="H48" s="192"/>
      <c r="I48" s="289"/>
      <c r="J48" s="290"/>
      <c r="K48" s="290"/>
      <c r="L48" s="290"/>
      <c r="M48" s="291"/>
      <c r="N48" s="291"/>
      <c r="O48" s="291"/>
    </row>
    <row r="49" spans="2:15" ht="15" customHeight="1" thickBot="1">
      <c r="B49" s="1416" t="s">
        <v>541</v>
      </c>
      <c r="C49" s="1417"/>
      <c r="D49" s="1417"/>
      <c r="E49" s="1417"/>
      <c r="F49" s="1417"/>
      <c r="G49" s="1417"/>
      <c r="H49" s="1417"/>
      <c r="I49" s="1418"/>
      <c r="J49" s="328"/>
      <c r="K49" s="328"/>
      <c r="L49" s="328"/>
      <c r="M49" s="328"/>
      <c r="N49" s="328"/>
      <c r="O49" s="328"/>
    </row>
    <row r="50" spans="2:15" ht="15" customHeight="1">
      <c r="B50" s="197">
        <v>33</v>
      </c>
      <c r="C50" s="237" t="s">
        <v>542</v>
      </c>
      <c r="D50" s="199">
        <v>1.17</v>
      </c>
      <c r="E50" s="200">
        <v>2.44</v>
      </c>
      <c r="F50" s="202">
        <f>SUM(D50:E50)</f>
        <v>3.61</v>
      </c>
      <c r="G50" s="201">
        <v>215115.32</v>
      </c>
      <c r="H50" s="200">
        <v>623030.74</v>
      </c>
      <c r="I50" s="202">
        <f>SUM(G50:H50)</f>
        <v>838146.06</v>
      </c>
      <c r="J50" s="266"/>
      <c r="K50" s="292"/>
      <c r="L50" s="293"/>
      <c r="M50" s="267"/>
      <c r="N50" s="267"/>
      <c r="O50" s="267"/>
    </row>
    <row r="51" spans="2:15" ht="15" customHeight="1">
      <c r="B51" s="205">
        <v>36</v>
      </c>
      <c r="C51" s="294" t="s">
        <v>543</v>
      </c>
      <c r="D51" s="207">
        <v>439578.62</v>
      </c>
      <c r="E51" s="208">
        <v>62997.2</v>
      </c>
      <c r="F51" s="210">
        <f>SUM(D51:E51)</f>
        <v>502575.82</v>
      </c>
      <c r="G51" s="209">
        <v>942133.58</v>
      </c>
      <c r="H51" s="208">
        <v>2706381.45</v>
      </c>
      <c r="I51" s="210">
        <f>SUM(G51:H51)</f>
        <v>3648515.03</v>
      </c>
      <c r="J51" s="266"/>
      <c r="K51" s="292"/>
      <c r="L51" s="293"/>
      <c r="M51" s="267"/>
      <c r="N51" s="267"/>
      <c r="O51" s="267"/>
    </row>
    <row r="52" spans="2:15" ht="15" customHeight="1">
      <c r="B52" s="205">
        <v>32</v>
      </c>
      <c r="C52" s="294" t="s">
        <v>544</v>
      </c>
      <c r="D52" s="207">
        <v>0</v>
      </c>
      <c r="E52" s="208">
        <v>0</v>
      </c>
      <c r="F52" s="210">
        <f>SUM(D52:E52)</f>
        <v>0</v>
      </c>
      <c r="G52" s="207">
        <v>66.29</v>
      </c>
      <c r="H52" s="208">
        <v>373.97</v>
      </c>
      <c r="I52" s="210">
        <f>SUM(G52:H52)</f>
        <v>440.26</v>
      </c>
      <c r="J52" s="266"/>
      <c r="K52" s="292"/>
      <c r="L52" s="293"/>
      <c r="M52" s="267"/>
      <c r="N52" s="267"/>
      <c r="O52" s="267"/>
    </row>
    <row r="53" spans="2:15" ht="15" customHeight="1">
      <c r="B53" s="205">
        <v>41</v>
      </c>
      <c r="C53" s="294" t="s">
        <v>545</v>
      </c>
      <c r="D53" s="207">
        <v>0</v>
      </c>
      <c r="E53" s="208">
        <v>0</v>
      </c>
      <c r="F53" s="210">
        <f>SUM(D53:E53)</f>
        <v>0</v>
      </c>
      <c r="G53" s="209">
        <v>1225.74</v>
      </c>
      <c r="H53" s="208">
        <v>6402.22</v>
      </c>
      <c r="I53" s="210">
        <f>SUM(G53:H53)</f>
        <v>7627.96</v>
      </c>
      <c r="J53" s="266"/>
      <c r="K53" s="292"/>
      <c r="L53" s="293"/>
      <c r="M53" s="267"/>
      <c r="N53" s="267"/>
      <c r="O53" s="267"/>
    </row>
    <row r="54" spans="2:15" ht="15" customHeight="1">
      <c r="B54" s="167">
        <v>54</v>
      </c>
      <c r="C54" s="168" t="s">
        <v>546</v>
      </c>
      <c r="D54" s="214">
        <v>11023.55</v>
      </c>
      <c r="E54" s="215">
        <v>46830.2</v>
      </c>
      <c r="F54" s="210">
        <f>SUM(D54:E54)</f>
        <v>57853.75</v>
      </c>
      <c r="G54" s="216">
        <v>38529.32</v>
      </c>
      <c r="H54" s="215">
        <v>141012.22</v>
      </c>
      <c r="I54" s="210">
        <f>SUM(G54:H54)</f>
        <v>179541.54</v>
      </c>
      <c r="J54" s="266"/>
      <c r="K54" s="292"/>
      <c r="L54" s="293"/>
      <c r="M54" s="267"/>
      <c r="N54" s="267"/>
      <c r="O54" s="267"/>
    </row>
    <row r="55" spans="2:15" ht="15" customHeight="1">
      <c r="B55" s="218"/>
      <c r="C55" s="238" t="s">
        <v>538</v>
      </c>
      <c r="D55" s="1193">
        <f aca="true" t="shared" si="6" ref="D55:I55">SUM(D50:D54)</f>
        <v>450603.34</v>
      </c>
      <c r="E55" s="1187">
        <f t="shared" si="6"/>
        <v>109829.84</v>
      </c>
      <c r="F55" s="1188">
        <f t="shared" si="6"/>
        <v>560433.18</v>
      </c>
      <c r="G55" s="1194">
        <f t="shared" si="6"/>
        <v>1197070.25</v>
      </c>
      <c r="H55" s="1187">
        <f t="shared" si="6"/>
        <v>3477200.6</v>
      </c>
      <c r="I55" s="1202">
        <f t="shared" si="6"/>
        <v>4674270.85</v>
      </c>
      <c r="J55" s="281"/>
      <c r="K55" s="295"/>
      <c r="L55" s="293"/>
      <c r="M55" s="282"/>
      <c r="N55" s="282"/>
      <c r="O55" s="282"/>
    </row>
    <row r="56" spans="2:15" ht="15" customHeight="1">
      <c r="B56" s="219">
        <v>47</v>
      </c>
      <c r="C56" s="240" t="s">
        <v>560</v>
      </c>
      <c r="D56" s="296">
        <v>785.87</v>
      </c>
      <c r="E56" s="222">
        <v>207712.46</v>
      </c>
      <c r="F56" s="210">
        <f>SUM(D56:E56)</f>
        <v>208498.33</v>
      </c>
      <c r="G56" s="221">
        <v>31288.92</v>
      </c>
      <c r="H56" s="222">
        <v>360881.52</v>
      </c>
      <c r="I56" s="210">
        <f>SUM(G56:H56)</f>
        <v>392170.44</v>
      </c>
      <c r="J56" s="281"/>
      <c r="K56" s="295"/>
      <c r="L56" s="293"/>
      <c r="M56" s="282"/>
      <c r="N56" s="282"/>
      <c r="O56" s="282"/>
    </row>
    <row r="57" spans="2:15" ht="15" customHeight="1">
      <c r="B57" s="226">
        <v>47</v>
      </c>
      <c r="C57" s="294" t="s">
        <v>548</v>
      </c>
      <c r="D57" s="234">
        <v>6919.25</v>
      </c>
      <c r="E57" s="228">
        <v>3856.79</v>
      </c>
      <c r="F57" s="210">
        <f>SUM(D57:E57)</f>
        <v>10776.04</v>
      </c>
      <c r="G57" s="227">
        <v>7996.92</v>
      </c>
      <c r="H57" s="228">
        <v>5462.06</v>
      </c>
      <c r="I57" s="210">
        <f>SUM(G57:H57)</f>
        <v>13458.98</v>
      </c>
      <c r="J57" s="281"/>
      <c r="K57" s="295"/>
      <c r="L57" s="293"/>
      <c r="M57" s="282"/>
      <c r="N57" s="282"/>
      <c r="O57" s="282"/>
    </row>
    <row r="58" spans="2:15" ht="15" customHeight="1">
      <c r="B58" s="233"/>
      <c r="C58" s="246" t="s">
        <v>549</v>
      </c>
      <c r="D58" s="1193">
        <f aca="true" t="shared" si="7" ref="D58:I58">SUM(D56:D57)</f>
        <v>7705.12</v>
      </c>
      <c r="E58" s="1187">
        <f t="shared" si="7"/>
        <v>211569.25</v>
      </c>
      <c r="F58" s="1188">
        <f t="shared" si="7"/>
        <v>219274.37</v>
      </c>
      <c r="G58" s="1194">
        <f t="shared" si="7"/>
        <v>39285.84</v>
      </c>
      <c r="H58" s="1187">
        <f t="shared" si="7"/>
        <v>366343.58</v>
      </c>
      <c r="I58" s="1202">
        <f t="shared" si="7"/>
        <v>405629.42</v>
      </c>
      <c r="J58" s="281"/>
      <c r="K58" s="295"/>
      <c r="L58" s="293"/>
      <c r="M58" s="282"/>
      <c r="N58" s="282"/>
      <c r="O58" s="282"/>
    </row>
    <row r="59" spans="2:15" ht="15" customHeight="1">
      <c r="B59" s="226">
        <v>46</v>
      </c>
      <c r="C59" s="240" t="s">
        <v>551</v>
      </c>
      <c r="D59" s="231">
        <v>0</v>
      </c>
      <c r="E59" s="232">
        <v>0</v>
      </c>
      <c r="F59" s="210">
        <f>SUM(D59:E59)</f>
        <v>0</v>
      </c>
      <c r="G59" s="227">
        <v>759.166</v>
      </c>
      <c r="H59" s="228">
        <v>2342.02</v>
      </c>
      <c r="I59" s="210">
        <f>SUM(G59:H59)</f>
        <v>3101.19</v>
      </c>
      <c r="J59" s="281"/>
      <c r="K59" s="295"/>
      <c r="L59" s="293"/>
      <c r="M59" s="282"/>
      <c r="N59" s="282"/>
      <c r="O59" s="282"/>
    </row>
    <row r="60" spans="2:15" ht="15" customHeight="1">
      <c r="B60" s="226">
        <v>46</v>
      </c>
      <c r="C60" s="1348" t="s">
        <v>550</v>
      </c>
      <c r="D60" s="231">
        <v>0</v>
      </c>
      <c r="E60" s="232">
        <v>0</v>
      </c>
      <c r="F60" s="210">
        <v>0</v>
      </c>
      <c r="G60" s="227">
        <v>0</v>
      </c>
      <c r="H60" s="228">
        <v>4.44</v>
      </c>
      <c r="I60" s="210">
        <f>SUM(G60:H60)</f>
        <v>4.44</v>
      </c>
      <c r="J60" s="281"/>
      <c r="K60" s="295"/>
      <c r="L60" s="293"/>
      <c r="M60" s="282"/>
      <c r="N60" s="282"/>
      <c r="O60" s="282"/>
    </row>
    <row r="61" spans="2:15" s="196" customFormat="1" ht="15" customHeight="1" thickBot="1">
      <c r="B61" s="236"/>
      <c r="C61" s="190" t="s">
        <v>540</v>
      </c>
      <c r="D61" s="1196">
        <f aca="true" t="shared" si="8" ref="D61:I61">D59+D58+D55+D60</f>
        <v>458308.46</v>
      </c>
      <c r="E61" s="1196">
        <f t="shared" si="8"/>
        <v>321399.09</v>
      </c>
      <c r="F61" s="1196">
        <f t="shared" si="8"/>
        <v>779707.55</v>
      </c>
      <c r="G61" s="1196">
        <f t="shared" si="8"/>
        <v>1237115.26</v>
      </c>
      <c r="H61" s="1196">
        <f t="shared" si="8"/>
        <v>3845890.64</v>
      </c>
      <c r="I61" s="1196">
        <f t="shared" si="8"/>
        <v>5083005.9</v>
      </c>
      <c r="J61" s="290"/>
      <c r="K61" s="293"/>
      <c r="L61" s="293"/>
      <c r="M61" s="291"/>
      <c r="N61" s="291"/>
      <c r="O61" s="291"/>
    </row>
    <row r="62" spans="2:15" ht="15" customHeight="1" thickBot="1">
      <c r="B62" s="1416" t="s">
        <v>561</v>
      </c>
      <c r="C62" s="1417"/>
      <c r="D62" s="1417"/>
      <c r="E62" s="1417"/>
      <c r="F62" s="1417"/>
      <c r="G62" s="1417"/>
      <c r="H62" s="1417"/>
      <c r="I62" s="1418"/>
      <c r="J62" s="266"/>
      <c r="K62" s="292"/>
      <c r="L62" s="292"/>
      <c r="M62" s="267"/>
      <c r="N62" s="267"/>
      <c r="O62" s="267"/>
    </row>
    <row r="63" spans="2:15" ht="12" customHeight="1">
      <c r="B63" s="197"/>
      <c r="C63" s="237" t="s">
        <v>537</v>
      </c>
      <c r="D63" s="162"/>
      <c r="E63" s="163"/>
      <c r="F63" s="163"/>
      <c r="G63" s="163"/>
      <c r="H63" s="163"/>
      <c r="I63" s="275"/>
      <c r="J63" s="266"/>
      <c r="K63" s="292"/>
      <c r="L63" s="292"/>
      <c r="M63" s="267"/>
      <c r="N63" s="267"/>
      <c r="O63" s="267"/>
    </row>
    <row r="64" spans="2:15" ht="12" customHeight="1">
      <c r="B64" s="167"/>
      <c r="C64" s="168" t="s">
        <v>537</v>
      </c>
      <c r="D64" s="169"/>
      <c r="E64" s="170"/>
      <c r="F64" s="170"/>
      <c r="G64" s="170"/>
      <c r="H64" s="170"/>
      <c r="I64" s="277"/>
      <c r="J64" s="266"/>
      <c r="K64" s="266"/>
      <c r="L64" s="266"/>
      <c r="M64" s="267"/>
      <c r="N64" s="267"/>
      <c r="O64" s="267"/>
    </row>
    <row r="65" spans="2:15" ht="12" customHeight="1">
      <c r="B65" s="218"/>
      <c r="C65" s="238" t="s">
        <v>538</v>
      </c>
      <c r="D65" s="239"/>
      <c r="E65" s="177"/>
      <c r="F65" s="177"/>
      <c r="G65" s="177"/>
      <c r="H65" s="177"/>
      <c r="I65" s="279"/>
      <c r="J65" s="266"/>
      <c r="K65" s="266"/>
      <c r="L65" s="292"/>
      <c r="M65" s="267"/>
      <c r="N65" s="267"/>
      <c r="O65" s="267"/>
    </row>
    <row r="66" spans="2:15" ht="12" customHeight="1">
      <c r="B66" s="219"/>
      <c r="C66" s="240" t="s">
        <v>553</v>
      </c>
      <c r="D66" s="241"/>
      <c r="E66" s="242"/>
      <c r="F66" s="242"/>
      <c r="G66" s="242"/>
      <c r="H66" s="242"/>
      <c r="I66" s="297"/>
      <c r="J66" s="266"/>
      <c r="K66" s="266"/>
      <c r="L66" s="266"/>
      <c r="M66" s="267"/>
      <c r="N66" s="267"/>
      <c r="O66" s="267"/>
    </row>
    <row r="67" spans="2:15" ht="12" customHeight="1">
      <c r="B67" s="233"/>
      <c r="C67" s="246" t="s">
        <v>549</v>
      </c>
      <c r="D67" s="247"/>
      <c r="E67" s="248"/>
      <c r="F67" s="248"/>
      <c r="G67" s="248"/>
      <c r="H67" s="248"/>
      <c r="I67" s="298"/>
      <c r="J67" s="266"/>
      <c r="K67" s="266"/>
      <c r="L67" s="266"/>
      <c r="M67" s="267"/>
      <c r="N67" s="267"/>
      <c r="O67" s="267"/>
    </row>
    <row r="68" spans="2:15" ht="12" customHeight="1">
      <c r="B68" s="226"/>
      <c r="C68" s="183" t="s">
        <v>539</v>
      </c>
      <c r="D68" s="231"/>
      <c r="E68" s="232"/>
      <c r="F68" s="232"/>
      <c r="G68" s="232"/>
      <c r="H68" s="232"/>
      <c r="I68" s="299"/>
      <c r="J68" s="266"/>
      <c r="K68" s="266"/>
      <c r="L68" s="266"/>
      <c r="M68" s="267"/>
      <c r="N68" s="267"/>
      <c r="O68" s="267"/>
    </row>
    <row r="69" spans="2:15" ht="9.75" customHeight="1" thickBot="1">
      <c r="B69" s="255"/>
      <c r="C69" s="190" t="s">
        <v>540</v>
      </c>
      <c r="D69" s="256"/>
      <c r="E69" s="257"/>
      <c r="F69" s="257"/>
      <c r="G69" s="257"/>
      <c r="H69" s="257"/>
      <c r="I69" s="300"/>
      <c r="J69" s="1203"/>
      <c r="K69" s="1203"/>
      <c r="L69" s="1203"/>
      <c r="M69" s="1203"/>
      <c r="N69" s="1203"/>
      <c r="O69" s="1203"/>
    </row>
    <row r="70" spans="2:15" ht="15.75" customHeight="1" thickBot="1">
      <c r="B70" s="1429" t="s">
        <v>554</v>
      </c>
      <c r="C70" s="1430"/>
      <c r="D70" s="261"/>
      <c r="E70" s="262"/>
      <c r="F70" s="262"/>
      <c r="G70" s="262"/>
      <c r="H70" s="262"/>
      <c r="I70" s="263"/>
      <c r="J70" s="301"/>
      <c r="K70" s="301"/>
      <c r="L70" s="301"/>
      <c r="M70" s="301"/>
      <c r="N70" s="301"/>
      <c r="O70" s="301"/>
    </row>
    <row r="71" ht="9.75" customHeight="1"/>
    <row r="72" spans="2:15" s="492" customFormat="1" ht="15" customHeight="1">
      <c r="B72" s="492" t="s">
        <v>595</v>
      </c>
      <c r="I72" s="492" t="s">
        <v>594</v>
      </c>
      <c r="J72" s="492" t="s">
        <v>597</v>
      </c>
      <c r="M72" s="1470" t="s">
        <v>83</v>
      </c>
      <c r="N72" s="1470"/>
      <c r="O72" s="1470"/>
    </row>
    <row r="73" ht="19.5" customHeight="1"/>
    <row r="74" spans="14:15" ht="19.5" customHeight="1">
      <c r="N74" s="1469" t="s">
        <v>615</v>
      </c>
      <c r="O74" s="1469"/>
    </row>
    <row r="75" spans="2:15" s="492" customFormat="1" ht="19.5" customHeight="1">
      <c r="B75" s="1448" t="s">
        <v>134</v>
      </c>
      <c r="C75" s="1448"/>
      <c r="D75" s="1183"/>
      <c r="E75" s="1183"/>
      <c r="F75" s="1183"/>
      <c r="G75" s="1183"/>
      <c r="H75" s="1183"/>
      <c r="I75" s="1183"/>
      <c r="J75" s="1183"/>
      <c r="K75" s="1183"/>
      <c r="N75" s="515"/>
      <c r="O75" s="492" t="s">
        <v>617</v>
      </c>
    </row>
    <row r="76" spans="3:15" ht="6" customHeight="1">
      <c r="C76" s="1184"/>
      <c r="D76" s="145"/>
      <c r="E76" s="145"/>
      <c r="F76" s="145"/>
      <c r="G76" s="145"/>
      <c r="H76" s="145"/>
      <c r="I76" s="145"/>
      <c r="J76" s="145"/>
      <c r="K76" s="145"/>
      <c r="N76" s="145"/>
      <c r="O76" s="145"/>
    </row>
    <row r="77" spans="3:14" s="492" customFormat="1" ht="24" customHeight="1">
      <c r="C77" s="1419" t="s">
        <v>562</v>
      </c>
      <c r="D77" s="1419"/>
      <c r="E77" s="1419"/>
      <c r="F77" s="1419"/>
      <c r="G77" s="1419"/>
      <c r="H77" s="1419"/>
      <c r="I77" s="1419"/>
      <c r="J77" s="1419"/>
      <c r="K77" s="1419"/>
      <c r="L77" s="1419"/>
      <c r="M77" s="1419"/>
      <c r="N77" s="1419"/>
    </row>
    <row r="78" spans="3:15" ht="14.25" customHeight="1" thickBot="1">
      <c r="C78" s="146"/>
      <c r="D78" s="146"/>
      <c r="E78" s="146"/>
      <c r="F78" s="146"/>
      <c r="G78" s="146"/>
      <c r="H78" s="146"/>
      <c r="I78" s="146"/>
      <c r="J78" s="146"/>
      <c r="K78" s="146"/>
      <c r="L78" s="146"/>
      <c r="M78" s="146"/>
      <c r="N78" s="146"/>
      <c r="O78" s="145" t="s">
        <v>524</v>
      </c>
    </row>
    <row r="79" spans="2:15" ht="15" customHeight="1">
      <c r="B79" s="1420" t="s">
        <v>563</v>
      </c>
      <c r="C79" s="1421"/>
      <c r="D79" s="1420" t="s">
        <v>526</v>
      </c>
      <c r="E79" s="1426"/>
      <c r="F79" s="1426"/>
      <c r="G79" s="1426"/>
      <c r="H79" s="1426"/>
      <c r="I79" s="1426"/>
      <c r="J79" s="1420" t="s">
        <v>527</v>
      </c>
      <c r="K79" s="1426"/>
      <c r="L79" s="1426"/>
      <c r="M79" s="1473" t="s">
        <v>528</v>
      </c>
      <c r="N79" s="1426"/>
      <c r="O79" s="1436"/>
    </row>
    <row r="80" spans="2:15" ht="15" customHeight="1">
      <c r="B80" s="1422"/>
      <c r="C80" s="1423"/>
      <c r="D80" s="1475" t="s">
        <v>132</v>
      </c>
      <c r="E80" s="1446"/>
      <c r="F80" s="1476"/>
      <c r="G80" s="1477" t="s">
        <v>138</v>
      </c>
      <c r="H80" s="1446"/>
      <c r="I80" s="1446"/>
      <c r="J80" s="1427"/>
      <c r="K80" s="1428"/>
      <c r="L80" s="1428"/>
      <c r="M80" s="1474"/>
      <c r="N80" s="1428"/>
      <c r="O80" s="1434"/>
    </row>
    <row r="81" spans="2:15" ht="58.5" customHeight="1">
      <c r="B81" s="1424"/>
      <c r="C81" s="1425"/>
      <c r="D81" s="148" t="s">
        <v>529</v>
      </c>
      <c r="E81" s="149" t="s">
        <v>564</v>
      </c>
      <c r="F81" s="150" t="s">
        <v>531</v>
      </c>
      <c r="G81" s="302" t="s">
        <v>529</v>
      </c>
      <c r="H81" s="149" t="s">
        <v>564</v>
      </c>
      <c r="I81" s="150" t="s">
        <v>531</v>
      </c>
      <c r="J81" s="148" t="s">
        <v>529</v>
      </c>
      <c r="K81" s="149" t="s">
        <v>564</v>
      </c>
      <c r="L81" s="303" t="s">
        <v>531</v>
      </c>
      <c r="M81" s="302" t="s">
        <v>529</v>
      </c>
      <c r="N81" s="149" t="s">
        <v>564</v>
      </c>
      <c r="O81" s="152" t="s">
        <v>531</v>
      </c>
    </row>
    <row r="82" spans="2:15" ht="15" customHeight="1" thickBot="1">
      <c r="B82" s="304" t="s">
        <v>559</v>
      </c>
      <c r="C82" s="154" t="s">
        <v>532</v>
      </c>
      <c r="D82" s="269">
        <v>1</v>
      </c>
      <c r="E82" s="305">
        <v>2</v>
      </c>
      <c r="F82" s="333">
        <v>3</v>
      </c>
      <c r="G82" s="305">
        <v>4</v>
      </c>
      <c r="H82" s="305">
        <v>5</v>
      </c>
      <c r="I82" s="333">
        <v>6</v>
      </c>
      <c r="J82" s="269">
        <v>10</v>
      </c>
      <c r="K82" s="305">
        <v>11</v>
      </c>
      <c r="L82" s="333">
        <v>12</v>
      </c>
      <c r="M82" s="305" t="s">
        <v>533</v>
      </c>
      <c r="N82" s="333" t="s">
        <v>534</v>
      </c>
      <c r="O82" s="326" t="s">
        <v>535</v>
      </c>
    </row>
    <row r="83" spans="2:15" ht="15" customHeight="1">
      <c r="B83" s="306">
        <v>60</v>
      </c>
      <c r="C83" s="307" t="s">
        <v>565</v>
      </c>
      <c r="D83" s="488">
        <v>0</v>
      </c>
      <c r="E83" s="489">
        <v>0</v>
      </c>
      <c r="F83" s="483">
        <f>SUM(D83:E83)</f>
        <v>0</v>
      </c>
      <c r="G83" s="486">
        <v>0</v>
      </c>
      <c r="H83" s="216">
        <v>0</v>
      </c>
      <c r="I83" s="215">
        <f>SUM(G83:H83)</f>
        <v>0</v>
      </c>
      <c r="J83" s="488">
        <v>0</v>
      </c>
      <c r="K83" s="489">
        <v>0</v>
      </c>
      <c r="L83" s="215">
        <f>SUM(J83:K83)</f>
        <v>0</v>
      </c>
      <c r="M83" s="482" t="e">
        <f aca="true" t="shared" si="9" ref="M83:O87">J83/G83</f>
        <v>#DIV/0!</v>
      </c>
      <c r="N83" s="482" t="e">
        <f t="shared" si="9"/>
        <v>#DIV/0!</v>
      </c>
      <c r="O83" s="217" t="e">
        <f t="shared" si="9"/>
        <v>#DIV/0!</v>
      </c>
    </row>
    <row r="84" spans="2:15" ht="15" customHeight="1">
      <c r="B84" s="310">
        <v>60</v>
      </c>
      <c r="C84" s="311" t="s">
        <v>566</v>
      </c>
      <c r="D84" s="490">
        <v>0</v>
      </c>
      <c r="E84" s="491">
        <v>0</v>
      </c>
      <c r="F84" s="484">
        <f>SUM(D84:E84)</f>
        <v>0</v>
      </c>
      <c r="G84" s="487">
        <v>0</v>
      </c>
      <c r="H84" s="485">
        <v>0</v>
      </c>
      <c r="I84" s="312">
        <f>SUM(G84:H84)</f>
        <v>0</v>
      </c>
      <c r="J84" s="308">
        <v>5973.49</v>
      </c>
      <c r="K84" s="312">
        <v>33849.75</v>
      </c>
      <c r="L84" s="312">
        <f>SUM(J84:K84)</f>
        <v>39823.24</v>
      </c>
      <c r="M84" s="211" t="e">
        <f t="shared" si="9"/>
        <v>#DIV/0!</v>
      </c>
      <c r="N84" s="211" t="e">
        <f t="shared" si="9"/>
        <v>#DIV/0!</v>
      </c>
      <c r="O84" s="313" t="e">
        <f t="shared" si="9"/>
        <v>#DIV/0!</v>
      </c>
    </row>
    <row r="85" spans="2:15" ht="15" customHeight="1">
      <c r="B85" s="314"/>
      <c r="C85" s="315"/>
      <c r="D85" s="316"/>
      <c r="E85" s="317"/>
      <c r="F85" s="312"/>
      <c r="G85" s="318"/>
      <c r="H85" s="317"/>
      <c r="I85" s="312"/>
      <c r="J85" s="316"/>
      <c r="K85" s="317"/>
      <c r="L85" s="312"/>
      <c r="M85" s="319"/>
      <c r="N85" s="319"/>
      <c r="O85" s="212"/>
    </row>
    <row r="86" spans="2:15" ht="15" customHeight="1">
      <c r="B86" s="233"/>
      <c r="C86" s="320"/>
      <c r="D86" s="247"/>
      <c r="E86" s="248"/>
      <c r="F86" s="312"/>
      <c r="G86" s="321"/>
      <c r="H86" s="248"/>
      <c r="I86" s="312"/>
      <c r="J86" s="247"/>
      <c r="K86" s="248"/>
      <c r="L86" s="312"/>
      <c r="M86" s="211"/>
      <c r="N86" s="211"/>
      <c r="O86" s="235"/>
    </row>
    <row r="87" spans="2:15" s="196" customFormat="1" ht="15" customHeight="1" thickBot="1">
      <c r="B87" s="236"/>
      <c r="C87" s="1204" t="s">
        <v>540</v>
      </c>
      <c r="D87" s="1196">
        <f aca="true" t="shared" si="10" ref="D87:L87">SUM(D83:D86)</f>
        <v>0</v>
      </c>
      <c r="E87" s="1197">
        <f t="shared" si="10"/>
        <v>0</v>
      </c>
      <c r="F87" s="1197">
        <f t="shared" si="10"/>
        <v>0</v>
      </c>
      <c r="G87" s="1199">
        <f t="shared" si="10"/>
        <v>0</v>
      </c>
      <c r="H87" s="1197">
        <f t="shared" si="10"/>
        <v>0</v>
      </c>
      <c r="I87" s="1197">
        <f t="shared" si="10"/>
        <v>0</v>
      </c>
      <c r="J87" s="1196">
        <f t="shared" si="10"/>
        <v>5973.49</v>
      </c>
      <c r="K87" s="1197">
        <f t="shared" si="10"/>
        <v>33849.75</v>
      </c>
      <c r="L87" s="1197">
        <f t="shared" si="10"/>
        <v>39823.24</v>
      </c>
      <c r="M87" s="1205" t="e">
        <f t="shared" si="9"/>
        <v>#DIV/0!</v>
      </c>
      <c r="N87" s="1205" t="e">
        <f t="shared" si="9"/>
        <v>#DIV/0!</v>
      </c>
      <c r="O87" s="1206" t="e">
        <f t="shared" si="9"/>
        <v>#DIV/0!</v>
      </c>
    </row>
    <row r="88" spans="3:15" ht="15" customHeight="1">
      <c r="C88" s="264"/>
      <c r="D88" s="322"/>
      <c r="E88" s="322"/>
      <c r="F88" s="322"/>
      <c r="G88" s="322"/>
      <c r="H88" s="322"/>
      <c r="I88" s="322"/>
      <c r="J88" s="322"/>
      <c r="K88" s="322"/>
      <c r="L88" s="264"/>
      <c r="M88" s="323"/>
      <c r="N88" s="323"/>
      <c r="O88" s="323"/>
    </row>
    <row r="89" spans="3:14" ht="15" customHeight="1" thickBot="1">
      <c r="C89" s="146"/>
      <c r="D89" s="146"/>
      <c r="E89" s="146"/>
      <c r="F89" s="146"/>
      <c r="G89" s="146"/>
      <c r="H89" s="146"/>
      <c r="I89" s="324" t="s">
        <v>567</v>
      </c>
      <c r="J89" s="146"/>
      <c r="K89" s="146"/>
      <c r="L89" s="146"/>
      <c r="M89" s="146"/>
      <c r="N89" s="146"/>
    </row>
    <row r="90" spans="2:15" ht="15" customHeight="1" thickBot="1">
      <c r="B90" s="1420" t="s">
        <v>563</v>
      </c>
      <c r="C90" s="1421"/>
      <c r="D90" s="1420" t="s">
        <v>556</v>
      </c>
      <c r="E90" s="1426"/>
      <c r="F90" s="1426"/>
      <c r="G90" s="1442"/>
      <c r="H90" s="1442"/>
      <c r="I90" s="1443"/>
      <c r="J90" s="1444"/>
      <c r="K90" s="1444"/>
      <c r="L90" s="1444"/>
      <c r="M90" s="1444"/>
      <c r="N90" s="1444"/>
      <c r="O90" s="1444"/>
    </row>
    <row r="91" spans="2:15" ht="15" customHeight="1">
      <c r="B91" s="1422"/>
      <c r="C91" s="1423"/>
      <c r="D91" s="1445" t="s">
        <v>557</v>
      </c>
      <c r="E91" s="1442"/>
      <c r="F91" s="1443"/>
      <c r="G91" s="1446" t="s">
        <v>558</v>
      </c>
      <c r="H91" s="1446"/>
      <c r="I91" s="1447"/>
      <c r="J91" s="1444"/>
      <c r="K91" s="1444"/>
      <c r="L91" s="1444"/>
      <c r="M91" s="1444"/>
      <c r="N91" s="1444"/>
      <c r="O91" s="1444"/>
    </row>
    <row r="92" spans="2:15" ht="60.75" customHeight="1">
      <c r="B92" s="1424"/>
      <c r="C92" s="1425"/>
      <c r="D92" s="148" t="s">
        <v>529</v>
      </c>
      <c r="E92" s="149" t="s">
        <v>564</v>
      </c>
      <c r="F92" s="154" t="s">
        <v>531</v>
      </c>
      <c r="G92" s="147" t="s">
        <v>529</v>
      </c>
      <c r="H92" s="149" t="s">
        <v>564</v>
      </c>
      <c r="I92" s="154" t="s">
        <v>531</v>
      </c>
      <c r="J92" s="325"/>
      <c r="K92" s="325"/>
      <c r="L92" s="325"/>
      <c r="M92" s="325"/>
      <c r="N92" s="325"/>
      <c r="O92" s="325"/>
    </row>
    <row r="93" spans="2:15" ht="15" customHeight="1" thickBot="1">
      <c r="B93" s="304" t="s">
        <v>559</v>
      </c>
      <c r="C93" s="154" t="s">
        <v>532</v>
      </c>
      <c r="D93" s="269">
        <v>16</v>
      </c>
      <c r="E93" s="305">
        <v>17</v>
      </c>
      <c r="F93" s="326">
        <v>18</v>
      </c>
      <c r="G93" s="327">
        <v>19</v>
      </c>
      <c r="H93" s="305">
        <v>20</v>
      </c>
      <c r="I93" s="326">
        <v>21</v>
      </c>
      <c r="J93" s="328"/>
      <c r="K93" s="328"/>
      <c r="L93" s="328"/>
      <c r="M93" s="328"/>
      <c r="N93" s="328"/>
      <c r="O93" s="328"/>
    </row>
    <row r="94" spans="2:15" ht="15" customHeight="1">
      <c r="B94" s="306">
        <v>60</v>
      </c>
      <c r="C94" s="307" t="s">
        <v>565</v>
      </c>
      <c r="D94" s="329">
        <v>0.79</v>
      </c>
      <c r="E94" s="309">
        <v>0.65</v>
      </c>
      <c r="F94" s="330">
        <f>SUM(D94:E94)</f>
        <v>1.44</v>
      </c>
      <c r="G94" s="329">
        <v>0.79</v>
      </c>
      <c r="H94" s="309">
        <v>0.65</v>
      </c>
      <c r="I94" s="330">
        <f>SUM(G94:H94)</f>
        <v>1.44</v>
      </c>
      <c r="J94" s="266"/>
      <c r="K94" s="266"/>
      <c r="L94" s="266"/>
      <c r="M94" s="267"/>
      <c r="N94" s="267"/>
      <c r="O94" s="267"/>
    </row>
    <row r="95" spans="2:15" ht="15" customHeight="1">
      <c r="B95" s="310">
        <v>60</v>
      </c>
      <c r="C95" s="311" t="s">
        <v>566</v>
      </c>
      <c r="D95" s="308">
        <v>0</v>
      </c>
      <c r="E95" s="312">
        <v>0</v>
      </c>
      <c r="F95" s="215">
        <f>SUM(D95:E95)</f>
        <v>0</v>
      </c>
      <c r="G95" s="308">
        <v>7889.4</v>
      </c>
      <c r="H95" s="312">
        <v>43666.6</v>
      </c>
      <c r="I95" s="331">
        <f>SUM(G95:H95)</f>
        <v>51556</v>
      </c>
      <c r="J95" s="266"/>
      <c r="K95" s="295"/>
      <c r="L95" s="266"/>
      <c r="M95" s="267"/>
      <c r="N95" s="267"/>
      <c r="O95" s="267"/>
    </row>
    <row r="96" spans="2:15" ht="15" customHeight="1">
      <c r="B96" s="310"/>
      <c r="C96" s="311"/>
      <c r="D96" s="316"/>
      <c r="E96" s="317"/>
      <c r="F96" s="312"/>
      <c r="G96" s="316"/>
      <c r="H96" s="317"/>
      <c r="I96" s="331"/>
      <c r="J96" s="266"/>
      <c r="K96" s="266"/>
      <c r="L96" s="266"/>
      <c r="M96" s="267"/>
      <c r="N96" s="267"/>
      <c r="O96" s="267"/>
    </row>
    <row r="97" spans="2:15" ht="15" customHeight="1">
      <c r="B97" s="233"/>
      <c r="C97" s="246"/>
      <c r="D97" s="247"/>
      <c r="E97" s="248"/>
      <c r="F97" s="312"/>
      <c r="G97" s="247"/>
      <c r="H97" s="248"/>
      <c r="I97" s="331"/>
      <c r="J97" s="281"/>
      <c r="K97" s="281"/>
      <c r="L97" s="281"/>
      <c r="M97" s="282"/>
      <c r="N97" s="282"/>
      <c r="O97" s="282"/>
    </row>
    <row r="98" spans="2:15" ht="15" customHeight="1" thickBot="1">
      <c r="B98" s="332"/>
      <c r="C98" s="1204" t="s">
        <v>540</v>
      </c>
      <c r="D98" s="1196">
        <f aca="true" t="shared" si="11" ref="D98:I98">SUM(D94:D97)</f>
        <v>0.79</v>
      </c>
      <c r="E98" s="1197">
        <f t="shared" si="11"/>
        <v>0.65</v>
      </c>
      <c r="F98" s="1197">
        <f t="shared" si="11"/>
        <v>1.44</v>
      </c>
      <c r="G98" s="1196">
        <f t="shared" si="11"/>
        <v>7890.19</v>
      </c>
      <c r="H98" s="1197">
        <f t="shared" si="11"/>
        <v>43667.25</v>
      </c>
      <c r="I98" s="1198">
        <f t="shared" si="11"/>
        <v>51557.44</v>
      </c>
      <c r="J98" s="281"/>
      <c r="K98" s="295"/>
      <c r="L98" s="281"/>
      <c r="M98" s="282"/>
      <c r="N98" s="282"/>
      <c r="O98" s="282"/>
    </row>
    <row r="99" ht="25.5" customHeight="1"/>
    <row r="100" spans="2:15" s="492" customFormat="1" ht="30.75" customHeight="1">
      <c r="B100" s="492" t="s">
        <v>596</v>
      </c>
      <c r="E100" s="492" t="s">
        <v>599</v>
      </c>
      <c r="M100" s="1470" t="s">
        <v>83</v>
      </c>
      <c r="N100" s="1470"/>
      <c r="O100" s="1470"/>
    </row>
  </sheetData>
  <sheetProtection/>
  <mergeCells count="41">
    <mergeCell ref="N1:O1"/>
    <mergeCell ref="N74:O74"/>
    <mergeCell ref="M100:O100"/>
    <mergeCell ref="M72:O72"/>
    <mergeCell ref="B5:O5"/>
    <mergeCell ref="B70:C70"/>
    <mergeCell ref="M79:O80"/>
    <mergeCell ref="D80:F80"/>
    <mergeCell ref="G80:I80"/>
    <mergeCell ref="B75:C75"/>
    <mergeCell ref="B1:C1"/>
    <mergeCell ref="B2:N2"/>
    <mergeCell ref="J7:L8"/>
    <mergeCell ref="M7:O8"/>
    <mergeCell ref="B7:C9"/>
    <mergeCell ref="D8:F8"/>
    <mergeCell ref="G8:I8"/>
    <mergeCell ref="N3:O3"/>
    <mergeCell ref="C4:N4"/>
    <mergeCell ref="D7:I7"/>
    <mergeCell ref="B90:C92"/>
    <mergeCell ref="D90:I90"/>
    <mergeCell ref="J90:L91"/>
    <mergeCell ref="M90:O91"/>
    <mergeCell ref="D91:F91"/>
    <mergeCell ref="G91:I91"/>
    <mergeCell ref="B37:C37"/>
    <mergeCell ref="B11:O11"/>
    <mergeCell ref="B16:O16"/>
    <mergeCell ref="B43:I43"/>
    <mergeCell ref="D40:F40"/>
    <mergeCell ref="G40:I40"/>
    <mergeCell ref="B29:O29"/>
    <mergeCell ref="B39:C41"/>
    <mergeCell ref="D39:I39"/>
    <mergeCell ref="B62:I62"/>
    <mergeCell ref="B49:I49"/>
    <mergeCell ref="C77:N77"/>
    <mergeCell ref="B79:C81"/>
    <mergeCell ref="D79:I79"/>
    <mergeCell ref="J79:L80"/>
  </mergeCells>
  <printOptions horizontalCentered="1"/>
  <pageMargins left="0.7874015748031497" right="0.7874015748031497" top="0.7086614173228347" bottom="0.7086614173228347" header="0.31496062992125984" footer="0.31496062992125984"/>
  <pageSetup fitToHeight="3" fitToWidth="3" horizontalDpi="600" verticalDpi="600" orientation="landscape" paperSize="9" scale="47" r:id="rId1"/>
  <headerFooter alignWithMargins="0">
    <oddFooter>&amp;C&amp;14&amp;P+51
</oddFooter>
  </headerFooter>
  <rowBreaks count="1" manualBreakCount="1">
    <brk id="72" max="1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N63"/>
  <sheetViews>
    <sheetView tabSelected="1" zoomScale="75" zoomScaleNormal="75" zoomScaleSheetLayoutView="50" zoomScalePageLayoutView="0" workbookViewId="0" topLeftCell="A40">
      <selection activeCell="F20" sqref="F20"/>
    </sheetView>
  </sheetViews>
  <sheetFormatPr defaultColWidth="9.00390625" defaultRowHeight="12.75"/>
  <cols>
    <col min="1" max="1" width="52.375" style="788" customWidth="1"/>
    <col min="2" max="2" width="22.375" style="788" customWidth="1"/>
    <col min="3" max="3" width="18.375" style="788" customWidth="1"/>
    <col min="4" max="4" width="11.375" style="788" customWidth="1"/>
    <col min="5" max="5" width="15.25390625" style="788" customWidth="1"/>
    <col min="6" max="6" width="12.125" style="788" customWidth="1"/>
    <col min="7" max="7" width="14.125" style="788" customWidth="1"/>
    <col min="8" max="8" width="11.125" style="788" customWidth="1"/>
    <col min="9" max="9" width="19.75390625" style="788" customWidth="1"/>
    <col min="10" max="10" width="10.625" style="788" customWidth="1"/>
    <col min="11" max="11" width="17.625" style="788" customWidth="1"/>
    <col min="12" max="12" width="19.375" style="788" customWidth="1"/>
    <col min="13" max="13" width="19.75390625" style="788" customWidth="1"/>
    <col min="14" max="14" width="13.00390625" style="788" customWidth="1"/>
    <col min="15" max="15" width="17.75390625" style="788" customWidth="1"/>
    <col min="16" max="16" width="19.25390625" style="788" customWidth="1"/>
    <col min="17" max="17" width="19.875" style="788" customWidth="1"/>
    <col min="18" max="18" width="12.00390625" style="788" customWidth="1"/>
    <col min="19" max="19" width="17.75390625" style="788" customWidth="1"/>
    <col min="20" max="20" width="20.25390625" style="788" customWidth="1"/>
    <col min="21" max="21" width="18.375" style="789" customWidth="1"/>
    <col min="22" max="22" width="19.125" style="789" customWidth="1"/>
    <col min="23" max="23" width="15.875" style="789" customWidth="1"/>
    <col min="24" max="24" width="19.625" style="789" customWidth="1"/>
    <col min="25" max="170" width="9.125" style="789" customWidth="1"/>
    <col min="171" max="16384" width="9.125" style="788" customWidth="1"/>
  </cols>
  <sheetData>
    <row r="1" spans="1:170" s="1319" customFormat="1" ht="24" customHeight="1">
      <c r="A1" s="1319" t="s">
        <v>2</v>
      </c>
      <c r="E1" s="1320"/>
      <c r="G1" s="1320"/>
      <c r="H1" s="1320"/>
      <c r="S1" s="1485" t="s">
        <v>131</v>
      </c>
      <c r="T1" s="1485"/>
      <c r="U1" s="1321"/>
      <c r="V1" s="1321"/>
      <c r="W1" s="1321"/>
      <c r="X1" s="1321"/>
      <c r="Y1" s="1321"/>
      <c r="Z1" s="1321"/>
      <c r="AA1" s="1321"/>
      <c r="AB1" s="1321"/>
      <c r="AC1" s="1321"/>
      <c r="AD1" s="1321"/>
      <c r="AE1" s="1321"/>
      <c r="AF1" s="1321"/>
      <c r="AG1" s="1321"/>
      <c r="AH1" s="1321"/>
      <c r="AI1" s="1321"/>
      <c r="AJ1" s="1321"/>
      <c r="AK1" s="1321"/>
      <c r="AL1" s="1321"/>
      <c r="AM1" s="1321"/>
      <c r="AN1" s="1321"/>
      <c r="AO1" s="1321"/>
      <c r="AP1" s="1321"/>
      <c r="AQ1" s="1321"/>
      <c r="AR1" s="1321"/>
      <c r="AS1" s="1321"/>
      <c r="AT1" s="1321"/>
      <c r="AU1" s="1321"/>
      <c r="AV1" s="1321"/>
      <c r="AW1" s="1321"/>
      <c r="AX1" s="1321"/>
      <c r="AY1" s="1321"/>
      <c r="AZ1" s="1321"/>
      <c r="BA1" s="1321"/>
      <c r="BB1" s="1321"/>
      <c r="BC1" s="1321"/>
      <c r="BD1" s="1321"/>
      <c r="BE1" s="1321"/>
      <c r="BF1" s="1321"/>
      <c r="BG1" s="1321"/>
      <c r="BH1" s="1321"/>
      <c r="BI1" s="1321"/>
      <c r="BJ1" s="1321"/>
      <c r="BK1" s="1321"/>
      <c r="BL1" s="1321"/>
      <c r="BM1" s="1321"/>
      <c r="BN1" s="1321"/>
      <c r="BO1" s="1321"/>
      <c r="BP1" s="1321"/>
      <c r="BQ1" s="1321"/>
      <c r="BR1" s="1321"/>
      <c r="BS1" s="1321"/>
      <c r="BT1" s="1321"/>
      <c r="BU1" s="1321"/>
      <c r="BV1" s="1321"/>
      <c r="BW1" s="1321"/>
      <c r="BX1" s="1321"/>
      <c r="BY1" s="1321"/>
      <c r="BZ1" s="1321"/>
      <c r="CA1" s="1321"/>
      <c r="CB1" s="1321"/>
      <c r="CC1" s="1321"/>
      <c r="CD1" s="1321"/>
      <c r="CE1" s="1321"/>
      <c r="CF1" s="1321"/>
      <c r="CG1" s="1321"/>
      <c r="CH1" s="1321"/>
      <c r="CI1" s="1321"/>
      <c r="CJ1" s="1321"/>
      <c r="CK1" s="1321"/>
      <c r="CL1" s="1321"/>
      <c r="CM1" s="1321"/>
      <c r="CN1" s="1321"/>
      <c r="CO1" s="1321"/>
      <c r="CP1" s="1321"/>
      <c r="CQ1" s="1321"/>
      <c r="CR1" s="1321"/>
      <c r="CS1" s="1321"/>
      <c r="CT1" s="1321"/>
      <c r="CU1" s="1321"/>
      <c r="CV1" s="1321"/>
      <c r="CW1" s="1321"/>
      <c r="CX1" s="1321"/>
      <c r="CY1" s="1321"/>
      <c r="CZ1" s="1321"/>
      <c r="DA1" s="1321"/>
      <c r="DB1" s="1321"/>
      <c r="DC1" s="1321"/>
      <c r="DD1" s="1321"/>
      <c r="DE1" s="1321"/>
      <c r="DF1" s="1321"/>
      <c r="DG1" s="1321"/>
      <c r="DH1" s="1321"/>
      <c r="DI1" s="1321"/>
      <c r="DJ1" s="1321"/>
      <c r="DK1" s="1321"/>
      <c r="DL1" s="1321"/>
      <c r="DM1" s="1321"/>
      <c r="DN1" s="1321"/>
      <c r="DO1" s="1321"/>
      <c r="DP1" s="1321"/>
      <c r="DQ1" s="1321"/>
      <c r="DR1" s="1321"/>
      <c r="DS1" s="1321"/>
      <c r="DT1" s="1321"/>
      <c r="DU1" s="1321"/>
      <c r="DV1" s="1321"/>
      <c r="DW1" s="1321"/>
      <c r="DX1" s="1321"/>
      <c r="DY1" s="1321"/>
      <c r="DZ1" s="1321"/>
      <c r="EA1" s="1321"/>
      <c r="EB1" s="1321"/>
      <c r="EC1" s="1321"/>
      <c r="ED1" s="1321"/>
      <c r="EE1" s="1321"/>
      <c r="EF1" s="1321"/>
      <c r="EG1" s="1321"/>
      <c r="EH1" s="1321"/>
      <c r="EI1" s="1321"/>
      <c r="EJ1" s="1321"/>
      <c r="EK1" s="1321"/>
      <c r="EL1" s="1321"/>
      <c r="EM1" s="1321"/>
      <c r="EN1" s="1321"/>
      <c r="EO1" s="1321"/>
      <c r="EP1" s="1321"/>
      <c r="EQ1" s="1321"/>
      <c r="ER1" s="1321"/>
      <c r="ES1" s="1321"/>
      <c r="ET1" s="1321"/>
      <c r="EU1" s="1321"/>
      <c r="EV1" s="1321"/>
      <c r="EW1" s="1321"/>
      <c r="EX1" s="1321"/>
      <c r="EY1" s="1321"/>
      <c r="EZ1" s="1321"/>
      <c r="FA1" s="1321"/>
      <c r="FB1" s="1321"/>
      <c r="FC1" s="1321"/>
      <c r="FD1" s="1321"/>
      <c r="FE1" s="1321"/>
      <c r="FF1" s="1321"/>
      <c r="FG1" s="1321"/>
      <c r="FH1" s="1321"/>
      <c r="FI1" s="1321"/>
      <c r="FJ1" s="1321"/>
      <c r="FK1" s="1321"/>
      <c r="FL1" s="1321"/>
      <c r="FM1" s="1321"/>
      <c r="FN1" s="1321"/>
    </row>
    <row r="2" spans="1:170" s="1319" customFormat="1" ht="24.75" customHeight="1">
      <c r="A2" s="1526" t="s">
        <v>3</v>
      </c>
      <c r="B2" s="1526"/>
      <c r="C2" s="1526"/>
      <c r="D2" s="1526"/>
      <c r="E2" s="1526"/>
      <c r="F2" s="1526"/>
      <c r="G2" s="1526"/>
      <c r="H2" s="1526"/>
      <c r="I2" s="1526"/>
      <c r="J2" s="1526"/>
      <c r="K2" s="1526"/>
      <c r="L2" s="1526"/>
      <c r="M2" s="1526"/>
      <c r="N2" s="1526"/>
      <c r="O2" s="1526"/>
      <c r="P2" s="1526"/>
      <c r="Q2" s="1526"/>
      <c r="R2" s="1526"/>
      <c r="S2" s="1526"/>
      <c r="T2" s="1526"/>
      <c r="U2" s="1321"/>
      <c r="V2" s="1321"/>
      <c r="W2" s="1321"/>
      <c r="X2" s="1321"/>
      <c r="Y2" s="1321"/>
      <c r="Z2" s="1321"/>
      <c r="AA2" s="1321"/>
      <c r="AB2" s="1321"/>
      <c r="AC2" s="1321"/>
      <c r="AD2" s="1321"/>
      <c r="AE2" s="1321"/>
      <c r="AF2" s="1321"/>
      <c r="AG2" s="1321"/>
      <c r="AH2" s="1321"/>
      <c r="AI2" s="1321"/>
      <c r="AJ2" s="1321"/>
      <c r="AK2" s="1321"/>
      <c r="AL2" s="1321"/>
      <c r="AM2" s="1321"/>
      <c r="AN2" s="1321"/>
      <c r="AO2" s="1321"/>
      <c r="AP2" s="1321"/>
      <c r="AQ2" s="1321"/>
      <c r="AR2" s="1321"/>
      <c r="AS2" s="1321"/>
      <c r="AT2" s="1321"/>
      <c r="AU2" s="1321"/>
      <c r="AV2" s="1321"/>
      <c r="AW2" s="1321"/>
      <c r="AX2" s="1321"/>
      <c r="AY2" s="1321"/>
      <c r="AZ2" s="1321"/>
      <c r="BA2" s="1321"/>
      <c r="BB2" s="1321"/>
      <c r="BC2" s="1321"/>
      <c r="BD2" s="1321"/>
      <c r="BE2" s="1321"/>
      <c r="BF2" s="1321"/>
      <c r="BG2" s="1321"/>
      <c r="BH2" s="1321"/>
      <c r="BI2" s="1321"/>
      <c r="BJ2" s="1321"/>
      <c r="BK2" s="1321"/>
      <c r="BL2" s="1321"/>
      <c r="BM2" s="1321"/>
      <c r="BN2" s="1321"/>
      <c r="BO2" s="1321"/>
      <c r="BP2" s="1321"/>
      <c r="BQ2" s="1321"/>
      <c r="BR2" s="1321"/>
      <c r="BS2" s="1321"/>
      <c r="BT2" s="1321"/>
      <c r="BU2" s="1321"/>
      <c r="BV2" s="1321"/>
      <c r="BW2" s="1321"/>
      <c r="BX2" s="1321"/>
      <c r="BY2" s="1321"/>
      <c r="BZ2" s="1321"/>
      <c r="CA2" s="1321"/>
      <c r="CB2" s="1321"/>
      <c r="CC2" s="1321"/>
      <c r="CD2" s="1321"/>
      <c r="CE2" s="1321"/>
      <c r="CF2" s="1321"/>
      <c r="CG2" s="1321"/>
      <c r="CH2" s="1321"/>
      <c r="CI2" s="1321"/>
      <c r="CJ2" s="1321"/>
      <c r="CK2" s="1321"/>
      <c r="CL2" s="1321"/>
      <c r="CM2" s="1321"/>
      <c r="CN2" s="1321"/>
      <c r="CO2" s="1321"/>
      <c r="CP2" s="1321"/>
      <c r="CQ2" s="1321"/>
      <c r="CR2" s="1321"/>
      <c r="CS2" s="1321"/>
      <c r="CT2" s="1321"/>
      <c r="CU2" s="1321"/>
      <c r="CV2" s="1321"/>
      <c r="CW2" s="1321"/>
      <c r="CX2" s="1321"/>
      <c r="CY2" s="1321"/>
      <c r="CZ2" s="1321"/>
      <c r="DA2" s="1321"/>
      <c r="DB2" s="1321"/>
      <c r="DC2" s="1321"/>
      <c r="DD2" s="1321"/>
      <c r="DE2" s="1321"/>
      <c r="DF2" s="1321"/>
      <c r="DG2" s="1321"/>
      <c r="DH2" s="1321"/>
      <c r="DI2" s="1321"/>
      <c r="DJ2" s="1321"/>
      <c r="DK2" s="1321"/>
      <c r="DL2" s="1321"/>
      <c r="DM2" s="1321"/>
      <c r="DN2" s="1321"/>
      <c r="DO2" s="1321"/>
      <c r="DP2" s="1321"/>
      <c r="DQ2" s="1321"/>
      <c r="DR2" s="1321"/>
      <c r="DS2" s="1321"/>
      <c r="DT2" s="1321"/>
      <c r="DU2" s="1321"/>
      <c r="DV2" s="1321"/>
      <c r="DW2" s="1321"/>
      <c r="DX2" s="1321"/>
      <c r="DY2" s="1321"/>
      <c r="DZ2" s="1321"/>
      <c r="EA2" s="1321"/>
      <c r="EB2" s="1321"/>
      <c r="EC2" s="1321"/>
      <c r="ED2" s="1321"/>
      <c r="EE2" s="1321"/>
      <c r="EF2" s="1321"/>
      <c r="EG2" s="1321"/>
      <c r="EH2" s="1321"/>
      <c r="EI2" s="1321"/>
      <c r="EJ2" s="1321"/>
      <c r="EK2" s="1321"/>
      <c r="EL2" s="1321"/>
      <c r="EM2" s="1321"/>
      <c r="EN2" s="1321"/>
      <c r="EO2" s="1321"/>
      <c r="EP2" s="1321"/>
      <c r="EQ2" s="1321"/>
      <c r="ER2" s="1321"/>
      <c r="ES2" s="1321"/>
      <c r="ET2" s="1321"/>
      <c r="EU2" s="1321"/>
      <c r="EV2" s="1321"/>
      <c r="EW2" s="1321"/>
      <c r="EX2" s="1321"/>
      <c r="EY2" s="1321"/>
      <c r="EZ2" s="1321"/>
      <c r="FA2" s="1321"/>
      <c r="FB2" s="1321"/>
      <c r="FC2" s="1321"/>
      <c r="FD2" s="1321"/>
      <c r="FE2" s="1321"/>
      <c r="FF2" s="1321"/>
      <c r="FG2" s="1321"/>
      <c r="FH2" s="1321"/>
      <c r="FI2" s="1321"/>
      <c r="FJ2" s="1321"/>
      <c r="FK2" s="1321"/>
      <c r="FL2" s="1321"/>
      <c r="FM2" s="1321"/>
      <c r="FN2" s="1321"/>
    </row>
    <row r="3" spans="1:20" ht="22.5" customHeight="1">
      <c r="A3" s="1527"/>
      <c r="B3" s="1527"/>
      <c r="C3" s="1527"/>
      <c r="D3" s="1527"/>
      <c r="E3" s="1527"/>
      <c r="F3" s="1527"/>
      <c r="G3" s="1527"/>
      <c r="H3" s="1527"/>
      <c r="I3" s="1527"/>
      <c r="J3" s="1527"/>
      <c r="K3" s="1527"/>
      <c r="L3" s="1527"/>
      <c r="M3" s="1527"/>
      <c r="N3" s="1527"/>
      <c r="O3" s="1527"/>
      <c r="P3" s="1527"/>
      <c r="Q3" s="1527"/>
      <c r="R3" s="1527"/>
      <c r="S3" s="1527"/>
      <c r="T3" s="1527"/>
    </row>
    <row r="4" spans="9:20" ht="7.5" customHeight="1" thickBot="1">
      <c r="I4" s="790"/>
      <c r="J4" s="790"/>
      <c r="K4" s="790"/>
      <c r="L4" s="790"/>
      <c r="M4" s="790"/>
      <c r="N4" s="790"/>
      <c r="O4" s="790"/>
      <c r="P4" s="790"/>
      <c r="Q4" s="791"/>
      <c r="R4" s="791"/>
      <c r="S4" s="791"/>
      <c r="T4" s="791"/>
    </row>
    <row r="5" spans="1:170" s="1323" customFormat="1" ht="19.5" customHeight="1" thickBot="1">
      <c r="A5" s="1510"/>
      <c r="B5" s="1507" t="s">
        <v>4</v>
      </c>
      <c r="C5" s="1486" t="s">
        <v>770</v>
      </c>
      <c r="D5" s="1531" t="s">
        <v>5</v>
      </c>
      <c r="E5" s="1492"/>
      <c r="F5" s="1492"/>
      <c r="G5" s="1493"/>
      <c r="H5" s="1494"/>
      <c r="I5" s="1528" t="s">
        <v>6</v>
      </c>
      <c r="J5" s="1507"/>
      <c r="K5" s="1529"/>
      <c r="L5" s="1529"/>
      <c r="M5" s="1529"/>
      <c r="N5" s="1529"/>
      <c r="O5" s="1529"/>
      <c r="P5" s="1529"/>
      <c r="Q5" s="1529"/>
      <c r="R5" s="1529"/>
      <c r="S5" s="1529"/>
      <c r="T5" s="1530"/>
      <c r="U5" s="1322"/>
      <c r="V5" s="1322"/>
      <c r="W5" s="1322"/>
      <c r="X5" s="1322"/>
      <c r="Y5" s="1322"/>
      <c r="Z5" s="1322"/>
      <c r="AA5" s="1322"/>
      <c r="AB5" s="1322"/>
      <c r="AC5" s="1322"/>
      <c r="AD5" s="1322"/>
      <c r="AE5" s="1322"/>
      <c r="AF5" s="1322"/>
      <c r="AG5" s="1322"/>
      <c r="AH5" s="1322"/>
      <c r="AI5" s="1322"/>
      <c r="AJ5" s="1322"/>
      <c r="AK5" s="1322"/>
      <c r="AL5" s="1322"/>
      <c r="AM5" s="1322"/>
      <c r="AN5" s="1322"/>
      <c r="AO5" s="1322"/>
      <c r="AP5" s="1322"/>
      <c r="AQ5" s="1322"/>
      <c r="AR5" s="1322"/>
      <c r="AS5" s="1322"/>
      <c r="AT5" s="1322"/>
      <c r="AU5" s="1322"/>
      <c r="AV5" s="1322"/>
      <c r="AW5" s="1322"/>
      <c r="AX5" s="1322"/>
      <c r="AY5" s="1322"/>
      <c r="AZ5" s="1322"/>
      <c r="BA5" s="1322"/>
      <c r="BB5" s="1322"/>
      <c r="BC5" s="1322"/>
      <c r="BD5" s="1322"/>
      <c r="BE5" s="1322"/>
      <c r="BF5" s="1322"/>
      <c r="BG5" s="1322"/>
      <c r="BH5" s="1322"/>
      <c r="BI5" s="1322"/>
      <c r="BJ5" s="1322"/>
      <c r="BK5" s="1322"/>
      <c r="BL5" s="1322"/>
      <c r="BM5" s="1322"/>
      <c r="BN5" s="1322"/>
      <c r="BO5" s="1322"/>
      <c r="BP5" s="1322"/>
      <c r="BQ5" s="1322"/>
      <c r="BR5" s="1322"/>
      <c r="BS5" s="1322"/>
      <c r="BT5" s="1322"/>
      <c r="BU5" s="1322"/>
      <c r="BV5" s="1322"/>
      <c r="BW5" s="1322"/>
      <c r="BX5" s="1322"/>
      <c r="BY5" s="1322"/>
      <c r="BZ5" s="1322"/>
      <c r="CA5" s="1322"/>
      <c r="CB5" s="1322"/>
      <c r="CC5" s="1322"/>
      <c r="CD5" s="1322"/>
      <c r="CE5" s="1322"/>
      <c r="CF5" s="1322"/>
      <c r="CG5" s="1322"/>
      <c r="CH5" s="1322"/>
      <c r="CI5" s="1322"/>
      <c r="CJ5" s="1322"/>
      <c r="CK5" s="1322"/>
      <c r="CL5" s="1322"/>
      <c r="CM5" s="1322"/>
      <c r="CN5" s="1322"/>
      <c r="CO5" s="1322"/>
      <c r="CP5" s="1322"/>
      <c r="CQ5" s="1322"/>
      <c r="CR5" s="1322"/>
      <c r="CS5" s="1322"/>
      <c r="CT5" s="1322"/>
      <c r="CU5" s="1322"/>
      <c r="CV5" s="1322"/>
      <c r="CW5" s="1322"/>
      <c r="CX5" s="1322"/>
      <c r="CY5" s="1322"/>
      <c r="CZ5" s="1322"/>
      <c r="DA5" s="1322"/>
      <c r="DB5" s="1322"/>
      <c r="DC5" s="1322"/>
      <c r="DD5" s="1322"/>
      <c r="DE5" s="1322"/>
      <c r="DF5" s="1322"/>
      <c r="DG5" s="1322"/>
      <c r="DH5" s="1322"/>
      <c r="DI5" s="1322"/>
      <c r="DJ5" s="1322"/>
      <c r="DK5" s="1322"/>
      <c r="DL5" s="1322"/>
      <c r="DM5" s="1322"/>
      <c r="DN5" s="1322"/>
      <c r="DO5" s="1322"/>
      <c r="DP5" s="1322"/>
      <c r="DQ5" s="1322"/>
      <c r="DR5" s="1322"/>
      <c r="DS5" s="1322"/>
      <c r="DT5" s="1322"/>
      <c r="DU5" s="1322"/>
      <c r="DV5" s="1322"/>
      <c r="DW5" s="1322"/>
      <c r="DX5" s="1322"/>
      <c r="DY5" s="1322"/>
      <c r="DZ5" s="1322"/>
      <c r="EA5" s="1322"/>
      <c r="EB5" s="1322"/>
      <c r="EC5" s="1322"/>
      <c r="ED5" s="1322"/>
      <c r="EE5" s="1322"/>
      <c r="EF5" s="1322"/>
      <c r="EG5" s="1322"/>
      <c r="EH5" s="1322"/>
      <c r="EI5" s="1322"/>
      <c r="EJ5" s="1322"/>
      <c r="EK5" s="1322"/>
      <c r="EL5" s="1322"/>
      <c r="EM5" s="1322"/>
      <c r="EN5" s="1322"/>
      <c r="EO5" s="1322"/>
      <c r="EP5" s="1322"/>
      <c r="EQ5" s="1322"/>
      <c r="ER5" s="1322"/>
      <c r="ES5" s="1322"/>
      <c r="ET5" s="1322"/>
      <c r="EU5" s="1322"/>
      <c r="EV5" s="1322"/>
      <c r="EW5" s="1322"/>
      <c r="EX5" s="1322"/>
      <c r="EY5" s="1322"/>
      <c r="EZ5" s="1322"/>
      <c r="FA5" s="1322"/>
      <c r="FB5" s="1322"/>
      <c r="FC5" s="1322"/>
      <c r="FD5" s="1322"/>
      <c r="FE5" s="1322"/>
      <c r="FF5" s="1322"/>
      <c r="FG5" s="1322"/>
      <c r="FH5" s="1322"/>
      <c r="FI5" s="1322"/>
      <c r="FJ5" s="1322"/>
      <c r="FK5" s="1322"/>
      <c r="FL5" s="1322"/>
      <c r="FM5" s="1322"/>
      <c r="FN5" s="1322"/>
    </row>
    <row r="6" spans="1:170" s="1323" customFormat="1" ht="18" customHeight="1">
      <c r="A6" s="1511"/>
      <c r="B6" s="1508"/>
      <c r="C6" s="1487"/>
      <c r="D6" s="1532"/>
      <c r="E6" s="1495"/>
      <c r="F6" s="1495"/>
      <c r="G6" s="1495"/>
      <c r="H6" s="1496"/>
      <c r="I6" s="1478" t="s">
        <v>7</v>
      </c>
      <c r="J6" s="1479"/>
      <c r="K6" s="1479"/>
      <c r="L6" s="1479"/>
      <c r="M6" s="1534" t="s">
        <v>17</v>
      </c>
      <c r="N6" s="1535"/>
      <c r="O6" s="1536"/>
      <c r="P6" s="1537"/>
      <c r="Q6" s="1517" t="s">
        <v>531</v>
      </c>
      <c r="R6" s="1518"/>
      <c r="S6" s="1518"/>
      <c r="T6" s="1519"/>
      <c r="U6" s="1322"/>
      <c r="V6" s="1322"/>
      <c r="W6" s="1322"/>
      <c r="X6" s="1322"/>
      <c r="Y6" s="1322"/>
      <c r="Z6" s="1322"/>
      <c r="AA6" s="1322"/>
      <c r="AB6" s="1322"/>
      <c r="AC6" s="1322"/>
      <c r="AD6" s="1322"/>
      <c r="AE6" s="1322"/>
      <c r="AF6" s="1322"/>
      <c r="AG6" s="1322"/>
      <c r="AH6" s="1322"/>
      <c r="AI6" s="1322"/>
      <c r="AJ6" s="1322"/>
      <c r="AK6" s="1322"/>
      <c r="AL6" s="1322"/>
      <c r="AM6" s="1322"/>
      <c r="AN6" s="1322"/>
      <c r="AO6" s="1322"/>
      <c r="AP6" s="1322"/>
      <c r="AQ6" s="1322"/>
      <c r="AR6" s="1322"/>
      <c r="AS6" s="1322"/>
      <c r="AT6" s="1322"/>
      <c r="AU6" s="1322"/>
      <c r="AV6" s="1322"/>
      <c r="AW6" s="1322"/>
      <c r="AX6" s="1322"/>
      <c r="AY6" s="1322"/>
      <c r="AZ6" s="1322"/>
      <c r="BA6" s="1322"/>
      <c r="BB6" s="1322"/>
      <c r="BC6" s="1322"/>
      <c r="BD6" s="1322"/>
      <c r="BE6" s="1322"/>
      <c r="BF6" s="1322"/>
      <c r="BG6" s="1322"/>
      <c r="BH6" s="1322"/>
      <c r="BI6" s="1322"/>
      <c r="BJ6" s="1322"/>
      <c r="BK6" s="1322"/>
      <c r="BL6" s="1322"/>
      <c r="BM6" s="1322"/>
      <c r="BN6" s="1322"/>
      <c r="BO6" s="1322"/>
      <c r="BP6" s="1322"/>
      <c r="BQ6" s="1322"/>
      <c r="BR6" s="1322"/>
      <c r="BS6" s="1322"/>
      <c r="BT6" s="1322"/>
      <c r="BU6" s="1322"/>
      <c r="BV6" s="1322"/>
      <c r="BW6" s="1322"/>
      <c r="BX6" s="1322"/>
      <c r="BY6" s="1322"/>
      <c r="BZ6" s="1322"/>
      <c r="CA6" s="1322"/>
      <c r="CB6" s="1322"/>
      <c r="CC6" s="1322"/>
      <c r="CD6" s="1322"/>
      <c r="CE6" s="1322"/>
      <c r="CF6" s="1322"/>
      <c r="CG6" s="1322"/>
      <c r="CH6" s="1322"/>
      <c r="CI6" s="1322"/>
      <c r="CJ6" s="1322"/>
      <c r="CK6" s="1322"/>
      <c r="CL6" s="1322"/>
      <c r="CM6" s="1322"/>
      <c r="CN6" s="1322"/>
      <c r="CO6" s="1322"/>
      <c r="CP6" s="1322"/>
      <c r="CQ6" s="1322"/>
      <c r="CR6" s="1322"/>
      <c r="CS6" s="1322"/>
      <c r="CT6" s="1322"/>
      <c r="CU6" s="1322"/>
      <c r="CV6" s="1322"/>
      <c r="CW6" s="1322"/>
      <c r="CX6" s="1322"/>
      <c r="CY6" s="1322"/>
      <c r="CZ6" s="1322"/>
      <c r="DA6" s="1322"/>
      <c r="DB6" s="1322"/>
      <c r="DC6" s="1322"/>
      <c r="DD6" s="1322"/>
      <c r="DE6" s="1322"/>
      <c r="DF6" s="1322"/>
      <c r="DG6" s="1322"/>
      <c r="DH6" s="1322"/>
      <c r="DI6" s="1322"/>
      <c r="DJ6" s="1322"/>
      <c r="DK6" s="1322"/>
      <c r="DL6" s="1322"/>
      <c r="DM6" s="1322"/>
      <c r="DN6" s="1322"/>
      <c r="DO6" s="1322"/>
      <c r="DP6" s="1322"/>
      <c r="DQ6" s="1322"/>
      <c r="DR6" s="1322"/>
      <c r="DS6" s="1322"/>
      <c r="DT6" s="1322"/>
      <c r="DU6" s="1322"/>
      <c r="DV6" s="1322"/>
      <c r="DW6" s="1322"/>
      <c r="DX6" s="1322"/>
      <c r="DY6" s="1322"/>
      <c r="DZ6" s="1322"/>
      <c r="EA6" s="1322"/>
      <c r="EB6" s="1322"/>
      <c r="EC6" s="1322"/>
      <c r="ED6" s="1322"/>
      <c r="EE6" s="1322"/>
      <c r="EF6" s="1322"/>
      <c r="EG6" s="1322"/>
      <c r="EH6" s="1322"/>
      <c r="EI6" s="1322"/>
      <c r="EJ6" s="1322"/>
      <c r="EK6" s="1322"/>
      <c r="EL6" s="1322"/>
      <c r="EM6" s="1322"/>
      <c r="EN6" s="1322"/>
      <c r="EO6" s="1322"/>
      <c r="EP6" s="1322"/>
      <c r="EQ6" s="1322"/>
      <c r="ER6" s="1322"/>
      <c r="ES6" s="1322"/>
      <c r="ET6" s="1322"/>
      <c r="EU6" s="1322"/>
      <c r="EV6" s="1322"/>
      <c r="EW6" s="1322"/>
      <c r="EX6" s="1322"/>
      <c r="EY6" s="1322"/>
      <c r="EZ6" s="1322"/>
      <c r="FA6" s="1322"/>
      <c r="FB6" s="1322"/>
      <c r="FC6" s="1322"/>
      <c r="FD6" s="1322"/>
      <c r="FE6" s="1322"/>
      <c r="FF6" s="1322"/>
      <c r="FG6" s="1322"/>
      <c r="FH6" s="1322"/>
      <c r="FI6" s="1322"/>
      <c r="FJ6" s="1322"/>
      <c r="FK6" s="1322"/>
      <c r="FL6" s="1322"/>
      <c r="FM6" s="1322"/>
      <c r="FN6" s="1322"/>
    </row>
    <row r="7" spans="1:170" s="1323" customFormat="1" ht="19.5" customHeight="1">
      <c r="A7" s="1511"/>
      <c r="B7" s="1508"/>
      <c r="C7" s="1487"/>
      <c r="D7" s="1532"/>
      <c r="E7" s="1497"/>
      <c r="F7" s="1497"/>
      <c r="G7" s="1497"/>
      <c r="H7" s="1498"/>
      <c r="I7" s="1478" t="s">
        <v>18</v>
      </c>
      <c r="J7" s="1479"/>
      <c r="K7" s="1479"/>
      <c r="L7" s="1479"/>
      <c r="M7" s="1480" t="s">
        <v>18</v>
      </c>
      <c r="N7" s="1481"/>
      <c r="O7" s="1482"/>
      <c r="P7" s="1483"/>
      <c r="Q7" s="1480" t="s">
        <v>18</v>
      </c>
      <c r="R7" s="1484"/>
      <c r="S7" s="1482"/>
      <c r="T7" s="1483"/>
      <c r="U7" s="1322"/>
      <c r="V7" s="1322"/>
      <c r="W7" s="1322"/>
      <c r="X7" s="1322"/>
      <c r="Y7" s="1322"/>
      <c r="Z7" s="1322"/>
      <c r="AA7" s="1322"/>
      <c r="AB7" s="1322"/>
      <c r="AC7" s="1322"/>
      <c r="AD7" s="1322"/>
      <c r="AE7" s="1322"/>
      <c r="AF7" s="1322"/>
      <c r="AG7" s="1322"/>
      <c r="AH7" s="1322"/>
      <c r="AI7" s="1322"/>
      <c r="AJ7" s="1322"/>
      <c r="AK7" s="1322"/>
      <c r="AL7" s="1322"/>
      <c r="AM7" s="1322"/>
      <c r="AN7" s="1322"/>
      <c r="AO7" s="1322"/>
      <c r="AP7" s="1322"/>
      <c r="AQ7" s="1322"/>
      <c r="AR7" s="1322"/>
      <c r="AS7" s="1322"/>
      <c r="AT7" s="1322"/>
      <c r="AU7" s="1322"/>
      <c r="AV7" s="1322"/>
      <c r="AW7" s="1322"/>
      <c r="AX7" s="1322"/>
      <c r="AY7" s="1322"/>
      <c r="AZ7" s="1322"/>
      <c r="BA7" s="1322"/>
      <c r="BB7" s="1322"/>
      <c r="BC7" s="1322"/>
      <c r="BD7" s="1322"/>
      <c r="BE7" s="1322"/>
      <c r="BF7" s="1322"/>
      <c r="BG7" s="1322"/>
      <c r="BH7" s="1322"/>
      <c r="BI7" s="1322"/>
      <c r="BJ7" s="1322"/>
      <c r="BK7" s="1322"/>
      <c r="BL7" s="1322"/>
      <c r="BM7" s="1322"/>
      <c r="BN7" s="1322"/>
      <c r="BO7" s="1322"/>
      <c r="BP7" s="1322"/>
      <c r="BQ7" s="1322"/>
      <c r="BR7" s="1322"/>
      <c r="BS7" s="1322"/>
      <c r="BT7" s="1322"/>
      <c r="BU7" s="1322"/>
      <c r="BV7" s="1322"/>
      <c r="BW7" s="1322"/>
      <c r="BX7" s="1322"/>
      <c r="BY7" s="1322"/>
      <c r="BZ7" s="1322"/>
      <c r="CA7" s="1322"/>
      <c r="CB7" s="1322"/>
      <c r="CC7" s="1322"/>
      <c r="CD7" s="1322"/>
      <c r="CE7" s="1322"/>
      <c r="CF7" s="1322"/>
      <c r="CG7" s="1322"/>
      <c r="CH7" s="1322"/>
      <c r="CI7" s="1322"/>
      <c r="CJ7" s="1322"/>
      <c r="CK7" s="1322"/>
      <c r="CL7" s="1322"/>
      <c r="CM7" s="1322"/>
      <c r="CN7" s="1322"/>
      <c r="CO7" s="1322"/>
      <c r="CP7" s="1322"/>
      <c r="CQ7" s="1322"/>
      <c r="CR7" s="1322"/>
      <c r="CS7" s="1322"/>
      <c r="CT7" s="1322"/>
      <c r="CU7" s="1322"/>
      <c r="CV7" s="1322"/>
      <c r="CW7" s="1322"/>
      <c r="CX7" s="1322"/>
      <c r="CY7" s="1322"/>
      <c r="CZ7" s="1322"/>
      <c r="DA7" s="1322"/>
      <c r="DB7" s="1322"/>
      <c r="DC7" s="1322"/>
      <c r="DD7" s="1322"/>
      <c r="DE7" s="1322"/>
      <c r="DF7" s="1322"/>
      <c r="DG7" s="1322"/>
      <c r="DH7" s="1322"/>
      <c r="DI7" s="1322"/>
      <c r="DJ7" s="1322"/>
      <c r="DK7" s="1322"/>
      <c r="DL7" s="1322"/>
      <c r="DM7" s="1322"/>
      <c r="DN7" s="1322"/>
      <c r="DO7" s="1322"/>
      <c r="DP7" s="1322"/>
      <c r="DQ7" s="1322"/>
      <c r="DR7" s="1322"/>
      <c r="DS7" s="1322"/>
      <c r="DT7" s="1322"/>
      <c r="DU7" s="1322"/>
      <c r="DV7" s="1322"/>
      <c r="DW7" s="1322"/>
      <c r="DX7" s="1322"/>
      <c r="DY7" s="1322"/>
      <c r="DZ7" s="1322"/>
      <c r="EA7" s="1322"/>
      <c r="EB7" s="1322"/>
      <c r="EC7" s="1322"/>
      <c r="ED7" s="1322"/>
      <c r="EE7" s="1322"/>
      <c r="EF7" s="1322"/>
      <c r="EG7" s="1322"/>
      <c r="EH7" s="1322"/>
      <c r="EI7" s="1322"/>
      <c r="EJ7" s="1322"/>
      <c r="EK7" s="1322"/>
      <c r="EL7" s="1322"/>
      <c r="EM7" s="1322"/>
      <c r="EN7" s="1322"/>
      <c r="EO7" s="1322"/>
      <c r="EP7" s="1322"/>
      <c r="EQ7" s="1322"/>
      <c r="ER7" s="1322"/>
      <c r="ES7" s="1322"/>
      <c r="ET7" s="1322"/>
      <c r="EU7" s="1322"/>
      <c r="EV7" s="1322"/>
      <c r="EW7" s="1322"/>
      <c r="EX7" s="1322"/>
      <c r="EY7" s="1322"/>
      <c r="EZ7" s="1322"/>
      <c r="FA7" s="1322"/>
      <c r="FB7" s="1322"/>
      <c r="FC7" s="1322"/>
      <c r="FD7" s="1322"/>
      <c r="FE7" s="1322"/>
      <c r="FF7" s="1322"/>
      <c r="FG7" s="1322"/>
      <c r="FH7" s="1322"/>
      <c r="FI7" s="1322"/>
      <c r="FJ7" s="1322"/>
      <c r="FK7" s="1322"/>
      <c r="FL7" s="1322"/>
      <c r="FM7" s="1322"/>
      <c r="FN7" s="1322"/>
    </row>
    <row r="8" spans="1:170" s="1323" customFormat="1" ht="21" customHeight="1">
      <c r="A8" s="1512"/>
      <c r="B8" s="1508"/>
      <c r="C8" s="1487"/>
      <c r="D8" s="1532"/>
      <c r="E8" s="1489" t="s">
        <v>66</v>
      </c>
      <c r="F8" s="1489" t="s">
        <v>20</v>
      </c>
      <c r="G8" s="1489" t="s">
        <v>67</v>
      </c>
      <c r="H8" s="1499" t="s">
        <v>531</v>
      </c>
      <c r="I8" s="1523" t="s">
        <v>19</v>
      </c>
      <c r="J8" s="1502" t="s">
        <v>20</v>
      </c>
      <c r="K8" s="1502" t="s">
        <v>21</v>
      </c>
      <c r="L8" s="1538" t="s">
        <v>531</v>
      </c>
      <c r="M8" s="1520" t="s">
        <v>19</v>
      </c>
      <c r="N8" s="1502" t="s">
        <v>20</v>
      </c>
      <c r="O8" s="1502" t="s">
        <v>21</v>
      </c>
      <c r="P8" s="1499" t="s">
        <v>531</v>
      </c>
      <c r="Q8" s="1520" t="s">
        <v>19</v>
      </c>
      <c r="R8" s="1502" t="s">
        <v>20</v>
      </c>
      <c r="S8" s="1502" t="s">
        <v>21</v>
      </c>
      <c r="T8" s="1499" t="s">
        <v>531</v>
      </c>
      <c r="U8" s="1322"/>
      <c r="V8" s="1322"/>
      <c r="W8" s="1322"/>
      <c r="X8" s="1322"/>
      <c r="Y8" s="1322"/>
      <c r="Z8" s="1322"/>
      <c r="AA8" s="1322"/>
      <c r="AB8" s="1322"/>
      <c r="AC8" s="1322"/>
      <c r="AD8" s="1322"/>
      <c r="AE8" s="1322"/>
      <c r="AF8" s="1322"/>
      <c r="AG8" s="1322"/>
      <c r="AH8" s="1322"/>
      <c r="AI8" s="1322"/>
      <c r="AJ8" s="1322"/>
      <c r="AK8" s="1322"/>
      <c r="AL8" s="1322"/>
      <c r="AM8" s="1322"/>
      <c r="AN8" s="1322"/>
      <c r="AO8" s="1322"/>
      <c r="AP8" s="1322"/>
      <c r="AQ8" s="1322"/>
      <c r="AR8" s="1322"/>
      <c r="AS8" s="1322"/>
      <c r="AT8" s="1322"/>
      <c r="AU8" s="1322"/>
      <c r="AV8" s="1322"/>
      <c r="AW8" s="1322"/>
      <c r="AX8" s="1322"/>
      <c r="AY8" s="1322"/>
      <c r="AZ8" s="1322"/>
      <c r="BA8" s="1322"/>
      <c r="BB8" s="1322"/>
      <c r="BC8" s="1322"/>
      <c r="BD8" s="1322"/>
      <c r="BE8" s="1322"/>
      <c r="BF8" s="1322"/>
      <c r="BG8" s="1322"/>
      <c r="BH8" s="1322"/>
      <c r="BI8" s="1322"/>
      <c r="BJ8" s="1322"/>
      <c r="BK8" s="1322"/>
      <c r="BL8" s="1322"/>
      <c r="BM8" s="1322"/>
      <c r="BN8" s="1322"/>
      <c r="BO8" s="1322"/>
      <c r="BP8" s="1322"/>
      <c r="BQ8" s="1322"/>
      <c r="BR8" s="1322"/>
      <c r="BS8" s="1322"/>
      <c r="BT8" s="1322"/>
      <c r="BU8" s="1322"/>
      <c r="BV8" s="1322"/>
      <c r="BW8" s="1322"/>
      <c r="BX8" s="1322"/>
      <c r="BY8" s="1322"/>
      <c r="BZ8" s="1322"/>
      <c r="CA8" s="1322"/>
      <c r="CB8" s="1322"/>
      <c r="CC8" s="1322"/>
      <c r="CD8" s="1322"/>
      <c r="CE8" s="1322"/>
      <c r="CF8" s="1322"/>
      <c r="CG8" s="1322"/>
      <c r="CH8" s="1322"/>
      <c r="CI8" s="1322"/>
      <c r="CJ8" s="1322"/>
      <c r="CK8" s="1322"/>
      <c r="CL8" s="1322"/>
      <c r="CM8" s="1322"/>
      <c r="CN8" s="1322"/>
      <c r="CO8" s="1322"/>
      <c r="CP8" s="1322"/>
      <c r="CQ8" s="1322"/>
      <c r="CR8" s="1322"/>
      <c r="CS8" s="1322"/>
      <c r="CT8" s="1322"/>
      <c r="CU8" s="1322"/>
      <c r="CV8" s="1322"/>
      <c r="CW8" s="1322"/>
      <c r="CX8" s="1322"/>
      <c r="CY8" s="1322"/>
      <c r="CZ8" s="1322"/>
      <c r="DA8" s="1322"/>
      <c r="DB8" s="1322"/>
      <c r="DC8" s="1322"/>
      <c r="DD8" s="1322"/>
      <c r="DE8" s="1322"/>
      <c r="DF8" s="1322"/>
      <c r="DG8" s="1322"/>
      <c r="DH8" s="1322"/>
      <c r="DI8" s="1322"/>
      <c r="DJ8" s="1322"/>
      <c r="DK8" s="1322"/>
      <c r="DL8" s="1322"/>
      <c r="DM8" s="1322"/>
      <c r="DN8" s="1322"/>
      <c r="DO8" s="1322"/>
      <c r="DP8" s="1322"/>
      <c r="DQ8" s="1322"/>
      <c r="DR8" s="1322"/>
      <c r="DS8" s="1322"/>
      <c r="DT8" s="1322"/>
      <c r="DU8" s="1322"/>
      <c r="DV8" s="1322"/>
      <c r="DW8" s="1322"/>
      <c r="DX8" s="1322"/>
      <c r="DY8" s="1322"/>
      <c r="DZ8" s="1322"/>
      <c r="EA8" s="1322"/>
      <c r="EB8" s="1322"/>
      <c r="EC8" s="1322"/>
      <c r="ED8" s="1322"/>
      <c r="EE8" s="1322"/>
      <c r="EF8" s="1322"/>
      <c r="EG8" s="1322"/>
      <c r="EH8" s="1322"/>
      <c r="EI8" s="1322"/>
      <c r="EJ8" s="1322"/>
      <c r="EK8" s="1322"/>
      <c r="EL8" s="1322"/>
      <c r="EM8" s="1322"/>
      <c r="EN8" s="1322"/>
      <c r="EO8" s="1322"/>
      <c r="EP8" s="1322"/>
      <c r="EQ8" s="1322"/>
      <c r="ER8" s="1322"/>
      <c r="ES8" s="1322"/>
      <c r="ET8" s="1322"/>
      <c r="EU8" s="1322"/>
      <c r="EV8" s="1322"/>
      <c r="EW8" s="1322"/>
      <c r="EX8" s="1322"/>
      <c r="EY8" s="1322"/>
      <c r="EZ8" s="1322"/>
      <c r="FA8" s="1322"/>
      <c r="FB8" s="1322"/>
      <c r="FC8" s="1322"/>
      <c r="FD8" s="1322"/>
      <c r="FE8" s="1322"/>
      <c r="FF8" s="1322"/>
      <c r="FG8" s="1322"/>
      <c r="FH8" s="1322"/>
      <c r="FI8" s="1322"/>
      <c r="FJ8" s="1322"/>
      <c r="FK8" s="1322"/>
      <c r="FL8" s="1322"/>
      <c r="FM8" s="1322"/>
      <c r="FN8" s="1322"/>
    </row>
    <row r="9" spans="1:170" s="1323" customFormat="1" ht="12.75" customHeight="1">
      <c r="A9" s="1512"/>
      <c r="B9" s="1508"/>
      <c r="C9" s="1487"/>
      <c r="D9" s="1532"/>
      <c r="E9" s="1490"/>
      <c r="F9" s="1532"/>
      <c r="G9" s="1490"/>
      <c r="H9" s="1500"/>
      <c r="I9" s="1524"/>
      <c r="J9" s="1503"/>
      <c r="K9" s="1503"/>
      <c r="L9" s="1539"/>
      <c r="M9" s="1521"/>
      <c r="N9" s="1503"/>
      <c r="O9" s="1490"/>
      <c r="P9" s="1500"/>
      <c r="Q9" s="1521"/>
      <c r="R9" s="1503"/>
      <c r="S9" s="1490"/>
      <c r="T9" s="1500"/>
      <c r="U9" s="1322"/>
      <c r="V9" s="1322"/>
      <c r="W9" s="1322"/>
      <c r="X9" s="1322"/>
      <c r="Y9" s="1322"/>
      <c r="Z9" s="1322"/>
      <c r="AA9" s="1322"/>
      <c r="AB9" s="1322"/>
      <c r="AC9" s="1322"/>
      <c r="AD9" s="1322"/>
      <c r="AE9" s="1322"/>
      <c r="AF9" s="1322"/>
      <c r="AG9" s="1322"/>
      <c r="AH9" s="1322"/>
      <c r="AI9" s="1322"/>
      <c r="AJ9" s="1322"/>
      <c r="AK9" s="1322"/>
      <c r="AL9" s="1322"/>
      <c r="AM9" s="1322"/>
      <c r="AN9" s="1322"/>
      <c r="AO9" s="1322"/>
      <c r="AP9" s="1322"/>
      <c r="AQ9" s="1322"/>
      <c r="AR9" s="1322"/>
      <c r="AS9" s="1322"/>
      <c r="AT9" s="1322"/>
      <c r="AU9" s="1322"/>
      <c r="AV9" s="1322"/>
      <c r="AW9" s="1322"/>
      <c r="AX9" s="1322"/>
      <c r="AY9" s="1322"/>
      <c r="AZ9" s="1322"/>
      <c r="BA9" s="1322"/>
      <c r="BB9" s="1322"/>
      <c r="BC9" s="1322"/>
      <c r="BD9" s="1322"/>
      <c r="BE9" s="1322"/>
      <c r="BF9" s="1322"/>
      <c r="BG9" s="1322"/>
      <c r="BH9" s="1322"/>
      <c r="BI9" s="1322"/>
      <c r="BJ9" s="1322"/>
      <c r="BK9" s="1322"/>
      <c r="BL9" s="1322"/>
      <c r="BM9" s="1322"/>
      <c r="BN9" s="1322"/>
      <c r="BO9" s="1322"/>
      <c r="BP9" s="1322"/>
      <c r="BQ9" s="1322"/>
      <c r="BR9" s="1322"/>
      <c r="BS9" s="1322"/>
      <c r="BT9" s="1322"/>
      <c r="BU9" s="1322"/>
      <c r="BV9" s="1322"/>
      <c r="BW9" s="1322"/>
      <c r="BX9" s="1322"/>
      <c r="BY9" s="1322"/>
      <c r="BZ9" s="1322"/>
      <c r="CA9" s="1322"/>
      <c r="CB9" s="1322"/>
      <c r="CC9" s="1322"/>
      <c r="CD9" s="1322"/>
      <c r="CE9" s="1322"/>
      <c r="CF9" s="1322"/>
      <c r="CG9" s="1322"/>
      <c r="CH9" s="1322"/>
      <c r="CI9" s="1322"/>
      <c r="CJ9" s="1322"/>
      <c r="CK9" s="1322"/>
      <c r="CL9" s="1322"/>
      <c r="CM9" s="1322"/>
      <c r="CN9" s="1322"/>
      <c r="CO9" s="1322"/>
      <c r="CP9" s="1322"/>
      <c r="CQ9" s="1322"/>
      <c r="CR9" s="1322"/>
      <c r="CS9" s="1322"/>
      <c r="CT9" s="1322"/>
      <c r="CU9" s="1322"/>
      <c r="CV9" s="1322"/>
      <c r="CW9" s="1322"/>
      <c r="CX9" s="1322"/>
      <c r="CY9" s="1322"/>
      <c r="CZ9" s="1322"/>
      <c r="DA9" s="1322"/>
      <c r="DB9" s="1322"/>
      <c r="DC9" s="1322"/>
      <c r="DD9" s="1322"/>
      <c r="DE9" s="1322"/>
      <c r="DF9" s="1322"/>
      <c r="DG9" s="1322"/>
      <c r="DH9" s="1322"/>
      <c r="DI9" s="1322"/>
      <c r="DJ9" s="1322"/>
      <c r="DK9" s="1322"/>
      <c r="DL9" s="1322"/>
      <c r="DM9" s="1322"/>
      <c r="DN9" s="1322"/>
      <c r="DO9" s="1322"/>
      <c r="DP9" s="1322"/>
      <c r="DQ9" s="1322"/>
      <c r="DR9" s="1322"/>
      <c r="DS9" s="1322"/>
      <c r="DT9" s="1322"/>
      <c r="DU9" s="1322"/>
      <c r="DV9" s="1322"/>
      <c r="DW9" s="1322"/>
      <c r="DX9" s="1322"/>
      <c r="DY9" s="1322"/>
      <c r="DZ9" s="1322"/>
      <c r="EA9" s="1322"/>
      <c r="EB9" s="1322"/>
      <c r="EC9" s="1322"/>
      <c r="ED9" s="1322"/>
      <c r="EE9" s="1322"/>
      <c r="EF9" s="1322"/>
      <c r="EG9" s="1322"/>
      <c r="EH9" s="1322"/>
      <c r="EI9" s="1322"/>
      <c r="EJ9" s="1322"/>
      <c r="EK9" s="1322"/>
      <c r="EL9" s="1322"/>
      <c r="EM9" s="1322"/>
      <c r="EN9" s="1322"/>
      <c r="EO9" s="1322"/>
      <c r="EP9" s="1322"/>
      <c r="EQ9" s="1322"/>
      <c r="ER9" s="1322"/>
      <c r="ES9" s="1322"/>
      <c r="ET9" s="1322"/>
      <c r="EU9" s="1322"/>
      <c r="EV9" s="1322"/>
      <c r="EW9" s="1322"/>
      <c r="EX9" s="1322"/>
      <c r="EY9" s="1322"/>
      <c r="EZ9" s="1322"/>
      <c r="FA9" s="1322"/>
      <c r="FB9" s="1322"/>
      <c r="FC9" s="1322"/>
      <c r="FD9" s="1322"/>
      <c r="FE9" s="1322"/>
      <c r="FF9" s="1322"/>
      <c r="FG9" s="1322"/>
      <c r="FH9" s="1322"/>
      <c r="FI9" s="1322"/>
      <c r="FJ9" s="1322"/>
      <c r="FK9" s="1322"/>
      <c r="FL9" s="1322"/>
      <c r="FM9" s="1322"/>
      <c r="FN9" s="1322"/>
    </row>
    <row r="10" spans="1:170" s="1323" customFormat="1" ht="24.75" customHeight="1">
      <c r="A10" s="1512"/>
      <c r="B10" s="1509"/>
      <c r="C10" s="1488"/>
      <c r="D10" s="1533"/>
      <c r="E10" s="1491"/>
      <c r="F10" s="1533"/>
      <c r="G10" s="1491"/>
      <c r="H10" s="1501"/>
      <c r="I10" s="1525"/>
      <c r="J10" s="1504"/>
      <c r="K10" s="1504"/>
      <c r="L10" s="1540"/>
      <c r="M10" s="1522"/>
      <c r="N10" s="1504"/>
      <c r="O10" s="1491"/>
      <c r="P10" s="1501"/>
      <c r="Q10" s="1522"/>
      <c r="R10" s="1504"/>
      <c r="S10" s="1491"/>
      <c r="T10" s="1501"/>
      <c r="U10" s="1322"/>
      <c r="V10" s="1322"/>
      <c r="W10" s="1322"/>
      <c r="X10" s="1322"/>
      <c r="Y10" s="1322"/>
      <c r="Z10" s="1322"/>
      <c r="AA10" s="1322"/>
      <c r="AB10" s="1322"/>
      <c r="AC10" s="1322"/>
      <c r="AD10" s="1322"/>
      <c r="AE10" s="1322"/>
      <c r="AF10" s="1322"/>
      <c r="AG10" s="1322"/>
      <c r="AH10" s="1322"/>
      <c r="AI10" s="1322"/>
      <c r="AJ10" s="1322"/>
      <c r="AK10" s="1322"/>
      <c r="AL10" s="1322"/>
      <c r="AM10" s="1322"/>
      <c r="AN10" s="1322"/>
      <c r="AO10" s="1322"/>
      <c r="AP10" s="1322"/>
      <c r="AQ10" s="1322"/>
      <c r="AR10" s="1322"/>
      <c r="AS10" s="1322"/>
      <c r="AT10" s="1322"/>
      <c r="AU10" s="1322"/>
      <c r="AV10" s="1322"/>
      <c r="AW10" s="1322"/>
      <c r="AX10" s="1322"/>
      <c r="AY10" s="1322"/>
      <c r="AZ10" s="1322"/>
      <c r="BA10" s="1322"/>
      <c r="BB10" s="1322"/>
      <c r="BC10" s="1322"/>
      <c r="BD10" s="1322"/>
      <c r="BE10" s="1322"/>
      <c r="BF10" s="1322"/>
      <c r="BG10" s="1322"/>
      <c r="BH10" s="1322"/>
      <c r="BI10" s="1322"/>
      <c r="BJ10" s="1322"/>
      <c r="BK10" s="1322"/>
      <c r="BL10" s="1322"/>
      <c r="BM10" s="1322"/>
      <c r="BN10" s="1322"/>
      <c r="BO10" s="1322"/>
      <c r="BP10" s="1322"/>
      <c r="BQ10" s="1322"/>
      <c r="BR10" s="1322"/>
      <c r="BS10" s="1322"/>
      <c r="BT10" s="1322"/>
      <c r="BU10" s="1322"/>
      <c r="BV10" s="1322"/>
      <c r="BW10" s="1322"/>
      <c r="BX10" s="1322"/>
      <c r="BY10" s="1322"/>
      <c r="BZ10" s="1322"/>
      <c r="CA10" s="1322"/>
      <c r="CB10" s="1322"/>
      <c r="CC10" s="1322"/>
      <c r="CD10" s="1322"/>
      <c r="CE10" s="1322"/>
      <c r="CF10" s="1322"/>
      <c r="CG10" s="1322"/>
      <c r="CH10" s="1322"/>
      <c r="CI10" s="1322"/>
      <c r="CJ10" s="1322"/>
      <c r="CK10" s="1322"/>
      <c r="CL10" s="1322"/>
      <c r="CM10" s="1322"/>
      <c r="CN10" s="1322"/>
      <c r="CO10" s="1322"/>
      <c r="CP10" s="1322"/>
      <c r="CQ10" s="1322"/>
      <c r="CR10" s="1322"/>
      <c r="CS10" s="1322"/>
      <c r="CT10" s="1322"/>
      <c r="CU10" s="1322"/>
      <c r="CV10" s="1322"/>
      <c r="CW10" s="1322"/>
      <c r="CX10" s="1322"/>
      <c r="CY10" s="1322"/>
      <c r="CZ10" s="1322"/>
      <c r="DA10" s="1322"/>
      <c r="DB10" s="1322"/>
      <c r="DC10" s="1322"/>
      <c r="DD10" s="1322"/>
      <c r="DE10" s="1322"/>
      <c r="DF10" s="1322"/>
      <c r="DG10" s="1322"/>
      <c r="DH10" s="1322"/>
      <c r="DI10" s="1322"/>
      <c r="DJ10" s="1322"/>
      <c r="DK10" s="1322"/>
      <c r="DL10" s="1322"/>
      <c r="DM10" s="1322"/>
      <c r="DN10" s="1322"/>
      <c r="DO10" s="1322"/>
      <c r="DP10" s="1322"/>
      <c r="DQ10" s="1322"/>
      <c r="DR10" s="1322"/>
      <c r="DS10" s="1322"/>
      <c r="DT10" s="1322"/>
      <c r="DU10" s="1322"/>
      <c r="DV10" s="1322"/>
      <c r="DW10" s="1322"/>
      <c r="DX10" s="1322"/>
      <c r="DY10" s="1322"/>
      <c r="DZ10" s="1322"/>
      <c r="EA10" s="1322"/>
      <c r="EB10" s="1322"/>
      <c r="EC10" s="1322"/>
      <c r="ED10" s="1322"/>
      <c r="EE10" s="1322"/>
      <c r="EF10" s="1322"/>
      <c r="EG10" s="1322"/>
      <c r="EH10" s="1322"/>
      <c r="EI10" s="1322"/>
      <c r="EJ10" s="1322"/>
      <c r="EK10" s="1322"/>
      <c r="EL10" s="1322"/>
      <c r="EM10" s="1322"/>
      <c r="EN10" s="1322"/>
      <c r="EO10" s="1322"/>
      <c r="EP10" s="1322"/>
      <c r="EQ10" s="1322"/>
      <c r="ER10" s="1322"/>
      <c r="ES10" s="1322"/>
      <c r="ET10" s="1322"/>
      <c r="EU10" s="1322"/>
      <c r="EV10" s="1322"/>
      <c r="EW10" s="1322"/>
      <c r="EX10" s="1322"/>
      <c r="EY10" s="1322"/>
      <c r="EZ10" s="1322"/>
      <c r="FA10" s="1322"/>
      <c r="FB10" s="1322"/>
      <c r="FC10" s="1322"/>
      <c r="FD10" s="1322"/>
      <c r="FE10" s="1322"/>
      <c r="FF10" s="1322"/>
      <c r="FG10" s="1322"/>
      <c r="FH10" s="1322"/>
      <c r="FI10" s="1322"/>
      <c r="FJ10" s="1322"/>
      <c r="FK10" s="1322"/>
      <c r="FL10" s="1322"/>
      <c r="FM10" s="1322"/>
      <c r="FN10" s="1322"/>
    </row>
    <row r="11" spans="1:170" s="1323" customFormat="1" ht="19.5" customHeight="1" thickBot="1">
      <c r="A11" s="1513"/>
      <c r="B11" s="1325">
        <v>1</v>
      </c>
      <c r="C11" s="1326">
        <v>2</v>
      </c>
      <c r="D11" s="1327">
        <v>3</v>
      </c>
      <c r="E11" s="1328">
        <v>4</v>
      </c>
      <c r="F11" s="1328">
        <v>5</v>
      </c>
      <c r="G11" s="1328">
        <v>6</v>
      </c>
      <c r="H11" s="1329" t="s">
        <v>22</v>
      </c>
      <c r="I11" s="1330">
        <v>8</v>
      </c>
      <c r="J11" s="1331">
        <v>9</v>
      </c>
      <c r="K11" s="1332">
        <v>10</v>
      </c>
      <c r="L11" s="1333" t="s">
        <v>23</v>
      </c>
      <c r="M11" s="1330">
        <v>12</v>
      </c>
      <c r="N11" s="1334">
        <v>13</v>
      </c>
      <c r="O11" s="1332">
        <v>14</v>
      </c>
      <c r="P11" s="1335" t="s">
        <v>24</v>
      </c>
      <c r="Q11" s="1336" t="s">
        <v>25</v>
      </c>
      <c r="R11" s="1337" t="s">
        <v>26</v>
      </c>
      <c r="S11" s="1324" t="s">
        <v>27</v>
      </c>
      <c r="T11" s="1338" t="s">
        <v>28</v>
      </c>
      <c r="U11" s="1322"/>
      <c r="V11" s="1322"/>
      <c r="W11" s="1322"/>
      <c r="X11" s="1322"/>
      <c r="Y11" s="1322"/>
      <c r="Z11" s="1322"/>
      <c r="AA11" s="1322"/>
      <c r="AB11" s="1322"/>
      <c r="AC11" s="1322"/>
      <c r="AD11" s="1322"/>
      <c r="AE11" s="1322"/>
      <c r="AF11" s="1322"/>
      <c r="AG11" s="1322"/>
      <c r="AH11" s="1322"/>
      <c r="AI11" s="1322"/>
      <c r="AJ11" s="1322"/>
      <c r="AK11" s="1322"/>
      <c r="AL11" s="1322"/>
      <c r="AM11" s="1322"/>
      <c r="AN11" s="1322"/>
      <c r="AO11" s="1322"/>
      <c r="AP11" s="1322"/>
      <c r="AQ11" s="1322"/>
      <c r="AR11" s="1322"/>
      <c r="AS11" s="1322"/>
      <c r="AT11" s="1322"/>
      <c r="AU11" s="1322"/>
      <c r="AV11" s="1322"/>
      <c r="AW11" s="1322"/>
      <c r="AX11" s="1322"/>
      <c r="AY11" s="1322"/>
      <c r="AZ11" s="1322"/>
      <c r="BA11" s="1322"/>
      <c r="BB11" s="1322"/>
      <c r="BC11" s="1322"/>
      <c r="BD11" s="1322"/>
      <c r="BE11" s="1322"/>
      <c r="BF11" s="1322"/>
      <c r="BG11" s="1322"/>
      <c r="BH11" s="1322"/>
      <c r="BI11" s="1322"/>
      <c r="BJ11" s="1322"/>
      <c r="BK11" s="1322"/>
      <c r="BL11" s="1322"/>
      <c r="BM11" s="1322"/>
      <c r="BN11" s="1322"/>
      <c r="BO11" s="1322"/>
      <c r="BP11" s="1322"/>
      <c r="BQ11" s="1322"/>
      <c r="BR11" s="1322"/>
      <c r="BS11" s="1322"/>
      <c r="BT11" s="1322"/>
      <c r="BU11" s="1322"/>
      <c r="BV11" s="1322"/>
      <c r="BW11" s="1322"/>
      <c r="BX11" s="1322"/>
      <c r="BY11" s="1322"/>
      <c r="BZ11" s="1322"/>
      <c r="CA11" s="1322"/>
      <c r="CB11" s="1322"/>
      <c r="CC11" s="1322"/>
      <c r="CD11" s="1322"/>
      <c r="CE11" s="1322"/>
      <c r="CF11" s="1322"/>
      <c r="CG11" s="1322"/>
      <c r="CH11" s="1322"/>
      <c r="CI11" s="1322"/>
      <c r="CJ11" s="1322"/>
      <c r="CK11" s="1322"/>
      <c r="CL11" s="1322"/>
      <c r="CM11" s="1322"/>
      <c r="CN11" s="1322"/>
      <c r="CO11" s="1322"/>
      <c r="CP11" s="1322"/>
      <c r="CQ11" s="1322"/>
      <c r="CR11" s="1322"/>
      <c r="CS11" s="1322"/>
      <c r="CT11" s="1322"/>
      <c r="CU11" s="1322"/>
      <c r="CV11" s="1322"/>
      <c r="CW11" s="1322"/>
      <c r="CX11" s="1322"/>
      <c r="CY11" s="1322"/>
      <c r="CZ11" s="1322"/>
      <c r="DA11" s="1322"/>
      <c r="DB11" s="1322"/>
      <c r="DC11" s="1322"/>
      <c r="DD11" s="1322"/>
      <c r="DE11" s="1322"/>
      <c r="DF11" s="1322"/>
      <c r="DG11" s="1322"/>
      <c r="DH11" s="1322"/>
      <c r="DI11" s="1322"/>
      <c r="DJ11" s="1322"/>
      <c r="DK11" s="1322"/>
      <c r="DL11" s="1322"/>
      <c r="DM11" s="1322"/>
      <c r="DN11" s="1322"/>
      <c r="DO11" s="1322"/>
      <c r="DP11" s="1322"/>
      <c r="DQ11" s="1322"/>
      <c r="DR11" s="1322"/>
      <c r="DS11" s="1322"/>
      <c r="DT11" s="1322"/>
      <c r="DU11" s="1322"/>
      <c r="DV11" s="1322"/>
      <c r="DW11" s="1322"/>
      <c r="DX11" s="1322"/>
      <c r="DY11" s="1322"/>
      <c r="DZ11" s="1322"/>
      <c r="EA11" s="1322"/>
      <c r="EB11" s="1322"/>
      <c r="EC11" s="1322"/>
      <c r="ED11" s="1322"/>
      <c r="EE11" s="1322"/>
      <c r="EF11" s="1322"/>
      <c r="EG11" s="1322"/>
      <c r="EH11" s="1322"/>
      <c r="EI11" s="1322"/>
      <c r="EJ11" s="1322"/>
      <c r="EK11" s="1322"/>
      <c r="EL11" s="1322"/>
      <c r="EM11" s="1322"/>
      <c r="EN11" s="1322"/>
      <c r="EO11" s="1322"/>
      <c r="EP11" s="1322"/>
      <c r="EQ11" s="1322"/>
      <c r="ER11" s="1322"/>
      <c r="ES11" s="1322"/>
      <c r="ET11" s="1322"/>
      <c r="EU11" s="1322"/>
      <c r="EV11" s="1322"/>
      <c r="EW11" s="1322"/>
      <c r="EX11" s="1322"/>
      <c r="EY11" s="1322"/>
      <c r="EZ11" s="1322"/>
      <c r="FA11" s="1322"/>
      <c r="FB11" s="1322"/>
      <c r="FC11" s="1322"/>
      <c r="FD11" s="1322"/>
      <c r="FE11" s="1322"/>
      <c r="FF11" s="1322"/>
      <c r="FG11" s="1322"/>
      <c r="FH11" s="1322"/>
      <c r="FI11" s="1322"/>
      <c r="FJ11" s="1322"/>
      <c r="FK11" s="1322"/>
      <c r="FL11" s="1322"/>
      <c r="FM11" s="1322"/>
      <c r="FN11" s="1322"/>
    </row>
    <row r="12" spans="1:170" s="1341" customFormat="1" ht="22.5" customHeight="1" thickBot="1">
      <c r="A12" s="792" t="s">
        <v>29</v>
      </c>
      <c r="B12" s="792"/>
      <c r="C12" s="793">
        <f>Q12/H12/12</f>
        <v>28395</v>
      </c>
      <c r="D12" s="794"/>
      <c r="E12" s="794">
        <f aca="true" t="shared" si="0" ref="E12:T12">E14+E36</f>
        <v>81</v>
      </c>
      <c r="F12" s="794">
        <f t="shared" si="0"/>
        <v>0</v>
      </c>
      <c r="G12" s="794">
        <f t="shared" si="0"/>
        <v>33</v>
      </c>
      <c r="H12" s="794">
        <f t="shared" si="0"/>
        <v>114</v>
      </c>
      <c r="I12" s="795">
        <f t="shared" si="0"/>
        <v>8923751.13</v>
      </c>
      <c r="J12" s="796">
        <f t="shared" si="0"/>
        <v>0</v>
      </c>
      <c r="K12" s="797">
        <f t="shared" si="0"/>
        <v>1483409.16</v>
      </c>
      <c r="L12" s="798">
        <f t="shared" si="0"/>
        <v>10407160.29</v>
      </c>
      <c r="M12" s="795">
        <f t="shared" si="0"/>
        <v>29920940.06</v>
      </c>
      <c r="N12" s="797">
        <f t="shared" si="0"/>
        <v>0</v>
      </c>
      <c r="O12" s="797">
        <f t="shared" si="0"/>
        <v>8123024.84</v>
      </c>
      <c r="P12" s="799">
        <f t="shared" si="0"/>
        <v>38043964.9</v>
      </c>
      <c r="Q12" s="795">
        <f t="shared" si="0"/>
        <v>38844691.19</v>
      </c>
      <c r="R12" s="797">
        <f t="shared" si="0"/>
        <v>0</v>
      </c>
      <c r="S12" s="797">
        <f t="shared" si="0"/>
        <v>9606434</v>
      </c>
      <c r="T12" s="798">
        <f t="shared" si="0"/>
        <v>48451125.19</v>
      </c>
      <c r="U12" s="1340"/>
      <c r="V12" s="1340"/>
      <c r="W12" s="1340"/>
      <c r="X12" s="1340"/>
      <c r="Y12" s="1340"/>
      <c r="Z12" s="1340"/>
      <c r="AA12" s="1340"/>
      <c r="AB12" s="1340"/>
      <c r="AC12" s="1340"/>
      <c r="AD12" s="1340"/>
      <c r="AE12" s="1340"/>
      <c r="AF12" s="1340"/>
      <c r="AG12" s="1340"/>
      <c r="AH12" s="1340"/>
      <c r="AI12" s="1340"/>
      <c r="AJ12" s="1340"/>
      <c r="AK12" s="1340"/>
      <c r="AL12" s="1340"/>
      <c r="AM12" s="1340"/>
      <c r="AN12" s="1340"/>
      <c r="AO12" s="1340"/>
      <c r="AP12" s="1340"/>
      <c r="AQ12" s="1340"/>
      <c r="AR12" s="1340"/>
      <c r="AS12" s="1340"/>
      <c r="AT12" s="1340"/>
      <c r="AU12" s="1340"/>
      <c r="AV12" s="1340"/>
      <c r="AW12" s="1340"/>
      <c r="AX12" s="1340"/>
      <c r="AY12" s="1340"/>
      <c r="AZ12" s="1340"/>
      <c r="BA12" s="1340"/>
      <c r="BB12" s="1340"/>
      <c r="BC12" s="1340"/>
      <c r="BD12" s="1340"/>
      <c r="BE12" s="1340"/>
      <c r="BF12" s="1340"/>
      <c r="BG12" s="1340"/>
      <c r="BH12" s="1340"/>
      <c r="BI12" s="1340"/>
      <c r="BJ12" s="1340"/>
      <c r="BK12" s="1340"/>
      <c r="BL12" s="1340"/>
      <c r="BM12" s="1340"/>
      <c r="BN12" s="1340"/>
      <c r="BO12" s="1340"/>
      <c r="BP12" s="1340"/>
      <c r="BQ12" s="1340"/>
      <c r="BR12" s="1340"/>
      <c r="BS12" s="1340"/>
      <c r="BT12" s="1340"/>
      <c r="BU12" s="1340"/>
      <c r="BV12" s="1340"/>
      <c r="BW12" s="1340"/>
      <c r="BX12" s="1340"/>
      <c r="BY12" s="1340"/>
      <c r="BZ12" s="1340"/>
      <c r="CA12" s="1340"/>
      <c r="CB12" s="1340"/>
      <c r="CC12" s="1340"/>
      <c r="CD12" s="1340"/>
      <c r="CE12" s="1340"/>
      <c r="CF12" s="1340"/>
      <c r="CG12" s="1340"/>
      <c r="CH12" s="1340"/>
      <c r="CI12" s="1340"/>
      <c r="CJ12" s="1340"/>
      <c r="CK12" s="1340"/>
      <c r="CL12" s="1340"/>
      <c r="CM12" s="1340"/>
      <c r="CN12" s="1340"/>
      <c r="CO12" s="1340"/>
      <c r="CP12" s="1340"/>
      <c r="CQ12" s="1340"/>
      <c r="CR12" s="1340"/>
      <c r="CS12" s="1340"/>
      <c r="CT12" s="1340"/>
      <c r="CU12" s="1340"/>
      <c r="CV12" s="1340"/>
      <c r="CW12" s="1340"/>
      <c r="CX12" s="1340"/>
      <c r="CY12" s="1340"/>
      <c r="CZ12" s="1340"/>
      <c r="DA12" s="1340"/>
      <c r="DB12" s="1340"/>
      <c r="DC12" s="1340"/>
      <c r="DD12" s="1340"/>
      <c r="DE12" s="1340"/>
      <c r="DF12" s="1340"/>
      <c r="DG12" s="1340"/>
      <c r="DH12" s="1340"/>
      <c r="DI12" s="1340"/>
      <c r="DJ12" s="1340"/>
      <c r="DK12" s="1340"/>
      <c r="DL12" s="1340"/>
      <c r="DM12" s="1340"/>
      <c r="DN12" s="1340"/>
      <c r="DO12" s="1340"/>
      <c r="DP12" s="1340"/>
      <c r="DQ12" s="1340"/>
      <c r="DR12" s="1340"/>
      <c r="DS12" s="1340"/>
      <c r="DT12" s="1340"/>
      <c r="DU12" s="1340"/>
      <c r="DV12" s="1340"/>
      <c r="DW12" s="1340"/>
      <c r="DX12" s="1340"/>
      <c r="DY12" s="1340"/>
      <c r="DZ12" s="1340"/>
      <c r="EA12" s="1340"/>
      <c r="EB12" s="1340"/>
      <c r="EC12" s="1340"/>
      <c r="ED12" s="1340"/>
      <c r="EE12" s="1340"/>
      <c r="EF12" s="1340"/>
      <c r="EG12" s="1340"/>
      <c r="EH12" s="1340"/>
      <c r="EI12" s="1340"/>
      <c r="EJ12" s="1340"/>
      <c r="EK12" s="1340"/>
      <c r="EL12" s="1340"/>
      <c r="EM12" s="1340"/>
      <c r="EN12" s="1340"/>
      <c r="EO12" s="1340"/>
      <c r="EP12" s="1340"/>
      <c r="EQ12" s="1340"/>
      <c r="ER12" s="1340"/>
      <c r="ES12" s="1340"/>
      <c r="ET12" s="1340"/>
      <c r="EU12" s="1340"/>
      <c r="EV12" s="1340"/>
      <c r="EW12" s="1340"/>
      <c r="EX12" s="1340"/>
      <c r="EY12" s="1340"/>
      <c r="EZ12" s="1340"/>
      <c r="FA12" s="1340"/>
      <c r="FB12" s="1340"/>
      <c r="FC12" s="1340"/>
      <c r="FD12" s="1340"/>
      <c r="FE12" s="1340"/>
      <c r="FF12" s="1340"/>
      <c r="FG12" s="1340"/>
      <c r="FH12" s="1340"/>
      <c r="FI12" s="1340"/>
      <c r="FJ12" s="1340"/>
      <c r="FK12" s="1340"/>
      <c r="FL12" s="1340"/>
      <c r="FM12" s="1340"/>
      <c r="FN12" s="1340"/>
    </row>
    <row r="13" spans="1:170" s="1339" customFormat="1" ht="19.5" customHeight="1">
      <c r="A13" s="800" t="s">
        <v>791</v>
      </c>
      <c r="B13" s="800"/>
      <c r="C13" s="801"/>
      <c r="D13" s="802"/>
      <c r="E13" s="802"/>
      <c r="F13" s="802"/>
      <c r="G13" s="802"/>
      <c r="H13" s="803"/>
      <c r="I13" s="804"/>
      <c r="J13" s="805"/>
      <c r="K13" s="806"/>
      <c r="L13" s="807"/>
      <c r="M13" s="804"/>
      <c r="N13" s="806"/>
      <c r="O13" s="806"/>
      <c r="P13" s="808"/>
      <c r="Q13" s="804"/>
      <c r="R13" s="806"/>
      <c r="S13" s="806"/>
      <c r="T13" s="807"/>
      <c r="U13" s="1342"/>
      <c r="V13" s="1342"/>
      <c r="W13" s="1342"/>
      <c r="X13" s="1342"/>
      <c r="Y13" s="1342"/>
      <c r="Z13" s="1342"/>
      <c r="AA13" s="1342"/>
      <c r="AB13" s="1342"/>
      <c r="AC13" s="1342"/>
      <c r="AD13" s="1342"/>
      <c r="AE13" s="1342"/>
      <c r="AF13" s="1342"/>
      <c r="AG13" s="1342"/>
      <c r="AH13" s="1342"/>
      <c r="AI13" s="1342"/>
      <c r="AJ13" s="1342"/>
      <c r="AK13" s="1342"/>
      <c r="AL13" s="1342"/>
      <c r="AM13" s="1342"/>
      <c r="AN13" s="1342"/>
      <c r="AO13" s="1342"/>
      <c r="AP13" s="1342"/>
      <c r="AQ13" s="1342"/>
      <c r="AR13" s="1342"/>
      <c r="AS13" s="1342"/>
      <c r="AT13" s="1342"/>
      <c r="AU13" s="1342"/>
      <c r="AV13" s="1342"/>
      <c r="AW13" s="1342"/>
      <c r="AX13" s="1342"/>
      <c r="AY13" s="1342"/>
      <c r="AZ13" s="1342"/>
      <c r="BA13" s="1342"/>
      <c r="BB13" s="1342"/>
      <c r="BC13" s="1342"/>
      <c r="BD13" s="1342"/>
      <c r="BE13" s="1342"/>
      <c r="BF13" s="1342"/>
      <c r="BG13" s="1342"/>
      <c r="BH13" s="1342"/>
      <c r="BI13" s="1342"/>
      <c r="BJ13" s="1342"/>
      <c r="BK13" s="1342"/>
      <c r="BL13" s="1342"/>
      <c r="BM13" s="1342"/>
      <c r="BN13" s="1342"/>
      <c r="BO13" s="1342"/>
      <c r="BP13" s="1342"/>
      <c r="BQ13" s="1342"/>
      <c r="BR13" s="1342"/>
      <c r="BS13" s="1342"/>
      <c r="BT13" s="1342"/>
      <c r="BU13" s="1342"/>
      <c r="BV13" s="1342"/>
      <c r="BW13" s="1342"/>
      <c r="BX13" s="1342"/>
      <c r="BY13" s="1342"/>
      <c r="BZ13" s="1342"/>
      <c r="CA13" s="1342"/>
      <c r="CB13" s="1342"/>
      <c r="CC13" s="1342"/>
      <c r="CD13" s="1342"/>
      <c r="CE13" s="1342"/>
      <c r="CF13" s="1342"/>
      <c r="CG13" s="1342"/>
      <c r="CH13" s="1342"/>
      <c r="CI13" s="1342"/>
      <c r="CJ13" s="1342"/>
      <c r="CK13" s="1342"/>
      <c r="CL13" s="1342"/>
      <c r="CM13" s="1342"/>
      <c r="CN13" s="1342"/>
      <c r="CO13" s="1342"/>
      <c r="CP13" s="1342"/>
      <c r="CQ13" s="1342"/>
      <c r="CR13" s="1342"/>
      <c r="CS13" s="1342"/>
      <c r="CT13" s="1342"/>
      <c r="CU13" s="1342"/>
      <c r="CV13" s="1342"/>
      <c r="CW13" s="1342"/>
      <c r="CX13" s="1342"/>
      <c r="CY13" s="1342"/>
      <c r="CZ13" s="1342"/>
      <c r="DA13" s="1342"/>
      <c r="DB13" s="1342"/>
      <c r="DC13" s="1342"/>
      <c r="DD13" s="1342"/>
      <c r="DE13" s="1342"/>
      <c r="DF13" s="1342"/>
      <c r="DG13" s="1342"/>
      <c r="DH13" s="1342"/>
      <c r="DI13" s="1342"/>
      <c r="DJ13" s="1342"/>
      <c r="DK13" s="1342"/>
      <c r="DL13" s="1342"/>
      <c r="DM13" s="1342"/>
      <c r="DN13" s="1342"/>
      <c r="DO13" s="1342"/>
      <c r="DP13" s="1342"/>
      <c r="DQ13" s="1342"/>
      <c r="DR13" s="1342"/>
      <c r="DS13" s="1342"/>
      <c r="DT13" s="1342"/>
      <c r="DU13" s="1342"/>
      <c r="DV13" s="1342"/>
      <c r="DW13" s="1342"/>
      <c r="DX13" s="1342"/>
      <c r="DY13" s="1342"/>
      <c r="DZ13" s="1342"/>
      <c r="EA13" s="1342"/>
      <c r="EB13" s="1342"/>
      <c r="EC13" s="1342"/>
      <c r="ED13" s="1342"/>
      <c r="EE13" s="1342"/>
      <c r="EF13" s="1342"/>
      <c r="EG13" s="1342"/>
      <c r="EH13" s="1342"/>
      <c r="EI13" s="1342"/>
      <c r="EJ13" s="1342"/>
      <c r="EK13" s="1342"/>
      <c r="EL13" s="1342"/>
      <c r="EM13" s="1342"/>
      <c r="EN13" s="1342"/>
      <c r="EO13" s="1342"/>
      <c r="EP13" s="1342"/>
      <c r="EQ13" s="1342"/>
      <c r="ER13" s="1342"/>
      <c r="ES13" s="1342"/>
      <c r="ET13" s="1342"/>
      <c r="EU13" s="1342"/>
      <c r="EV13" s="1342"/>
      <c r="EW13" s="1342"/>
      <c r="EX13" s="1342"/>
      <c r="EY13" s="1342"/>
      <c r="EZ13" s="1342"/>
      <c r="FA13" s="1342"/>
      <c r="FB13" s="1342"/>
      <c r="FC13" s="1342"/>
      <c r="FD13" s="1342"/>
      <c r="FE13" s="1342"/>
      <c r="FF13" s="1342"/>
      <c r="FG13" s="1342"/>
      <c r="FH13" s="1342"/>
      <c r="FI13" s="1342"/>
      <c r="FJ13" s="1342"/>
      <c r="FK13" s="1342"/>
      <c r="FL13" s="1342"/>
      <c r="FM13" s="1342"/>
      <c r="FN13" s="1342"/>
    </row>
    <row r="14" spans="1:170" s="1339" customFormat="1" ht="19.5" customHeight="1">
      <c r="A14" s="809" t="s">
        <v>30</v>
      </c>
      <c r="B14" s="800"/>
      <c r="C14" s="810">
        <f>Q14/H14/12</f>
        <v>31307</v>
      </c>
      <c r="D14" s="811"/>
      <c r="E14" s="812">
        <f aca="true" t="shared" si="1" ref="E14:T14">E16+E27+E31</f>
        <v>59</v>
      </c>
      <c r="F14" s="811">
        <f t="shared" si="1"/>
        <v>0</v>
      </c>
      <c r="G14" s="811">
        <f t="shared" si="1"/>
        <v>33</v>
      </c>
      <c r="H14" s="813">
        <f t="shared" si="1"/>
        <v>92</v>
      </c>
      <c r="I14" s="814">
        <f t="shared" si="1"/>
        <v>4899850.59</v>
      </c>
      <c r="J14" s="815">
        <f t="shared" si="1"/>
        <v>0</v>
      </c>
      <c r="K14" s="816">
        <f t="shared" si="1"/>
        <v>1219429.16</v>
      </c>
      <c r="L14" s="817">
        <f t="shared" si="1"/>
        <v>6119279.75</v>
      </c>
      <c r="M14" s="814">
        <f t="shared" si="1"/>
        <v>29662934.46</v>
      </c>
      <c r="N14" s="816">
        <f t="shared" si="1"/>
        <v>0</v>
      </c>
      <c r="O14" s="816">
        <f t="shared" si="1"/>
        <v>6630339.84</v>
      </c>
      <c r="P14" s="818">
        <f t="shared" si="1"/>
        <v>36293274.3</v>
      </c>
      <c r="Q14" s="814">
        <f t="shared" si="1"/>
        <v>34562785.05</v>
      </c>
      <c r="R14" s="816">
        <f t="shared" si="1"/>
        <v>0</v>
      </c>
      <c r="S14" s="816">
        <f t="shared" si="1"/>
        <v>7849769</v>
      </c>
      <c r="T14" s="817">
        <f t="shared" si="1"/>
        <v>42412554.05</v>
      </c>
      <c r="U14" s="1343"/>
      <c r="V14" s="1342"/>
      <c r="W14" s="1342"/>
      <c r="X14" s="1342"/>
      <c r="Y14" s="1342"/>
      <c r="Z14" s="1342"/>
      <c r="AA14" s="1342"/>
      <c r="AB14" s="1342"/>
      <c r="AC14" s="1342"/>
      <c r="AD14" s="1342"/>
      <c r="AE14" s="1342"/>
      <c r="AF14" s="1342"/>
      <c r="AG14" s="1342"/>
      <c r="AH14" s="1342"/>
      <c r="AI14" s="1342"/>
      <c r="AJ14" s="1342"/>
      <c r="AK14" s="1342"/>
      <c r="AL14" s="1342"/>
      <c r="AM14" s="1342"/>
      <c r="AN14" s="1342"/>
      <c r="AO14" s="1342"/>
      <c r="AP14" s="1342"/>
      <c r="AQ14" s="1342"/>
      <c r="AR14" s="1342"/>
      <c r="AS14" s="1342"/>
      <c r="AT14" s="1342"/>
      <c r="AU14" s="1342"/>
      <c r="AV14" s="1342"/>
      <c r="AW14" s="1342"/>
      <c r="AX14" s="1342"/>
      <c r="AY14" s="1342"/>
      <c r="AZ14" s="1342"/>
      <c r="BA14" s="1342"/>
      <c r="BB14" s="1342"/>
      <c r="BC14" s="1342"/>
      <c r="BD14" s="1342"/>
      <c r="BE14" s="1342"/>
      <c r="BF14" s="1342"/>
      <c r="BG14" s="1342"/>
      <c r="BH14" s="1342"/>
      <c r="BI14" s="1342"/>
      <c r="BJ14" s="1342"/>
      <c r="BK14" s="1342"/>
      <c r="BL14" s="1342"/>
      <c r="BM14" s="1342"/>
      <c r="BN14" s="1342"/>
      <c r="BO14" s="1342"/>
      <c r="BP14" s="1342"/>
      <c r="BQ14" s="1342"/>
      <c r="BR14" s="1342"/>
      <c r="BS14" s="1342"/>
      <c r="BT14" s="1342"/>
      <c r="BU14" s="1342"/>
      <c r="BV14" s="1342"/>
      <c r="BW14" s="1342"/>
      <c r="BX14" s="1342"/>
      <c r="BY14" s="1342"/>
      <c r="BZ14" s="1342"/>
      <c r="CA14" s="1342"/>
      <c r="CB14" s="1342"/>
      <c r="CC14" s="1342"/>
      <c r="CD14" s="1342"/>
      <c r="CE14" s="1342"/>
      <c r="CF14" s="1342"/>
      <c r="CG14" s="1342"/>
      <c r="CH14" s="1342"/>
      <c r="CI14" s="1342"/>
      <c r="CJ14" s="1342"/>
      <c r="CK14" s="1342"/>
      <c r="CL14" s="1342"/>
      <c r="CM14" s="1342"/>
      <c r="CN14" s="1342"/>
      <c r="CO14" s="1342"/>
      <c r="CP14" s="1342"/>
      <c r="CQ14" s="1342"/>
      <c r="CR14" s="1342"/>
      <c r="CS14" s="1342"/>
      <c r="CT14" s="1342"/>
      <c r="CU14" s="1342"/>
      <c r="CV14" s="1342"/>
      <c r="CW14" s="1342"/>
      <c r="CX14" s="1342"/>
      <c r="CY14" s="1342"/>
      <c r="CZ14" s="1342"/>
      <c r="DA14" s="1342"/>
      <c r="DB14" s="1342"/>
      <c r="DC14" s="1342"/>
      <c r="DD14" s="1342"/>
      <c r="DE14" s="1342"/>
      <c r="DF14" s="1342"/>
      <c r="DG14" s="1342"/>
      <c r="DH14" s="1342"/>
      <c r="DI14" s="1342"/>
      <c r="DJ14" s="1342"/>
      <c r="DK14" s="1342"/>
      <c r="DL14" s="1342"/>
      <c r="DM14" s="1342"/>
      <c r="DN14" s="1342"/>
      <c r="DO14" s="1342"/>
      <c r="DP14" s="1342"/>
      <c r="DQ14" s="1342"/>
      <c r="DR14" s="1342"/>
      <c r="DS14" s="1342"/>
      <c r="DT14" s="1342"/>
      <c r="DU14" s="1342"/>
      <c r="DV14" s="1342"/>
      <c r="DW14" s="1342"/>
      <c r="DX14" s="1342"/>
      <c r="DY14" s="1342"/>
      <c r="DZ14" s="1342"/>
      <c r="EA14" s="1342"/>
      <c r="EB14" s="1342"/>
      <c r="EC14" s="1342"/>
      <c r="ED14" s="1342"/>
      <c r="EE14" s="1342"/>
      <c r="EF14" s="1342"/>
      <c r="EG14" s="1342"/>
      <c r="EH14" s="1342"/>
      <c r="EI14" s="1342"/>
      <c r="EJ14" s="1342"/>
      <c r="EK14" s="1342"/>
      <c r="EL14" s="1342"/>
      <c r="EM14" s="1342"/>
      <c r="EN14" s="1342"/>
      <c r="EO14" s="1342"/>
      <c r="EP14" s="1342"/>
      <c r="EQ14" s="1342"/>
      <c r="ER14" s="1342"/>
      <c r="ES14" s="1342"/>
      <c r="ET14" s="1342"/>
      <c r="EU14" s="1342"/>
      <c r="EV14" s="1342"/>
      <c r="EW14" s="1342"/>
      <c r="EX14" s="1342"/>
      <c r="EY14" s="1342"/>
      <c r="EZ14" s="1342"/>
      <c r="FA14" s="1342"/>
      <c r="FB14" s="1342"/>
      <c r="FC14" s="1342"/>
      <c r="FD14" s="1342"/>
      <c r="FE14" s="1342"/>
      <c r="FF14" s="1342"/>
      <c r="FG14" s="1342"/>
      <c r="FH14" s="1342"/>
      <c r="FI14" s="1342"/>
      <c r="FJ14" s="1342"/>
      <c r="FK14" s="1342"/>
      <c r="FL14" s="1342"/>
      <c r="FM14" s="1342"/>
      <c r="FN14" s="1342"/>
    </row>
    <row r="15" spans="1:170" s="1339" customFormat="1" ht="19.5" customHeight="1" thickBot="1">
      <c r="A15" s="819" t="s">
        <v>791</v>
      </c>
      <c r="B15" s="819"/>
      <c r="C15" s="810"/>
      <c r="D15" s="811"/>
      <c r="E15" s="811"/>
      <c r="F15" s="811"/>
      <c r="G15" s="811"/>
      <c r="H15" s="820"/>
      <c r="I15" s="821"/>
      <c r="J15" s="822"/>
      <c r="K15" s="823"/>
      <c r="L15" s="824"/>
      <c r="M15" s="821"/>
      <c r="N15" s="823"/>
      <c r="O15" s="823"/>
      <c r="P15" s="825"/>
      <c r="Q15" s="821"/>
      <c r="R15" s="823"/>
      <c r="S15" s="823"/>
      <c r="T15" s="824"/>
      <c r="U15" s="1343"/>
      <c r="V15" s="1342"/>
      <c r="W15" s="1342"/>
      <c r="X15" s="1342"/>
      <c r="Y15" s="1342"/>
      <c r="Z15" s="1342"/>
      <c r="AA15" s="1342"/>
      <c r="AB15" s="1342"/>
      <c r="AC15" s="1342"/>
      <c r="AD15" s="1342"/>
      <c r="AE15" s="1342"/>
      <c r="AF15" s="1342"/>
      <c r="AG15" s="1342"/>
      <c r="AH15" s="1342"/>
      <c r="AI15" s="1342"/>
      <c r="AJ15" s="1342"/>
      <c r="AK15" s="1342"/>
      <c r="AL15" s="1342"/>
      <c r="AM15" s="1342"/>
      <c r="AN15" s="1342"/>
      <c r="AO15" s="1342"/>
      <c r="AP15" s="1342"/>
      <c r="AQ15" s="1342"/>
      <c r="AR15" s="1342"/>
      <c r="AS15" s="1342"/>
      <c r="AT15" s="1342"/>
      <c r="AU15" s="1342"/>
      <c r="AV15" s="1342"/>
      <c r="AW15" s="1342"/>
      <c r="AX15" s="1342"/>
      <c r="AY15" s="1342"/>
      <c r="AZ15" s="1342"/>
      <c r="BA15" s="1342"/>
      <c r="BB15" s="1342"/>
      <c r="BC15" s="1342"/>
      <c r="BD15" s="1342"/>
      <c r="BE15" s="1342"/>
      <c r="BF15" s="1342"/>
      <c r="BG15" s="1342"/>
      <c r="BH15" s="1342"/>
      <c r="BI15" s="1342"/>
      <c r="BJ15" s="1342"/>
      <c r="BK15" s="1342"/>
      <c r="BL15" s="1342"/>
      <c r="BM15" s="1342"/>
      <c r="BN15" s="1342"/>
      <c r="BO15" s="1342"/>
      <c r="BP15" s="1342"/>
      <c r="BQ15" s="1342"/>
      <c r="BR15" s="1342"/>
      <c r="BS15" s="1342"/>
      <c r="BT15" s="1342"/>
      <c r="BU15" s="1342"/>
      <c r="BV15" s="1342"/>
      <c r="BW15" s="1342"/>
      <c r="BX15" s="1342"/>
      <c r="BY15" s="1342"/>
      <c r="BZ15" s="1342"/>
      <c r="CA15" s="1342"/>
      <c r="CB15" s="1342"/>
      <c r="CC15" s="1342"/>
      <c r="CD15" s="1342"/>
      <c r="CE15" s="1342"/>
      <c r="CF15" s="1342"/>
      <c r="CG15" s="1342"/>
      <c r="CH15" s="1342"/>
      <c r="CI15" s="1342"/>
      <c r="CJ15" s="1342"/>
      <c r="CK15" s="1342"/>
      <c r="CL15" s="1342"/>
      <c r="CM15" s="1342"/>
      <c r="CN15" s="1342"/>
      <c r="CO15" s="1342"/>
      <c r="CP15" s="1342"/>
      <c r="CQ15" s="1342"/>
      <c r="CR15" s="1342"/>
      <c r="CS15" s="1342"/>
      <c r="CT15" s="1342"/>
      <c r="CU15" s="1342"/>
      <c r="CV15" s="1342"/>
      <c r="CW15" s="1342"/>
      <c r="CX15" s="1342"/>
      <c r="CY15" s="1342"/>
      <c r="CZ15" s="1342"/>
      <c r="DA15" s="1342"/>
      <c r="DB15" s="1342"/>
      <c r="DC15" s="1342"/>
      <c r="DD15" s="1342"/>
      <c r="DE15" s="1342"/>
      <c r="DF15" s="1342"/>
      <c r="DG15" s="1342"/>
      <c r="DH15" s="1342"/>
      <c r="DI15" s="1342"/>
      <c r="DJ15" s="1342"/>
      <c r="DK15" s="1342"/>
      <c r="DL15" s="1342"/>
      <c r="DM15" s="1342"/>
      <c r="DN15" s="1342"/>
      <c r="DO15" s="1342"/>
      <c r="DP15" s="1342"/>
      <c r="DQ15" s="1342"/>
      <c r="DR15" s="1342"/>
      <c r="DS15" s="1342"/>
      <c r="DT15" s="1342"/>
      <c r="DU15" s="1342"/>
      <c r="DV15" s="1342"/>
      <c r="DW15" s="1342"/>
      <c r="DX15" s="1342"/>
      <c r="DY15" s="1342"/>
      <c r="DZ15" s="1342"/>
      <c r="EA15" s="1342"/>
      <c r="EB15" s="1342"/>
      <c r="EC15" s="1342"/>
      <c r="ED15" s="1342"/>
      <c r="EE15" s="1342"/>
      <c r="EF15" s="1342"/>
      <c r="EG15" s="1342"/>
      <c r="EH15" s="1342"/>
      <c r="EI15" s="1342"/>
      <c r="EJ15" s="1342"/>
      <c r="EK15" s="1342"/>
      <c r="EL15" s="1342"/>
      <c r="EM15" s="1342"/>
      <c r="EN15" s="1342"/>
      <c r="EO15" s="1342"/>
      <c r="EP15" s="1342"/>
      <c r="EQ15" s="1342"/>
      <c r="ER15" s="1342"/>
      <c r="ES15" s="1342"/>
      <c r="ET15" s="1342"/>
      <c r="EU15" s="1342"/>
      <c r="EV15" s="1342"/>
      <c r="EW15" s="1342"/>
      <c r="EX15" s="1342"/>
      <c r="EY15" s="1342"/>
      <c r="EZ15" s="1342"/>
      <c r="FA15" s="1342"/>
      <c r="FB15" s="1342"/>
      <c r="FC15" s="1342"/>
      <c r="FD15" s="1342"/>
      <c r="FE15" s="1342"/>
      <c r="FF15" s="1342"/>
      <c r="FG15" s="1342"/>
      <c r="FH15" s="1342"/>
      <c r="FI15" s="1342"/>
      <c r="FJ15" s="1342"/>
      <c r="FK15" s="1342"/>
      <c r="FL15" s="1342"/>
      <c r="FM15" s="1342"/>
      <c r="FN15" s="1342"/>
    </row>
    <row r="16" spans="1:170" s="1339" customFormat="1" ht="19.5" customHeight="1" thickBot="1">
      <c r="A16" s="826" t="s">
        <v>31</v>
      </c>
      <c r="B16" s="827"/>
      <c r="C16" s="828">
        <f>Q16/H16/12</f>
        <v>31948</v>
      </c>
      <c r="D16" s="829"/>
      <c r="E16" s="830">
        <f aca="true" t="shared" si="2" ref="E16:T16">SUM(E17:E25)</f>
        <v>52</v>
      </c>
      <c r="F16" s="829">
        <f t="shared" si="2"/>
        <v>0</v>
      </c>
      <c r="G16" s="829">
        <f t="shared" si="2"/>
        <v>33</v>
      </c>
      <c r="H16" s="831">
        <f t="shared" si="2"/>
        <v>85</v>
      </c>
      <c r="I16" s="832">
        <f t="shared" si="2"/>
        <v>4450377.49</v>
      </c>
      <c r="J16" s="833">
        <f t="shared" si="2"/>
        <v>0</v>
      </c>
      <c r="K16" s="834">
        <f t="shared" si="2"/>
        <v>1044529.16</v>
      </c>
      <c r="L16" s="835">
        <f t="shared" si="2"/>
        <v>5494906.65</v>
      </c>
      <c r="M16" s="832">
        <f t="shared" si="2"/>
        <v>28136862.07</v>
      </c>
      <c r="N16" s="834">
        <f t="shared" si="2"/>
        <v>0</v>
      </c>
      <c r="O16" s="834">
        <f t="shared" si="2"/>
        <v>5670739.84</v>
      </c>
      <c r="P16" s="835">
        <f t="shared" si="2"/>
        <v>33807601.91</v>
      </c>
      <c r="Q16" s="832">
        <f t="shared" si="2"/>
        <v>32587239.56</v>
      </c>
      <c r="R16" s="832">
        <f t="shared" si="2"/>
        <v>0</v>
      </c>
      <c r="S16" s="832">
        <f t="shared" si="2"/>
        <v>6715269</v>
      </c>
      <c r="T16" s="836">
        <f t="shared" si="2"/>
        <v>39302508.56</v>
      </c>
      <c r="U16" s="1343"/>
      <c r="V16" s="1343"/>
      <c r="W16" s="1343"/>
      <c r="X16" s="1343"/>
      <c r="Y16" s="1342"/>
      <c r="Z16" s="1342"/>
      <c r="AA16" s="1342"/>
      <c r="AB16" s="1342"/>
      <c r="AC16" s="1342"/>
      <c r="AD16" s="1342"/>
      <c r="AE16" s="1342"/>
      <c r="AF16" s="1342"/>
      <c r="AG16" s="1342"/>
      <c r="AH16" s="1342"/>
      <c r="AI16" s="1342"/>
      <c r="AJ16" s="1342"/>
      <c r="AK16" s="1342"/>
      <c r="AL16" s="1342"/>
      <c r="AM16" s="1342"/>
      <c r="AN16" s="1342"/>
      <c r="AO16" s="1342"/>
      <c r="AP16" s="1342"/>
      <c r="AQ16" s="1342"/>
      <c r="AR16" s="1342"/>
      <c r="AS16" s="1342"/>
      <c r="AT16" s="1342"/>
      <c r="AU16" s="1342"/>
      <c r="AV16" s="1342"/>
      <c r="AW16" s="1342"/>
      <c r="AX16" s="1342"/>
      <c r="AY16" s="1342"/>
      <c r="AZ16" s="1342"/>
      <c r="BA16" s="1342"/>
      <c r="BB16" s="1342"/>
      <c r="BC16" s="1342"/>
      <c r="BD16" s="1342"/>
      <c r="BE16" s="1342"/>
      <c r="BF16" s="1342"/>
      <c r="BG16" s="1342"/>
      <c r="BH16" s="1342"/>
      <c r="BI16" s="1342"/>
      <c r="BJ16" s="1342"/>
      <c r="BK16" s="1342"/>
      <c r="BL16" s="1342"/>
      <c r="BM16" s="1342"/>
      <c r="BN16" s="1342"/>
      <c r="BO16" s="1342"/>
      <c r="BP16" s="1342"/>
      <c r="BQ16" s="1342"/>
      <c r="BR16" s="1342"/>
      <c r="BS16" s="1342"/>
      <c r="BT16" s="1342"/>
      <c r="BU16" s="1342"/>
      <c r="BV16" s="1342"/>
      <c r="BW16" s="1342"/>
      <c r="BX16" s="1342"/>
      <c r="BY16" s="1342"/>
      <c r="BZ16" s="1342"/>
      <c r="CA16" s="1342"/>
      <c r="CB16" s="1342"/>
      <c r="CC16" s="1342"/>
      <c r="CD16" s="1342"/>
      <c r="CE16" s="1342"/>
      <c r="CF16" s="1342"/>
      <c r="CG16" s="1342"/>
      <c r="CH16" s="1342"/>
      <c r="CI16" s="1342"/>
      <c r="CJ16" s="1342"/>
      <c r="CK16" s="1342"/>
      <c r="CL16" s="1342"/>
      <c r="CM16" s="1342"/>
      <c r="CN16" s="1342"/>
      <c r="CO16" s="1342"/>
      <c r="CP16" s="1342"/>
      <c r="CQ16" s="1342"/>
      <c r="CR16" s="1342"/>
      <c r="CS16" s="1342"/>
      <c r="CT16" s="1342"/>
      <c r="CU16" s="1342"/>
      <c r="CV16" s="1342"/>
      <c r="CW16" s="1342"/>
      <c r="CX16" s="1342"/>
      <c r="CY16" s="1342"/>
      <c r="CZ16" s="1342"/>
      <c r="DA16" s="1342"/>
      <c r="DB16" s="1342"/>
      <c r="DC16" s="1342"/>
      <c r="DD16" s="1342"/>
      <c r="DE16" s="1342"/>
      <c r="DF16" s="1342"/>
      <c r="DG16" s="1342"/>
      <c r="DH16" s="1342"/>
      <c r="DI16" s="1342"/>
      <c r="DJ16" s="1342"/>
      <c r="DK16" s="1342"/>
      <c r="DL16" s="1342"/>
      <c r="DM16" s="1342"/>
      <c r="DN16" s="1342"/>
      <c r="DO16" s="1342"/>
      <c r="DP16" s="1342"/>
      <c r="DQ16" s="1342"/>
      <c r="DR16" s="1342"/>
      <c r="DS16" s="1342"/>
      <c r="DT16" s="1342"/>
      <c r="DU16" s="1342"/>
      <c r="DV16" s="1342"/>
      <c r="DW16" s="1342"/>
      <c r="DX16" s="1342"/>
      <c r="DY16" s="1342"/>
      <c r="DZ16" s="1342"/>
      <c r="EA16" s="1342"/>
      <c r="EB16" s="1342"/>
      <c r="EC16" s="1342"/>
      <c r="ED16" s="1342"/>
      <c r="EE16" s="1342"/>
      <c r="EF16" s="1342"/>
      <c r="EG16" s="1342"/>
      <c r="EH16" s="1342"/>
      <c r="EI16" s="1342"/>
      <c r="EJ16" s="1342"/>
      <c r="EK16" s="1342"/>
      <c r="EL16" s="1342"/>
      <c r="EM16" s="1342"/>
      <c r="EN16" s="1342"/>
      <c r="EO16" s="1342"/>
      <c r="EP16" s="1342"/>
      <c r="EQ16" s="1342"/>
      <c r="ER16" s="1342"/>
      <c r="ES16" s="1342"/>
      <c r="ET16" s="1342"/>
      <c r="EU16" s="1342"/>
      <c r="EV16" s="1342"/>
      <c r="EW16" s="1342"/>
      <c r="EX16" s="1342"/>
      <c r="EY16" s="1342"/>
      <c r="EZ16" s="1342"/>
      <c r="FA16" s="1342"/>
      <c r="FB16" s="1342"/>
      <c r="FC16" s="1342"/>
      <c r="FD16" s="1342"/>
      <c r="FE16" s="1342"/>
      <c r="FF16" s="1342"/>
      <c r="FG16" s="1342"/>
      <c r="FH16" s="1342"/>
      <c r="FI16" s="1342"/>
      <c r="FJ16" s="1342"/>
      <c r="FK16" s="1342"/>
      <c r="FL16" s="1342"/>
      <c r="FM16" s="1342"/>
      <c r="FN16" s="1342"/>
    </row>
    <row r="17" spans="1:170" s="1339" customFormat="1" ht="19.5" customHeight="1">
      <c r="A17" s="837" t="s">
        <v>32</v>
      </c>
      <c r="B17" s="837" t="s">
        <v>33</v>
      </c>
      <c r="C17" s="838">
        <f>Q17/H17/12</f>
        <v>34835</v>
      </c>
      <c r="D17" s="839"/>
      <c r="E17" s="839">
        <v>0</v>
      </c>
      <c r="F17" s="839"/>
      <c r="G17" s="839">
        <v>17</v>
      </c>
      <c r="H17" s="840">
        <f aca="true" t="shared" si="3" ref="H17:H25">E17+F17+G17</f>
        <v>17</v>
      </c>
      <c r="I17" s="814">
        <v>1065954.17</v>
      </c>
      <c r="J17" s="815"/>
      <c r="K17" s="816">
        <f>699367.43-45984.68</f>
        <v>653382.75</v>
      </c>
      <c r="L17" s="817">
        <f aca="true" t="shared" si="4" ref="L17:L25">I17+J17+K17</f>
        <v>1719336.92</v>
      </c>
      <c r="M17" s="814">
        <v>6040337.87</v>
      </c>
      <c r="N17" s="816"/>
      <c r="O17" s="816">
        <v>3702502.25</v>
      </c>
      <c r="P17" s="817">
        <f aca="true" t="shared" si="5" ref="P17:P25">M17+N17+O17</f>
        <v>9742840.12</v>
      </c>
      <c r="Q17" s="814">
        <f aca="true" t="shared" si="6" ref="Q17:Q25">I17+M17</f>
        <v>7106292.04</v>
      </c>
      <c r="R17" s="815">
        <f aca="true" t="shared" si="7" ref="R17:R25">J17+N17</f>
        <v>0</v>
      </c>
      <c r="S17" s="816">
        <f aca="true" t="shared" si="8" ref="S17:S25">K17+O17</f>
        <v>4355885</v>
      </c>
      <c r="T17" s="817">
        <f aca="true" t="shared" si="9" ref="T17:T25">Q17+R17+S17</f>
        <v>11462177.04</v>
      </c>
      <c r="U17" s="1343"/>
      <c r="V17" s="1342"/>
      <c r="W17" s="1342"/>
      <c r="X17" s="1342"/>
      <c r="Y17" s="1342"/>
      <c r="Z17" s="1342"/>
      <c r="AA17" s="1342"/>
      <c r="AB17" s="1342"/>
      <c r="AC17" s="1342"/>
      <c r="AD17" s="1342"/>
      <c r="AE17" s="1342"/>
      <c r="AF17" s="1342"/>
      <c r="AG17" s="1342"/>
      <c r="AH17" s="1342"/>
      <c r="AI17" s="1342"/>
      <c r="AJ17" s="1342"/>
      <c r="AK17" s="1342"/>
      <c r="AL17" s="1342"/>
      <c r="AM17" s="1342"/>
      <c r="AN17" s="1342"/>
      <c r="AO17" s="1342"/>
      <c r="AP17" s="1342"/>
      <c r="AQ17" s="1342"/>
      <c r="AR17" s="1342"/>
      <c r="AS17" s="1342"/>
      <c r="AT17" s="1342"/>
      <c r="AU17" s="1342"/>
      <c r="AV17" s="1342"/>
      <c r="AW17" s="1342"/>
      <c r="AX17" s="1342"/>
      <c r="AY17" s="1342"/>
      <c r="AZ17" s="1342"/>
      <c r="BA17" s="1342"/>
      <c r="BB17" s="1342"/>
      <c r="BC17" s="1342"/>
      <c r="BD17" s="1342"/>
      <c r="BE17" s="1342"/>
      <c r="BF17" s="1342"/>
      <c r="BG17" s="1342"/>
      <c r="BH17" s="1342"/>
      <c r="BI17" s="1342"/>
      <c r="BJ17" s="1342"/>
      <c r="BK17" s="1342"/>
      <c r="BL17" s="1342"/>
      <c r="BM17" s="1342"/>
      <c r="BN17" s="1342"/>
      <c r="BO17" s="1342"/>
      <c r="BP17" s="1342"/>
      <c r="BQ17" s="1342"/>
      <c r="BR17" s="1342"/>
      <c r="BS17" s="1342"/>
      <c r="BT17" s="1342"/>
      <c r="BU17" s="1342"/>
      <c r="BV17" s="1342"/>
      <c r="BW17" s="1342"/>
      <c r="BX17" s="1342"/>
      <c r="BY17" s="1342"/>
      <c r="BZ17" s="1342"/>
      <c r="CA17" s="1342"/>
      <c r="CB17" s="1342"/>
      <c r="CC17" s="1342"/>
      <c r="CD17" s="1342"/>
      <c r="CE17" s="1342"/>
      <c r="CF17" s="1342"/>
      <c r="CG17" s="1342"/>
      <c r="CH17" s="1342"/>
      <c r="CI17" s="1342"/>
      <c r="CJ17" s="1342"/>
      <c r="CK17" s="1342"/>
      <c r="CL17" s="1342"/>
      <c r="CM17" s="1342"/>
      <c r="CN17" s="1342"/>
      <c r="CO17" s="1342"/>
      <c r="CP17" s="1342"/>
      <c r="CQ17" s="1342"/>
      <c r="CR17" s="1342"/>
      <c r="CS17" s="1342"/>
      <c r="CT17" s="1342"/>
      <c r="CU17" s="1342"/>
      <c r="CV17" s="1342"/>
      <c r="CW17" s="1342"/>
      <c r="CX17" s="1342"/>
      <c r="CY17" s="1342"/>
      <c r="CZ17" s="1342"/>
      <c r="DA17" s="1342"/>
      <c r="DB17" s="1342"/>
      <c r="DC17" s="1342"/>
      <c r="DD17" s="1342"/>
      <c r="DE17" s="1342"/>
      <c r="DF17" s="1342"/>
      <c r="DG17" s="1342"/>
      <c r="DH17" s="1342"/>
      <c r="DI17" s="1342"/>
      <c r="DJ17" s="1342"/>
      <c r="DK17" s="1342"/>
      <c r="DL17" s="1342"/>
      <c r="DM17" s="1342"/>
      <c r="DN17" s="1342"/>
      <c r="DO17" s="1342"/>
      <c r="DP17" s="1342"/>
      <c r="DQ17" s="1342"/>
      <c r="DR17" s="1342"/>
      <c r="DS17" s="1342"/>
      <c r="DT17" s="1342"/>
      <c r="DU17" s="1342"/>
      <c r="DV17" s="1342"/>
      <c r="DW17" s="1342"/>
      <c r="DX17" s="1342"/>
      <c r="DY17" s="1342"/>
      <c r="DZ17" s="1342"/>
      <c r="EA17" s="1342"/>
      <c r="EB17" s="1342"/>
      <c r="EC17" s="1342"/>
      <c r="ED17" s="1342"/>
      <c r="EE17" s="1342"/>
      <c r="EF17" s="1342"/>
      <c r="EG17" s="1342"/>
      <c r="EH17" s="1342"/>
      <c r="EI17" s="1342"/>
      <c r="EJ17" s="1342"/>
      <c r="EK17" s="1342"/>
      <c r="EL17" s="1342"/>
      <c r="EM17" s="1342"/>
      <c r="EN17" s="1342"/>
      <c r="EO17" s="1342"/>
      <c r="EP17" s="1342"/>
      <c r="EQ17" s="1342"/>
      <c r="ER17" s="1342"/>
      <c r="ES17" s="1342"/>
      <c r="ET17" s="1342"/>
      <c r="EU17" s="1342"/>
      <c r="EV17" s="1342"/>
      <c r="EW17" s="1342"/>
      <c r="EX17" s="1342"/>
      <c r="EY17" s="1342"/>
      <c r="EZ17" s="1342"/>
      <c r="FA17" s="1342"/>
      <c r="FB17" s="1342"/>
      <c r="FC17" s="1342"/>
      <c r="FD17" s="1342"/>
      <c r="FE17" s="1342"/>
      <c r="FF17" s="1342"/>
      <c r="FG17" s="1342"/>
      <c r="FH17" s="1342"/>
      <c r="FI17" s="1342"/>
      <c r="FJ17" s="1342"/>
      <c r="FK17" s="1342"/>
      <c r="FL17" s="1342"/>
      <c r="FM17" s="1342"/>
      <c r="FN17" s="1342"/>
    </row>
    <row r="18" spans="1:170" s="1339" customFormat="1" ht="19.5" customHeight="1">
      <c r="A18" s="837" t="s">
        <v>32</v>
      </c>
      <c r="B18" s="837" t="s">
        <v>34</v>
      </c>
      <c r="C18" s="838">
        <f>Q18/H18/12</f>
        <v>30112</v>
      </c>
      <c r="D18" s="839"/>
      <c r="E18" s="839">
        <v>19</v>
      </c>
      <c r="F18" s="839"/>
      <c r="G18" s="839">
        <v>16</v>
      </c>
      <c r="H18" s="840">
        <f t="shared" si="3"/>
        <v>35</v>
      </c>
      <c r="I18" s="814">
        <v>1897029.43</v>
      </c>
      <c r="J18" s="815"/>
      <c r="K18" s="816">
        <v>45984.68</v>
      </c>
      <c r="L18" s="817">
        <f t="shared" si="4"/>
        <v>1943014.11</v>
      </c>
      <c r="M18" s="814">
        <v>10749832.51</v>
      </c>
      <c r="N18" s="816"/>
      <c r="O18" s="816">
        <v>260579.83</v>
      </c>
      <c r="P18" s="817">
        <f t="shared" si="5"/>
        <v>11010412.34</v>
      </c>
      <c r="Q18" s="814">
        <f t="shared" si="6"/>
        <v>12646861.94</v>
      </c>
      <c r="R18" s="815">
        <f t="shared" si="7"/>
        <v>0</v>
      </c>
      <c r="S18" s="816">
        <f t="shared" si="8"/>
        <v>306564.51</v>
      </c>
      <c r="T18" s="817">
        <f t="shared" si="9"/>
        <v>12953426.45</v>
      </c>
      <c r="U18" s="1343"/>
      <c r="V18" s="1342"/>
      <c r="W18" s="1342"/>
      <c r="X18" s="1342"/>
      <c r="Y18" s="1342"/>
      <c r="Z18" s="1342"/>
      <c r="AA18" s="1342"/>
      <c r="AB18" s="1342"/>
      <c r="AC18" s="1342"/>
      <c r="AD18" s="1342"/>
      <c r="AE18" s="1342"/>
      <c r="AF18" s="1342"/>
      <c r="AG18" s="1342"/>
      <c r="AH18" s="1342"/>
      <c r="AI18" s="1342"/>
      <c r="AJ18" s="1342"/>
      <c r="AK18" s="1342"/>
      <c r="AL18" s="1342"/>
      <c r="AM18" s="1342"/>
      <c r="AN18" s="1342"/>
      <c r="AO18" s="1342"/>
      <c r="AP18" s="1342"/>
      <c r="AQ18" s="1342"/>
      <c r="AR18" s="1342"/>
      <c r="AS18" s="1342"/>
      <c r="AT18" s="1342"/>
      <c r="AU18" s="1342"/>
      <c r="AV18" s="1342"/>
      <c r="AW18" s="1342"/>
      <c r="AX18" s="1342"/>
      <c r="AY18" s="1342"/>
      <c r="AZ18" s="1342"/>
      <c r="BA18" s="1342"/>
      <c r="BB18" s="1342"/>
      <c r="BC18" s="1342"/>
      <c r="BD18" s="1342"/>
      <c r="BE18" s="1342"/>
      <c r="BF18" s="1342"/>
      <c r="BG18" s="1342"/>
      <c r="BH18" s="1342"/>
      <c r="BI18" s="1342"/>
      <c r="BJ18" s="1342"/>
      <c r="BK18" s="1342"/>
      <c r="BL18" s="1342"/>
      <c r="BM18" s="1342"/>
      <c r="BN18" s="1342"/>
      <c r="BO18" s="1342"/>
      <c r="BP18" s="1342"/>
      <c r="BQ18" s="1342"/>
      <c r="BR18" s="1342"/>
      <c r="BS18" s="1342"/>
      <c r="BT18" s="1342"/>
      <c r="BU18" s="1342"/>
      <c r="BV18" s="1342"/>
      <c r="BW18" s="1342"/>
      <c r="BX18" s="1342"/>
      <c r="BY18" s="1342"/>
      <c r="BZ18" s="1342"/>
      <c r="CA18" s="1342"/>
      <c r="CB18" s="1342"/>
      <c r="CC18" s="1342"/>
      <c r="CD18" s="1342"/>
      <c r="CE18" s="1342"/>
      <c r="CF18" s="1342"/>
      <c r="CG18" s="1342"/>
      <c r="CH18" s="1342"/>
      <c r="CI18" s="1342"/>
      <c r="CJ18" s="1342"/>
      <c r="CK18" s="1342"/>
      <c r="CL18" s="1342"/>
      <c r="CM18" s="1342"/>
      <c r="CN18" s="1342"/>
      <c r="CO18" s="1342"/>
      <c r="CP18" s="1342"/>
      <c r="CQ18" s="1342"/>
      <c r="CR18" s="1342"/>
      <c r="CS18" s="1342"/>
      <c r="CT18" s="1342"/>
      <c r="CU18" s="1342"/>
      <c r="CV18" s="1342"/>
      <c r="CW18" s="1342"/>
      <c r="CX18" s="1342"/>
      <c r="CY18" s="1342"/>
      <c r="CZ18" s="1342"/>
      <c r="DA18" s="1342"/>
      <c r="DB18" s="1342"/>
      <c r="DC18" s="1342"/>
      <c r="DD18" s="1342"/>
      <c r="DE18" s="1342"/>
      <c r="DF18" s="1342"/>
      <c r="DG18" s="1342"/>
      <c r="DH18" s="1342"/>
      <c r="DI18" s="1342"/>
      <c r="DJ18" s="1342"/>
      <c r="DK18" s="1342"/>
      <c r="DL18" s="1342"/>
      <c r="DM18" s="1342"/>
      <c r="DN18" s="1342"/>
      <c r="DO18" s="1342"/>
      <c r="DP18" s="1342"/>
      <c r="DQ18" s="1342"/>
      <c r="DR18" s="1342"/>
      <c r="DS18" s="1342"/>
      <c r="DT18" s="1342"/>
      <c r="DU18" s="1342"/>
      <c r="DV18" s="1342"/>
      <c r="DW18" s="1342"/>
      <c r="DX18" s="1342"/>
      <c r="DY18" s="1342"/>
      <c r="DZ18" s="1342"/>
      <c r="EA18" s="1342"/>
      <c r="EB18" s="1342"/>
      <c r="EC18" s="1342"/>
      <c r="ED18" s="1342"/>
      <c r="EE18" s="1342"/>
      <c r="EF18" s="1342"/>
      <c r="EG18" s="1342"/>
      <c r="EH18" s="1342"/>
      <c r="EI18" s="1342"/>
      <c r="EJ18" s="1342"/>
      <c r="EK18" s="1342"/>
      <c r="EL18" s="1342"/>
      <c r="EM18" s="1342"/>
      <c r="EN18" s="1342"/>
      <c r="EO18" s="1342"/>
      <c r="EP18" s="1342"/>
      <c r="EQ18" s="1342"/>
      <c r="ER18" s="1342"/>
      <c r="ES18" s="1342"/>
      <c r="ET18" s="1342"/>
      <c r="EU18" s="1342"/>
      <c r="EV18" s="1342"/>
      <c r="EW18" s="1342"/>
      <c r="EX18" s="1342"/>
      <c r="EY18" s="1342"/>
      <c r="EZ18" s="1342"/>
      <c r="FA18" s="1342"/>
      <c r="FB18" s="1342"/>
      <c r="FC18" s="1342"/>
      <c r="FD18" s="1342"/>
      <c r="FE18" s="1342"/>
      <c r="FF18" s="1342"/>
      <c r="FG18" s="1342"/>
      <c r="FH18" s="1342"/>
      <c r="FI18" s="1342"/>
      <c r="FJ18" s="1342"/>
      <c r="FK18" s="1342"/>
      <c r="FL18" s="1342"/>
      <c r="FM18" s="1342"/>
      <c r="FN18" s="1342"/>
    </row>
    <row r="19" spans="1:170" s="1339" customFormat="1" ht="19.5" customHeight="1">
      <c r="A19" s="841" t="s">
        <v>32</v>
      </c>
      <c r="B19" s="837" t="s">
        <v>35</v>
      </c>
      <c r="C19" s="838">
        <f>Q19/H19/12</f>
        <v>34107</v>
      </c>
      <c r="D19" s="839"/>
      <c r="E19" s="839">
        <v>21</v>
      </c>
      <c r="F19" s="839"/>
      <c r="G19" s="839">
        <v>0</v>
      </c>
      <c r="H19" s="840">
        <f t="shared" si="3"/>
        <v>21</v>
      </c>
      <c r="I19" s="814">
        <v>1289261.49</v>
      </c>
      <c r="J19" s="815"/>
      <c r="K19" s="816">
        <v>180822.83</v>
      </c>
      <c r="L19" s="817">
        <f t="shared" si="4"/>
        <v>1470084.32</v>
      </c>
      <c r="M19" s="814">
        <v>7305812.8</v>
      </c>
      <c r="N19" s="816"/>
      <c r="O19" s="816">
        <v>1024662.66</v>
      </c>
      <c r="P19" s="817">
        <f t="shared" si="5"/>
        <v>8330475.46</v>
      </c>
      <c r="Q19" s="814">
        <f t="shared" si="6"/>
        <v>8595074.29</v>
      </c>
      <c r="R19" s="815">
        <f t="shared" si="7"/>
        <v>0</v>
      </c>
      <c r="S19" s="816">
        <f t="shared" si="8"/>
        <v>1205485.49</v>
      </c>
      <c r="T19" s="817">
        <f t="shared" si="9"/>
        <v>9800559.78</v>
      </c>
      <c r="U19" s="1343"/>
      <c r="V19" s="1342"/>
      <c r="W19" s="1342"/>
      <c r="X19" s="1342"/>
      <c r="Y19" s="1342"/>
      <c r="Z19" s="1342"/>
      <c r="AA19" s="1342"/>
      <c r="AB19" s="1342"/>
      <c r="AC19" s="1342"/>
      <c r="AD19" s="1342"/>
      <c r="AE19" s="1342"/>
      <c r="AF19" s="1342"/>
      <c r="AG19" s="1342"/>
      <c r="AH19" s="1342"/>
      <c r="AI19" s="1342"/>
      <c r="AJ19" s="1342"/>
      <c r="AK19" s="1342"/>
      <c r="AL19" s="1342"/>
      <c r="AM19" s="1342"/>
      <c r="AN19" s="1342"/>
      <c r="AO19" s="1342"/>
      <c r="AP19" s="1342"/>
      <c r="AQ19" s="1342"/>
      <c r="AR19" s="1342"/>
      <c r="AS19" s="1342"/>
      <c r="AT19" s="1342"/>
      <c r="AU19" s="1342"/>
      <c r="AV19" s="1342"/>
      <c r="AW19" s="1342"/>
      <c r="AX19" s="1342"/>
      <c r="AY19" s="1342"/>
      <c r="AZ19" s="1342"/>
      <c r="BA19" s="1342"/>
      <c r="BB19" s="1342"/>
      <c r="BC19" s="1342"/>
      <c r="BD19" s="1342"/>
      <c r="BE19" s="1342"/>
      <c r="BF19" s="1342"/>
      <c r="BG19" s="1342"/>
      <c r="BH19" s="1342"/>
      <c r="BI19" s="1342"/>
      <c r="BJ19" s="1342"/>
      <c r="BK19" s="1342"/>
      <c r="BL19" s="1342"/>
      <c r="BM19" s="1342"/>
      <c r="BN19" s="1342"/>
      <c r="BO19" s="1342"/>
      <c r="BP19" s="1342"/>
      <c r="BQ19" s="1342"/>
      <c r="BR19" s="1342"/>
      <c r="BS19" s="1342"/>
      <c r="BT19" s="1342"/>
      <c r="BU19" s="1342"/>
      <c r="BV19" s="1342"/>
      <c r="BW19" s="1342"/>
      <c r="BX19" s="1342"/>
      <c r="BY19" s="1342"/>
      <c r="BZ19" s="1342"/>
      <c r="CA19" s="1342"/>
      <c r="CB19" s="1342"/>
      <c r="CC19" s="1342"/>
      <c r="CD19" s="1342"/>
      <c r="CE19" s="1342"/>
      <c r="CF19" s="1342"/>
      <c r="CG19" s="1342"/>
      <c r="CH19" s="1342"/>
      <c r="CI19" s="1342"/>
      <c r="CJ19" s="1342"/>
      <c r="CK19" s="1342"/>
      <c r="CL19" s="1342"/>
      <c r="CM19" s="1342"/>
      <c r="CN19" s="1342"/>
      <c r="CO19" s="1342"/>
      <c r="CP19" s="1342"/>
      <c r="CQ19" s="1342"/>
      <c r="CR19" s="1342"/>
      <c r="CS19" s="1342"/>
      <c r="CT19" s="1342"/>
      <c r="CU19" s="1342"/>
      <c r="CV19" s="1342"/>
      <c r="CW19" s="1342"/>
      <c r="CX19" s="1342"/>
      <c r="CY19" s="1342"/>
      <c r="CZ19" s="1342"/>
      <c r="DA19" s="1342"/>
      <c r="DB19" s="1342"/>
      <c r="DC19" s="1342"/>
      <c r="DD19" s="1342"/>
      <c r="DE19" s="1342"/>
      <c r="DF19" s="1342"/>
      <c r="DG19" s="1342"/>
      <c r="DH19" s="1342"/>
      <c r="DI19" s="1342"/>
      <c r="DJ19" s="1342"/>
      <c r="DK19" s="1342"/>
      <c r="DL19" s="1342"/>
      <c r="DM19" s="1342"/>
      <c r="DN19" s="1342"/>
      <c r="DO19" s="1342"/>
      <c r="DP19" s="1342"/>
      <c r="DQ19" s="1342"/>
      <c r="DR19" s="1342"/>
      <c r="DS19" s="1342"/>
      <c r="DT19" s="1342"/>
      <c r="DU19" s="1342"/>
      <c r="DV19" s="1342"/>
      <c r="DW19" s="1342"/>
      <c r="DX19" s="1342"/>
      <c r="DY19" s="1342"/>
      <c r="DZ19" s="1342"/>
      <c r="EA19" s="1342"/>
      <c r="EB19" s="1342"/>
      <c r="EC19" s="1342"/>
      <c r="ED19" s="1342"/>
      <c r="EE19" s="1342"/>
      <c r="EF19" s="1342"/>
      <c r="EG19" s="1342"/>
      <c r="EH19" s="1342"/>
      <c r="EI19" s="1342"/>
      <c r="EJ19" s="1342"/>
      <c r="EK19" s="1342"/>
      <c r="EL19" s="1342"/>
      <c r="EM19" s="1342"/>
      <c r="EN19" s="1342"/>
      <c r="EO19" s="1342"/>
      <c r="EP19" s="1342"/>
      <c r="EQ19" s="1342"/>
      <c r="ER19" s="1342"/>
      <c r="ES19" s="1342"/>
      <c r="ET19" s="1342"/>
      <c r="EU19" s="1342"/>
      <c r="EV19" s="1342"/>
      <c r="EW19" s="1342"/>
      <c r="EX19" s="1342"/>
      <c r="EY19" s="1342"/>
      <c r="EZ19" s="1342"/>
      <c r="FA19" s="1342"/>
      <c r="FB19" s="1342"/>
      <c r="FC19" s="1342"/>
      <c r="FD19" s="1342"/>
      <c r="FE19" s="1342"/>
      <c r="FF19" s="1342"/>
      <c r="FG19" s="1342"/>
      <c r="FH19" s="1342"/>
      <c r="FI19" s="1342"/>
      <c r="FJ19" s="1342"/>
      <c r="FK19" s="1342"/>
      <c r="FL19" s="1342"/>
      <c r="FM19" s="1342"/>
      <c r="FN19" s="1342"/>
    </row>
    <row r="20" spans="1:170" s="1339" customFormat="1" ht="19.5" customHeight="1">
      <c r="A20" s="837" t="s">
        <v>32</v>
      </c>
      <c r="B20" s="837" t="s">
        <v>36</v>
      </c>
      <c r="C20" s="838"/>
      <c r="D20" s="839"/>
      <c r="E20" s="839">
        <v>0</v>
      </c>
      <c r="F20" s="839"/>
      <c r="G20" s="839">
        <v>0</v>
      </c>
      <c r="H20" s="840">
        <f t="shared" si="3"/>
        <v>0</v>
      </c>
      <c r="I20" s="814">
        <v>0</v>
      </c>
      <c r="J20" s="815"/>
      <c r="K20" s="816">
        <v>43740</v>
      </c>
      <c r="L20" s="817">
        <f t="shared" si="4"/>
        <v>43740</v>
      </c>
      <c r="M20" s="814">
        <v>0</v>
      </c>
      <c r="N20" s="816"/>
      <c r="O20" s="816">
        <v>247860</v>
      </c>
      <c r="P20" s="817">
        <f t="shared" si="5"/>
        <v>247860</v>
      </c>
      <c r="Q20" s="814">
        <f t="shared" si="6"/>
        <v>0</v>
      </c>
      <c r="R20" s="815">
        <f t="shared" si="7"/>
        <v>0</v>
      </c>
      <c r="S20" s="816">
        <f t="shared" si="8"/>
        <v>291600</v>
      </c>
      <c r="T20" s="817">
        <f t="shared" si="9"/>
        <v>291600</v>
      </c>
      <c r="U20" s="1343"/>
      <c r="V20" s="1342"/>
      <c r="W20" s="1342"/>
      <c r="X20" s="1342"/>
      <c r="Y20" s="1342"/>
      <c r="Z20" s="1342"/>
      <c r="AA20" s="1342"/>
      <c r="AB20" s="1342"/>
      <c r="AC20" s="1342"/>
      <c r="AD20" s="1342"/>
      <c r="AE20" s="1342"/>
      <c r="AF20" s="1342"/>
      <c r="AG20" s="1342"/>
      <c r="AH20" s="1342"/>
      <c r="AI20" s="1342"/>
      <c r="AJ20" s="1342"/>
      <c r="AK20" s="1342"/>
      <c r="AL20" s="1342"/>
      <c r="AM20" s="1342"/>
      <c r="AN20" s="1342"/>
      <c r="AO20" s="1342"/>
      <c r="AP20" s="1342"/>
      <c r="AQ20" s="1342"/>
      <c r="AR20" s="1342"/>
      <c r="AS20" s="1342"/>
      <c r="AT20" s="1342"/>
      <c r="AU20" s="1342"/>
      <c r="AV20" s="1342"/>
      <c r="AW20" s="1342"/>
      <c r="AX20" s="1342"/>
      <c r="AY20" s="1342"/>
      <c r="AZ20" s="1342"/>
      <c r="BA20" s="1342"/>
      <c r="BB20" s="1342"/>
      <c r="BC20" s="1342"/>
      <c r="BD20" s="1342"/>
      <c r="BE20" s="1342"/>
      <c r="BF20" s="1342"/>
      <c r="BG20" s="1342"/>
      <c r="BH20" s="1342"/>
      <c r="BI20" s="1342"/>
      <c r="BJ20" s="1342"/>
      <c r="BK20" s="1342"/>
      <c r="BL20" s="1342"/>
      <c r="BM20" s="1342"/>
      <c r="BN20" s="1342"/>
      <c r="BO20" s="1342"/>
      <c r="BP20" s="1342"/>
      <c r="BQ20" s="1342"/>
      <c r="BR20" s="1342"/>
      <c r="BS20" s="1342"/>
      <c r="BT20" s="1342"/>
      <c r="BU20" s="1342"/>
      <c r="BV20" s="1342"/>
      <c r="BW20" s="1342"/>
      <c r="BX20" s="1342"/>
      <c r="BY20" s="1342"/>
      <c r="BZ20" s="1342"/>
      <c r="CA20" s="1342"/>
      <c r="CB20" s="1342"/>
      <c r="CC20" s="1342"/>
      <c r="CD20" s="1342"/>
      <c r="CE20" s="1342"/>
      <c r="CF20" s="1342"/>
      <c r="CG20" s="1342"/>
      <c r="CH20" s="1342"/>
      <c r="CI20" s="1342"/>
      <c r="CJ20" s="1342"/>
      <c r="CK20" s="1342"/>
      <c r="CL20" s="1342"/>
      <c r="CM20" s="1342"/>
      <c r="CN20" s="1342"/>
      <c r="CO20" s="1342"/>
      <c r="CP20" s="1342"/>
      <c r="CQ20" s="1342"/>
      <c r="CR20" s="1342"/>
      <c r="CS20" s="1342"/>
      <c r="CT20" s="1342"/>
      <c r="CU20" s="1342"/>
      <c r="CV20" s="1342"/>
      <c r="CW20" s="1342"/>
      <c r="CX20" s="1342"/>
      <c r="CY20" s="1342"/>
      <c r="CZ20" s="1342"/>
      <c r="DA20" s="1342"/>
      <c r="DB20" s="1342"/>
      <c r="DC20" s="1342"/>
      <c r="DD20" s="1342"/>
      <c r="DE20" s="1342"/>
      <c r="DF20" s="1342"/>
      <c r="DG20" s="1342"/>
      <c r="DH20" s="1342"/>
      <c r="DI20" s="1342"/>
      <c r="DJ20" s="1342"/>
      <c r="DK20" s="1342"/>
      <c r="DL20" s="1342"/>
      <c r="DM20" s="1342"/>
      <c r="DN20" s="1342"/>
      <c r="DO20" s="1342"/>
      <c r="DP20" s="1342"/>
      <c r="DQ20" s="1342"/>
      <c r="DR20" s="1342"/>
      <c r="DS20" s="1342"/>
      <c r="DT20" s="1342"/>
      <c r="DU20" s="1342"/>
      <c r="DV20" s="1342"/>
      <c r="DW20" s="1342"/>
      <c r="DX20" s="1342"/>
      <c r="DY20" s="1342"/>
      <c r="DZ20" s="1342"/>
      <c r="EA20" s="1342"/>
      <c r="EB20" s="1342"/>
      <c r="EC20" s="1342"/>
      <c r="ED20" s="1342"/>
      <c r="EE20" s="1342"/>
      <c r="EF20" s="1342"/>
      <c r="EG20" s="1342"/>
      <c r="EH20" s="1342"/>
      <c r="EI20" s="1342"/>
      <c r="EJ20" s="1342"/>
      <c r="EK20" s="1342"/>
      <c r="EL20" s="1342"/>
      <c r="EM20" s="1342"/>
      <c r="EN20" s="1342"/>
      <c r="EO20" s="1342"/>
      <c r="EP20" s="1342"/>
      <c r="EQ20" s="1342"/>
      <c r="ER20" s="1342"/>
      <c r="ES20" s="1342"/>
      <c r="ET20" s="1342"/>
      <c r="EU20" s="1342"/>
      <c r="EV20" s="1342"/>
      <c r="EW20" s="1342"/>
      <c r="EX20" s="1342"/>
      <c r="EY20" s="1342"/>
      <c r="EZ20" s="1342"/>
      <c r="FA20" s="1342"/>
      <c r="FB20" s="1342"/>
      <c r="FC20" s="1342"/>
      <c r="FD20" s="1342"/>
      <c r="FE20" s="1342"/>
      <c r="FF20" s="1342"/>
      <c r="FG20" s="1342"/>
      <c r="FH20" s="1342"/>
      <c r="FI20" s="1342"/>
      <c r="FJ20" s="1342"/>
      <c r="FK20" s="1342"/>
      <c r="FL20" s="1342"/>
      <c r="FM20" s="1342"/>
      <c r="FN20" s="1342"/>
    </row>
    <row r="21" spans="1:170" s="1339" customFormat="1" ht="19.5" customHeight="1">
      <c r="A21" s="936" t="s">
        <v>32</v>
      </c>
      <c r="B21" s="842" t="s">
        <v>37</v>
      </c>
      <c r="C21" s="838">
        <f>Q21/H21/12</f>
        <v>27518</v>
      </c>
      <c r="D21" s="839"/>
      <c r="E21" s="839">
        <v>3</v>
      </c>
      <c r="F21" s="839"/>
      <c r="G21" s="839">
        <v>0</v>
      </c>
      <c r="H21" s="840">
        <f t="shared" si="3"/>
        <v>3</v>
      </c>
      <c r="I21" s="814">
        <v>198132.4</v>
      </c>
      <c r="J21" s="815"/>
      <c r="K21" s="816">
        <v>3000</v>
      </c>
      <c r="L21" s="817">
        <f t="shared" si="4"/>
        <v>201132.4</v>
      </c>
      <c r="M21" s="814">
        <v>792529.89</v>
      </c>
      <c r="N21" s="816"/>
      <c r="O21" s="816">
        <v>12000</v>
      </c>
      <c r="P21" s="817">
        <f t="shared" si="5"/>
        <v>804529.89</v>
      </c>
      <c r="Q21" s="814">
        <f t="shared" si="6"/>
        <v>990662.29</v>
      </c>
      <c r="R21" s="815">
        <f t="shared" si="7"/>
        <v>0</v>
      </c>
      <c r="S21" s="816">
        <f t="shared" si="8"/>
        <v>15000</v>
      </c>
      <c r="T21" s="817">
        <f t="shared" si="9"/>
        <v>1005662.29</v>
      </c>
      <c r="U21" s="1343"/>
      <c r="V21" s="1342"/>
      <c r="W21" s="1342"/>
      <c r="X21" s="1342"/>
      <c r="Y21" s="1342"/>
      <c r="Z21" s="1342"/>
      <c r="AA21" s="1342"/>
      <c r="AB21" s="1342"/>
      <c r="AC21" s="1342"/>
      <c r="AD21" s="1342"/>
      <c r="AE21" s="1342"/>
      <c r="AF21" s="1342"/>
      <c r="AG21" s="1342"/>
      <c r="AH21" s="1342"/>
      <c r="AI21" s="1342"/>
      <c r="AJ21" s="1342"/>
      <c r="AK21" s="1342"/>
      <c r="AL21" s="1342"/>
      <c r="AM21" s="1342"/>
      <c r="AN21" s="1342"/>
      <c r="AO21" s="1342"/>
      <c r="AP21" s="1342"/>
      <c r="AQ21" s="1342"/>
      <c r="AR21" s="1342"/>
      <c r="AS21" s="1342"/>
      <c r="AT21" s="1342"/>
      <c r="AU21" s="1342"/>
      <c r="AV21" s="1342"/>
      <c r="AW21" s="1342"/>
      <c r="AX21" s="1342"/>
      <c r="AY21" s="1342"/>
      <c r="AZ21" s="1342"/>
      <c r="BA21" s="1342"/>
      <c r="BB21" s="1342"/>
      <c r="BC21" s="1342"/>
      <c r="BD21" s="1342"/>
      <c r="BE21" s="1342"/>
      <c r="BF21" s="1342"/>
      <c r="BG21" s="1342"/>
      <c r="BH21" s="1342"/>
      <c r="BI21" s="1342"/>
      <c r="BJ21" s="1342"/>
      <c r="BK21" s="1342"/>
      <c r="BL21" s="1342"/>
      <c r="BM21" s="1342"/>
      <c r="BN21" s="1342"/>
      <c r="BO21" s="1342"/>
      <c r="BP21" s="1342"/>
      <c r="BQ21" s="1342"/>
      <c r="BR21" s="1342"/>
      <c r="BS21" s="1342"/>
      <c r="BT21" s="1342"/>
      <c r="BU21" s="1342"/>
      <c r="BV21" s="1342"/>
      <c r="BW21" s="1342"/>
      <c r="BX21" s="1342"/>
      <c r="BY21" s="1342"/>
      <c r="BZ21" s="1342"/>
      <c r="CA21" s="1342"/>
      <c r="CB21" s="1342"/>
      <c r="CC21" s="1342"/>
      <c r="CD21" s="1342"/>
      <c r="CE21" s="1342"/>
      <c r="CF21" s="1342"/>
      <c r="CG21" s="1342"/>
      <c r="CH21" s="1342"/>
      <c r="CI21" s="1342"/>
      <c r="CJ21" s="1342"/>
      <c r="CK21" s="1342"/>
      <c r="CL21" s="1342"/>
      <c r="CM21" s="1342"/>
      <c r="CN21" s="1342"/>
      <c r="CO21" s="1342"/>
      <c r="CP21" s="1342"/>
      <c r="CQ21" s="1342"/>
      <c r="CR21" s="1342"/>
      <c r="CS21" s="1342"/>
      <c r="CT21" s="1342"/>
      <c r="CU21" s="1342"/>
      <c r="CV21" s="1342"/>
      <c r="CW21" s="1342"/>
      <c r="CX21" s="1342"/>
      <c r="CY21" s="1342"/>
      <c r="CZ21" s="1342"/>
      <c r="DA21" s="1342"/>
      <c r="DB21" s="1342"/>
      <c r="DC21" s="1342"/>
      <c r="DD21" s="1342"/>
      <c r="DE21" s="1342"/>
      <c r="DF21" s="1342"/>
      <c r="DG21" s="1342"/>
      <c r="DH21" s="1342"/>
      <c r="DI21" s="1342"/>
      <c r="DJ21" s="1342"/>
      <c r="DK21" s="1342"/>
      <c r="DL21" s="1342"/>
      <c r="DM21" s="1342"/>
      <c r="DN21" s="1342"/>
      <c r="DO21" s="1342"/>
      <c r="DP21" s="1342"/>
      <c r="DQ21" s="1342"/>
      <c r="DR21" s="1342"/>
      <c r="DS21" s="1342"/>
      <c r="DT21" s="1342"/>
      <c r="DU21" s="1342"/>
      <c r="DV21" s="1342"/>
      <c r="DW21" s="1342"/>
      <c r="DX21" s="1342"/>
      <c r="DY21" s="1342"/>
      <c r="DZ21" s="1342"/>
      <c r="EA21" s="1342"/>
      <c r="EB21" s="1342"/>
      <c r="EC21" s="1342"/>
      <c r="ED21" s="1342"/>
      <c r="EE21" s="1342"/>
      <c r="EF21" s="1342"/>
      <c r="EG21" s="1342"/>
      <c r="EH21" s="1342"/>
      <c r="EI21" s="1342"/>
      <c r="EJ21" s="1342"/>
      <c r="EK21" s="1342"/>
      <c r="EL21" s="1342"/>
      <c r="EM21" s="1342"/>
      <c r="EN21" s="1342"/>
      <c r="EO21" s="1342"/>
      <c r="EP21" s="1342"/>
      <c r="EQ21" s="1342"/>
      <c r="ER21" s="1342"/>
      <c r="ES21" s="1342"/>
      <c r="ET21" s="1342"/>
      <c r="EU21" s="1342"/>
      <c r="EV21" s="1342"/>
      <c r="EW21" s="1342"/>
      <c r="EX21" s="1342"/>
      <c r="EY21" s="1342"/>
      <c r="EZ21" s="1342"/>
      <c r="FA21" s="1342"/>
      <c r="FB21" s="1342"/>
      <c r="FC21" s="1342"/>
      <c r="FD21" s="1342"/>
      <c r="FE21" s="1342"/>
      <c r="FF21" s="1342"/>
      <c r="FG21" s="1342"/>
      <c r="FH21" s="1342"/>
      <c r="FI21" s="1342"/>
      <c r="FJ21" s="1342"/>
      <c r="FK21" s="1342"/>
      <c r="FL21" s="1342"/>
      <c r="FM21" s="1342"/>
      <c r="FN21" s="1342"/>
    </row>
    <row r="22" spans="1:170" s="1339" customFormat="1" ht="19.5" customHeight="1">
      <c r="A22" s="841" t="s">
        <v>32</v>
      </c>
      <c r="B22" s="842" t="s">
        <v>38</v>
      </c>
      <c r="C22" s="843">
        <f>Q22/H22/12</f>
        <v>30077</v>
      </c>
      <c r="D22" s="839"/>
      <c r="E22" s="839">
        <f>0.888+1.23+2.255+2.46+0.32+0.36+0.58+0.74</f>
        <v>9</v>
      </c>
      <c r="F22" s="839"/>
      <c r="G22" s="839">
        <v>0</v>
      </c>
      <c r="H22" s="840">
        <f t="shared" si="3"/>
        <v>9</v>
      </c>
      <c r="I22" s="814">
        <v>0</v>
      </c>
      <c r="J22" s="815"/>
      <c r="K22" s="816">
        <v>67840</v>
      </c>
      <c r="L22" s="817">
        <f t="shared" si="4"/>
        <v>67840</v>
      </c>
      <c r="M22" s="814">
        <v>3248349</v>
      </c>
      <c r="N22" s="816"/>
      <c r="O22" s="816">
        <v>141168</v>
      </c>
      <c r="P22" s="817">
        <f t="shared" si="5"/>
        <v>3389517</v>
      </c>
      <c r="Q22" s="814">
        <f t="shared" si="6"/>
        <v>3248349</v>
      </c>
      <c r="R22" s="815">
        <f t="shared" si="7"/>
        <v>0</v>
      </c>
      <c r="S22" s="816">
        <f t="shared" si="8"/>
        <v>209008</v>
      </c>
      <c r="T22" s="817">
        <f t="shared" si="9"/>
        <v>3457357</v>
      </c>
      <c r="U22" s="1340"/>
      <c r="V22" s="1342"/>
      <c r="W22" s="1342"/>
      <c r="X22" s="1342"/>
      <c r="Y22" s="1342"/>
      <c r="Z22" s="1342"/>
      <c r="AA22" s="1342"/>
      <c r="AB22" s="1342"/>
      <c r="AC22" s="1342"/>
      <c r="AD22" s="1342"/>
      <c r="AE22" s="1342"/>
      <c r="AF22" s="1342"/>
      <c r="AG22" s="1342"/>
      <c r="AH22" s="1342"/>
      <c r="AI22" s="1342"/>
      <c r="AJ22" s="1342"/>
      <c r="AK22" s="1342"/>
      <c r="AL22" s="1342"/>
      <c r="AM22" s="1342"/>
      <c r="AN22" s="1342"/>
      <c r="AO22" s="1342"/>
      <c r="AP22" s="1342"/>
      <c r="AQ22" s="1342"/>
      <c r="AR22" s="1342"/>
      <c r="AS22" s="1342"/>
      <c r="AT22" s="1342"/>
      <c r="AU22" s="1342"/>
      <c r="AV22" s="1342"/>
      <c r="AW22" s="1342"/>
      <c r="AX22" s="1342"/>
      <c r="AY22" s="1342"/>
      <c r="AZ22" s="1342"/>
      <c r="BA22" s="1342"/>
      <c r="BB22" s="1342"/>
      <c r="BC22" s="1342"/>
      <c r="BD22" s="1342"/>
      <c r="BE22" s="1342"/>
      <c r="BF22" s="1342"/>
      <c r="BG22" s="1342"/>
      <c r="BH22" s="1342"/>
      <c r="BI22" s="1342"/>
      <c r="BJ22" s="1342"/>
      <c r="BK22" s="1342"/>
      <c r="BL22" s="1342"/>
      <c r="BM22" s="1342"/>
      <c r="BN22" s="1342"/>
      <c r="BO22" s="1342"/>
      <c r="BP22" s="1342"/>
      <c r="BQ22" s="1342"/>
      <c r="BR22" s="1342"/>
      <c r="BS22" s="1342"/>
      <c r="BT22" s="1342"/>
      <c r="BU22" s="1342"/>
      <c r="BV22" s="1342"/>
      <c r="BW22" s="1342"/>
      <c r="BX22" s="1342"/>
      <c r="BY22" s="1342"/>
      <c r="BZ22" s="1342"/>
      <c r="CA22" s="1342"/>
      <c r="CB22" s="1342"/>
      <c r="CC22" s="1342"/>
      <c r="CD22" s="1342"/>
      <c r="CE22" s="1342"/>
      <c r="CF22" s="1342"/>
      <c r="CG22" s="1342"/>
      <c r="CH22" s="1342"/>
      <c r="CI22" s="1342"/>
      <c r="CJ22" s="1342"/>
      <c r="CK22" s="1342"/>
      <c r="CL22" s="1342"/>
      <c r="CM22" s="1342"/>
      <c r="CN22" s="1342"/>
      <c r="CO22" s="1342"/>
      <c r="CP22" s="1342"/>
      <c r="CQ22" s="1342"/>
      <c r="CR22" s="1342"/>
      <c r="CS22" s="1342"/>
      <c r="CT22" s="1342"/>
      <c r="CU22" s="1342"/>
      <c r="CV22" s="1342"/>
      <c r="CW22" s="1342"/>
      <c r="CX22" s="1342"/>
      <c r="CY22" s="1342"/>
      <c r="CZ22" s="1342"/>
      <c r="DA22" s="1342"/>
      <c r="DB22" s="1342"/>
      <c r="DC22" s="1342"/>
      <c r="DD22" s="1342"/>
      <c r="DE22" s="1342"/>
      <c r="DF22" s="1342"/>
      <c r="DG22" s="1342"/>
      <c r="DH22" s="1342"/>
      <c r="DI22" s="1342"/>
      <c r="DJ22" s="1342"/>
      <c r="DK22" s="1342"/>
      <c r="DL22" s="1342"/>
      <c r="DM22" s="1342"/>
      <c r="DN22" s="1342"/>
      <c r="DO22" s="1342"/>
      <c r="DP22" s="1342"/>
      <c r="DQ22" s="1342"/>
      <c r="DR22" s="1342"/>
      <c r="DS22" s="1342"/>
      <c r="DT22" s="1342"/>
      <c r="DU22" s="1342"/>
      <c r="DV22" s="1342"/>
      <c r="DW22" s="1342"/>
      <c r="DX22" s="1342"/>
      <c r="DY22" s="1342"/>
      <c r="DZ22" s="1342"/>
      <c r="EA22" s="1342"/>
      <c r="EB22" s="1342"/>
      <c r="EC22" s="1342"/>
      <c r="ED22" s="1342"/>
      <c r="EE22" s="1342"/>
      <c r="EF22" s="1342"/>
      <c r="EG22" s="1342"/>
      <c r="EH22" s="1342"/>
      <c r="EI22" s="1342"/>
      <c r="EJ22" s="1342"/>
      <c r="EK22" s="1342"/>
      <c r="EL22" s="1342"/>
      <c r="EM22" s="1342"/>
      <c r="EN22" s="1342"/>
      <c r="EO22" s="1342"/>
      <c r="EP22" s="1342"/>
      <c r="EQ22" s="1342"/>
      <c r="ER22" s="1342"/>
      <c r="ES22" s="1342"/>
      <c r="ET22" s="1342"/>
      <c r="EU22" s="1342"/>
      <c r="EV22" s="1342"/>
      <c r="EW22" s="1342"/>
      <c r="EX22" s="1342"/>
      <c r="EY22" s="1342"/>
      <c r="EZ22" s="1342"/>
      <c r="FA22" s="1342"/>
      <c r="FB22" s="1342"/>
      <c r="FC22" s="1342"/>
      <c r="FD22" s="1342"/>
      <c r="FE22" s="1342"/>
      <c r="FF22" s="1342"/>
      <c r="FG22" s="1342"/>
      <c r="FH22" s="1342"/>
      <c r="FI22" s="1342"/>
      <c r="FJ22" s="1342"/>
      <c r="FK22" s="1342"/>
      <c r="FL22" s="1342"/>
      <c r="FM22" s="1342"/>
      <c r="FN22" s="1342"/>
    </row>
    <row r="23" spans="1:170" s="1339" customFormat="1" ht="19.5" customHeight="1">
      <c r="A23" s="936" t="s">
        <v>584</v>
      </c>
      <c r="B23" s="842" t="s">
        <v>39</v>
      </c>
      <c r="C23" s="838"/>
      <c r="D23" s="839"/>
      <c r="E23" s="839">
        <v>0</v>
      </c>
      <c r="F23" s="839"/>
      <c r="G23" s="839">
        <v>0</v>
      </c>
      <c r="H23" s="840">
        <f t="shared" si="3"/>
        <v>0</v>
      </c>
      <c r="I23" s="814">
        <v>0</v>
      </c>
      <c r="J23" s="815"/>
      <c r="K23" s="816">
        <f>2842.8+24919.2</f>
        <v>27762</v>
      </c>
      <c r="L23" s="817">
        <f t="shared" si="4"/>
        <v>27762</v>
      </c>
      <c r="M23" s="814">
        <v>0</v>
      </c>
      <c r="N23" s="816"/>
      <c r="O23" s="816">
        <f>16109.2+141208.8</f>
        <v>157318</v>
      </c>
      <c r="P23" s="817">
        <f t="shared" si="5"/>
        <v>157318</v>
      </c>
      <c r="Q23" s="814">
        <f t="shared" si="6"/>
        <v>0</v>
      </c>
      <c r="R23" s="815">
        <f t="shared" si="7"/>
        <v>0</v>
      </c>
      <c r="S23" s="816">
        <f t="shared" si="8"/>
        <v>185080</v>
      </c>
      <c r="T23" s="817">
        <f t="shared" si="9"/>
        <v>185080</v>
      </c>
      <c r="U23" s="1342"/>
      <c r="V23" s="1342"/>
      <c r="W23" s="1342"/>
      <c r="X23" s="1342"/>
      <c r="Y23" s="1342"/>
      <c r="Z23" s="1342"/>
      <c r="AA23" s="1342"/>
      <c r="AB23" s="1342"/>
      <c r="AC23" s="1342"/>
      <c r="AD23" s="1342"/>
      <c r="AE23" s="1342"/>
      <c r="AF23" s="1342"/>
      <c r="AG23" s="1342"/>
      <c r="AH23" s="1342"/>
      <c r="AI23" s="1342"/>
      <c r="AJ23" s="1342"/>
      <c r="AK23" s="1342"/>
      <c r="AL23" s="1342"/>
      <c r="AM23" s="1342"/>
      <c r="AN23" s="1342"/>
      <c r="AO23" s="1342"/>
      <c r="AP23" s="1342"/>
      <c r="AQ23" s="1342"/>
      <c r="AR23" s="1342"/>
      <c r="AS23" s="1342"/>
      <c r="AT23" s="1342"/>
      <c r="AU23" s="1342"/>
      <c r="AV23" s="1342"/>
      <c r="AW23" s="1342"/>
      <c r="AX23" s="1342"/>
      <c r="AY23" s="1342"/>
      <c r="AZ23" s="1342"/>
      <c r="BA23" s="1342"/>
      <c r="BB23" s="1342"/>
      <c r="BC23" s="1342"/>
      <c r="BD23" s="1342"/>
      <c r="BE23" s="1342"/>
      <c r="BF23" s="1342"/>
      <c r="BG23" s="1342"/>
      <c r="BH23" s="1342"/>
      <c r="BI23" s="1342"/>
      <c r="BJ23" s="1342"/>
      <c r="BK23" s="1342"/>
      <c r="BL23" s="1342"/>
      <c r="BM23" s="1342"/>
      <c r="BN23" s="1342"/>
      <c r="BO23" s="1342"/>
      <c r="BP23" s="1342"/>
      <c r="BQ23" s="1342"/>
      <c r="BR23" s="1342"/>
      <c r="BS23" s="1342"/>
      <c r="BT23" s="1342"/>
      <c r="BU23" s="1342"/>
      <c r="BV23" s="1342"/>
      <c r="BW23" s="1342"/>
      <c r="BX23" s="1342"/>
      <c r="BY23" s="1342"/>
      <c r="BZ23" s="1342"/>
      <c r="CA23" s="1342"/>
      <c r="CB23" s="1342"/>
      <c r="CC23" s="1342"/>
      <c r="CD23" s="1342"/>
      <c r="CE23" s="1342"/>
      <c r="CF23" s="1342"/>
      <c r="CG23" s="1342"/>
      <c r="CH23" s="1342"/>
      <c r="CI23" s="1342"/>
      <c r="CJ23" s="1342"/>
      <c r="CK23" s="1342"/>
      <c r="CL23" s="1342"/>
      <c r="CM23" s="1342"/>
      <c r="CN23" s="1342"/>
      <c r="CO23" s="1342"/>
      <c r="CP23" s="1342"/>
      <c r="CQ23" s="1342"/>
      <c r="CR23" s="1342"/>
      <c r="CS23" s="1342"/>
      <c r="CT23" s="1342"/>
      <c r="CU23" s="1342"/>
      <c r="CV23" s="1342"/>
      <c r="CW23" s="1342"/>
      <c r="CX23" s="1342"/>
      <c r="CY23" s="1342"/>
      <c r="CZ23" s="1342"/>
      <c r="DA23" s="1342"/>
      <c r="DB23" s="1342"/>
      <c r="DC23" s="1342"/>
      <c r="DD23" s="1342"/>
      <c r="DE23" s="1342"/>
      <c r="DF23" s="1342"/>
      <c r="DG23" s="1342"/>
      <c r="DH23" s="1342"/>
      <c r="DI23" s="1342"/>
      <c r="DJ23" s="1342"/>
      <c r="DK23" s="1342"/>
      <c r="DL23" s="1342"/>
      <c r="DM23" s="1342"/>
      <c r="DN23" s="1342"/>
      <c r="DO23" s="1342"/>
      <c r="DP23" s="1342"/>
      <c r="DQ23" s="1342"/>
      <c r="DR23" s="1342"/>
      <c r="DS23" s="1342"/>
      <c r="DT23" s="1342"/>
      <c r="DU23" s="1342"/>
      <c r="DV23" s="1342"/>
      <c r="DW23" s="1342"/>
      <c r="DX23" s="1342"/>
      <c r="DY23" s="1342"/>
      <c r="DZ23" s="1342"/>
      <c r="EA23" s="1342"/>
      <c r="EB23" s="1342"/>
      <c r="EC23" s="1342"/>
      <c r="ED23" s="1342"/>
      <c r="EE23" s="1342"/>
      <c r="EF23" s="1342"/>
      <c r="EG23" s="1342"/>
      <c r="EH23" s="1342"/>
      <c r="EI23" s="1342"/>
      <c r="EJ23" s="1342"/>
      <c r="EK23" s="1342"/>
      <c r="EL23" s="1342"/>
      <c r="EM23" s="1342"/>
      <c r="EN23" s="1342"/>
      <c r="EO23" s="1342"/>
      <c r="EP23" s="1342"/>
      <c r="EQ23" s="1342"/>
      <c r="ER23" s="1342"/>
      <c r="ES23" s="1342"/>
      <c r="ET23" s="1342"/>
      <c r="EU23" s="1342"/>
      <c r="EV23" s="1342"/>
      <c r="EW23" s="1342"/>
      <c r="EX23" s="1342"/>
      <c r="EY23" s="1342"/>
      <c r="EZ23" s="1342"/>
      <c r="FA23" s="1342"/>
      <c r="FB23" s="1342"/>
      <c r="FC23" s="1342"/>
      <c r="FD23" s="1342"/>
      <c r="FE23" s="1342"/>
      <c r="FF23" s="1342"/>
      <c r="FG23" s="1342"/>
      <c r="FH23" s="1342"/>
      <c r="FI23" s="1342"/>
      <c r="FJ23" s="1342"/>
      <c r="FK23" s="1342"/>
      <c r="FL23" s="1342"/>
      <c r="FM23" s="1342"/>
      <c r="FN23" s="1342"/>
    </row>
    <row r="24" spans="1:170" s="1339" customFormat="1" ht="19.5" customHeight="1">
      <c r="A24" s="841" t="s">
        <v>601</v>
      </c>
      <c r="B24" s="842" t="s">
        <v>40</v>
      </c>
      <c r="C24" s="838"/>
      <c r="D24" s="839"/>
      <c r="E24" s="839">
        <v>0</v>
      </c>
      <c r="F24" s="839"/>
      <c r="G24" s="839">
        <v>0</v>
      </c>
      <c r="H24" s="840">
        <f t="shared" si="3"/>
        <v>0</v>
      </c>
      <c r="I24" s="814">
        <v>0</v>
      </c>
      <c r="J24" s="815"/>
      <c r="K24" s="816">
        <v>13837.5</v>
      </c>
      <c r="L24" s="817">
        <f t="shared" si="4"/>
        <v>13837.5</v>
      </c>
      <c r="M24" s="814">
        <v>0</v>
      </c>
      <c r="N24" s="816"/>
      <c r="O24" s="816">
        <v>78412.5</v>
      </c>
      <c r="P24" s="817">
        <f t="shared" si="5"/>
        <v>78412.5</v>
      </c>
      <c r="Q24" s="814">
        <f t="shared" si="6"/>
        <v>0</v>
      </c>
      <c r="R24" s="815">
        <f t="shared" si="7"/>
        <v>0</v>
      </c>
      <c r="S24" s="816">
        <f t="shared" si="8"/>
        <v>92250</v>
      </c>
      <c r="T24" s="817">
        <f t="shared" si="9"/>
        <v>92250</v>
      </c>
      <c r="U24" s="1342"/>
      <c r="V24" s="1342"/>
      <c r="W24" s="1342"/>
      <c r="X24" s="1342"/>
      <c r="Y24" s="1342"/>
      <c r="Z24" s="1342"/>
      <c r="AA24" s="1342"/>
      <c r="AB24" s="1342"/>
      <c r="AC24" s="1342"/>
      <c r="AD24" s="1342"/>
      <c r="AE24" s="1342"/>
      <c r="AF24" s="1342"/>
      <c r="AG24" s="1342"/>
      <c r="AH24" s="1342"/>
      <c r="AI24" s="1342"/>
      <c r="AJ24" s="1342"/>
      <c r="AK24" s="1342"/>
      <c r="AL24" s="1342"/>
      <c r="AM24" s="1342"/>
      <c r="AN24" s="1342"/>
      <c r="AO24" s="1342"/>
      <c r="AP24" s="1342"/>
      <c r="AQ24" s="1342"/>
      <c r="AR24" s="1342"/>
      <c r="AS24" s="1342"/>
      <c r="AT24" s="1342"/>
      <c r="AU24" s="1342"/>
      <c r="AV24" s="1342"/>
      <c r="AW24" s="1342"/>
      <c r="AX24" s="1342"/>
      <c r="AY24" s="1342"/>
      <c r="AZ24" s="1342"/>
      <c r="BA24" s="1342"/>
      <c r="BB24" s="1342"/>
      <c r="BC24" s="1342"/>
      <c r="BD24" s="1342"/>
      <c r="BE24" s="1342"/>
      <c r="BF24" s="1342"/>
      <c r="BG24" s="1342"/>
      <c r="BH24" s="1342"/>
      <c r="BI24" s="1342"/>
      <c r="BJ24" s="1342"/>
      <c r="BK24" s="1342"/>
      <c r="BL24" s="1342"/>
      <c r="BM24" s="1342"/>
      <c r="BN24" s="1342"/>
      <c r="BO24" s="1342"/>
      <c r="BP24" s="1342"/>
      <c r="BQ24" s="1342"/>
      <c r="BR24" s="1342"/>
      <c r="BS24" s="1342"/>
      <c r="BT24" s="1342"/>
      <c r="BU24" s="1342"/>
      <c r="BV24" s="1342"/>
      <c r="BW24" s="1342"/>
      <c r="BX24" s="1342"/>
      <c r="BY24" s="1342"/>
      <c r="BZ24" s="1342"/>
      <c r="CA24" s="1342"/>
      <c r="CB24" s="1342"/>
      <c r="CC24" s="1342"/>
      <c r="CD24" s="1342"/>
      <c r="CE24" s="1342"/>
      <c r="CF24" s="1342"/>
      <c r="CG24" s="1342"/>
      <c r="CH24" s="1342"/>
      <c r="CI24" s="1342"/>
      <c r="CJ24" s="1342"/>
      <c r="CK24" s="1342"/>
      <c r="CL24" s="1342"/>
      <c r="CM24" s="1342"/>
      <c r="CN24" s="1342"/>
      <c r="CO24" s="1342"/>
      <c r="CP24" s="1342"/>
      <c r="CQ24" s="1342"/>
      <c r="CR24" s="1342"/>
      <c r="CS24" s="1342"/>
      <c r="CT24" s="1342"/>
      <c r="CU24" s="1342"/>
      <c r="CV24" s="1342"/>
      <c r="CW24" s="1342"/>
      <c r="CX24" s="1342"/>
      <c r="CY24" s="1342"/>
      <c r="CZ24" s="1342"/>
      <c r="DA24" s="1342"/>
      <c r="DB24" s="1342"/>
      <c r="DC24" s="1342"/>
      <c r="DD24" s="1342"/>
      <c r="DE24" s="1342"/>
      <c r="DF24" s="1342"/>
      <c r="DG24" s="1342"/>
      <c r="DH24" s="1342"/>
      <c r="DI24" s="1342"/>
      <c r="DJ24" s="1342"/>
      <c r="DK24" s="1342"/>
      <c r="DL24" s="1342"/>
      <c r="DM24" s="1342"/>
      <c r="DN24" s="1342"/>
      <c r="DO24" s="1342"/>
      <c r="DP24" s="1342"/>
      <c r="DQ24" s="1342"/>
      <c r="DR24" s="1342"/>
      <c r="DS24" s="1342"/>
      <c r="DT24" s="1342"/>
      <c r="DU24" s="1342"/>
      <c r="DV24" s="1342"/>
      <c r="DW24" s="1342"/>
      <c r="DX24" s="1342"/>
      <c r="DY24" s="1342"/>
      <c r="DZ24" s="1342"/>
      <c r="EA24" s="1342"/>
      <c r="EB24" s="1342"/>
      <c r="EC24" s="1342"/>
      <c r="ED24" s="1342"/>
      <c r="EE24" s="1342"/>
      <c r="EF24" s="1342"/>
      <c r="EG24" s="1342"/>
      <c r="EH24" s="1342"/>
      <c r="EI24" s="1342"/>
      <c r="EJ24" s="1342"/>
      <c r="EK24" s="1342"/>
      <c r="EL24" s="1342"/>
      <c r="EM24" s="1342"/>
      <c r="EN24" s="1342"/>
      <c r="EO24" s="1342"/>
      <c r="EP24" s="1342"/>
      <c r="EQ24" s="1342"/>
      <c r="ER24" s="1342"/>
      <c r="ES24" s="1342"/>
      <c r="ET24" s="1342"/>
      <c r="EU24" s="1342"/>
      <c r="EV24" s="1342"/>
      <c r="EW24" s="1342"/>
      <c r="EX24" s="1342"/>
      <c r="EY24" s="1342"/>
      <c r="EZ24" s="1342"/>
      <c r="FA24" s="1342"/>
      <c r="FB24" s="1342"/>
      <c r="FC24" s="1342"/>
      <c r="FD24" s="1342"/>
      <c r="FE24" s="1342"/>
      <c r="FF24" s="1342"/>
      <c r="FG24" s="1342"/>
      <c r="FH24" s="1342"/>
      <c r="FI24" s="1342"/>
      <c r="FJ24" s="1342"/>
      <c r="FK24" s="1342"/>
      <c r="FL24" s="1342"/>
      <c r="FM24" s="1342"/>
      <c r="FN24" s="1342"/>
    </row>
    <row r="25" spans="1:170" s="1339" customFormat="1" ht="19.5" customHeight="1" thickBot="1">
      <c r="A25" s="841" t="s">
        <v>584</v>
      </c>
      <c r="B25" s="842" t="s">
        <v>600</v>
      </c>
      <c r="C25" s="838"/>
      <c r="D25" s="839"/>
      <c r="E25" s="839">
        <v>0</v>
      </c>
      <c r="F25" s="839"/>
      <c r="G25" s="839">
        <v>0</v>
      </c>
      <c r="H25" s="840">
        <f t="shared" si="3"/>
        <v>0</v>
      </c>
      <c r="I25" s="814">
        <v>0</v>
      </c>
      <c r="J25" s="815"/>
      <c r="K25" s="816">
        <v>8159.4</v>
      </c>
      <c r="L25" s="817">
        <f t="shared" si="4"/>
        <v>8159.4</v>
      </c>
      <c r="M25" s="814">
        <v>0</v>
      </c>
      <c r="N25" s="816"/>
      <c r="O25" s="816">
        <v>46236.6</v>
      </c>
      <c r="P25" s="817">
        <f t="shared" si="5"/>
        <v>46236.6</v>
      </c>
      <c r="Q25" s="814">
        <f t="shared" si="6"/>
        <v>0</v>
      </c>
      <c r="R25" s="815">
        <f t="shared" si="7"/>
        <v>0</v>
      </c>
      <c r="S25" s="816">
        <f t="shared" si="8"/>
        <v>54396</v>
      </c>
      <c r="T25" s="817">
        <f t="shared" si="9"/>
        <v>54396</v>
      </c>
      <c r="U25" s="1342"/>
      <c r="V25" s="1342"/>
      <c r="W25" s="1342"/>
      <c r="X25" s="1342"/>
      <c r="Y25" s="1342"/>
      <c r="Z25" s="1342"/>
      <c r="AA25" s="1342"/>
      <c r="AB25" s="1342"/>
      <c r="AC25" s="1342"/>
      <c r="AD25" s="1342"/>
      <c r="AE25" s="1342"/>
      <c r="AF25" s="1342"/>
      <c r="AG25" s="1342"/>
      <c r="AH25" s="1342"/>
      <c r="AI25" s="1342"/>
      <c r="AJ25" s="1342"/>
      <c r="AK25" s="1342"/>
      <c r="AL25" s="1342"/>
      <c r="AM25" s="1342"/>
      <c r="AN25" s="1342"/>
      <c r="AO25" s="1342"/>
      <c r="AP25" s="1342"/>
      <c r="AQ25" s="1342"/>
      <c r="AR25" s="1342"/>
      <c r="AS25" s="1342"/>
      <c r="AT25" s="1342"/>
      <c r="AU25" s="1342"/>
      <c r="AV25" s="1342"/>
      <c r="AW25" s="1342"/>
      <c r="AX25" s="1342"/>
      <c r="AY25" s="1342"/>
      <c r="AZ25" s="1342"/>
      <c r="BA25" s="1342"/>
      <c r="BB25" s="1342"/>
      <c r="BC25" s="1342"/>
      <c r="BD25" s="1342"/>
      <c r="BE25" s="1342"/>
      <c r="BF25" s="1342"/>
      <c r="BG25" s="1342"/>
      <c r="BH25" s="1342"/>
      <c r="BI25" s="1342"/>
      <c r="BJ25" s="1342"/>
      <c r="BK25" s="1342"/>
      <c r="BL25" s="1342"/>
      <c r="BM25" s="1342"/>
      <c r="BN25" s="1342"/>
      <c r="BO25" s="1342"/>
      <c r="BP25" s="1342"/>
      <c r="BQ25" s="1342"/>
      <c r="BR25" s="1342"/>
      <c r="BS25" s="1342"/>
      <c r="BT25" s="1342"/>
      <c r="BU25" s="1342"/>
      <c r="BV25" s="1342"/>
      <c r="BW25" s="1342"/>
      <c r="BX25" s="1342"/>
      <c r="BY25" s="1342"/>
      <c r="BZ25" s="1342"/>
      <c r="CA25" s="1342"/>
      <c r="CB25" s="1342"/>
      <c r="CC25" s="1342"/>
      <c r="CD25" s="1342"/>
      <c r="CE25" s="1342"/>
      <c r="CF25" s="1342"/>
      <c r="CG25" s="1342"/>
      <c r="CH25" s="1342"/>
      <c r="CI25" s="1342"/>
      <c r="CJ25" s="1342"/>
      <c r="CK25" s="1342"/>
      <c r="CL25" s="1342"/>
      <c r="CM25" s="1342"/>
      <c r="CN25" s="1342"/>
      <c r="CO25" s="1342"/>
      <c r="CP25" s="1342"/>
      <c r="CQ25" s="1342"/>
      <c r="CR25" s="1342"/>
      <c r="CS25" s="1342"/>
      <c r="CT25" s="1342"/>
      <c r="CU25" s="1342"/>
      <c r="CV25" s="1342"/>
      <c r="CW25" s="1342"/>
      <c r="CX25" s="1342"/>
      <c r="CY25" s="1342"/>
      <c r="CZ25" s="1342"/>
      <c r="DA25" s="1342"/>
      <c r="DB25" s="1342"/>
      <c r="DC25" s="1342"/>
      <c r="DD25" s="1342"/>
      <c r="DE25" s="1342"/>
      <c r="DF25" s="1342"/>
      <c r="DG25" s="1342"/>
      <c r="DH25" s="1342"/>
      <c r="DI25" s="1342"/>
      <c r="DJ25" s="1342"/>
      <c r="DK25" s="1342"/>
      <c r="DL25" s="1342"/>
      <c r="DM25" s="1342"/>
      <c r="DN25" s="1342"/>
      <c r="DO25" s="1342"/>
      <c r="DP25" s="1342"/>
      <c r="DQ25" s="1342"/>
      <c r="DR25" s="1342"/>
      <c r="DS25" s="1342"/>
      <c r="DT25" s="1342"/>
      <c r="DU25" s="1342"/>
      <c r="DV25" s="1342"/>
      <c r="DW25" s="1342"/>
      <c r="DX25" s="1342"/>
      <c r="DY25" s="1342"/>
      <c r="DZ25" s="1342"/>
      <c r="EA25" s="1342"/>
      <c r="EB25" s="1342"/>
      <c r="EC25" s="1342"/>
      <c r="ED25" s="1342"/>
      <c r="EE25" s="1342"/>
      <c r="EF25" s="1342"/>
      <c r="EG25" s="1342"/>
      <c r="EH25" s="1342"/>
      <c r="EI25" s="1342"/>
      <c r="EJ25" s="1342"/>
      <c r="EK25" s="1342"/>
      <c r="EL25" s="1342"/>
      <c r="EM25" s="1342"/>
      <c r="EN25" s="1342"/>
      <c r="EO25" s="1342"/>
      <c r="EP25" s="1342"/>
      <c r="EQ25" s="1342"/>
      <c r="ER25" s="1342"/>
      <c r="ES25" s="1342"/>
      <c r="ET25" s="1342"/>
      <c r="EU25" s="1342"/>
      <c r="EV25" s="1342"/>
      <c r="EW25" s="1342"/>
      <c r="EX25" s="1342"/>
      <c r="EY25" s="1342"/>
      <c r="EZ25" s="1342"/>
      <c r="FA25" s="1342"/>
      <c r="FB25" s="1342"/>
      <c r="FC25" s="1342"/>
      <c r="FD25" s="1342"/>
      <c r="FE25" s="1342"/>
      <c r="FF25" s="1342"/>
      <c r="FG25" s="1342"/>
      <c r="FH25" s="1342"/>
      <c r="FI25" s="1342"/>
      <c r="FJ25" s="1342"/>
      <c r="FK25" s="1342"/>
      <c r="FL25" s="1342"/>
      <c r="FM25" s="1342"/>
      <c r="FN25" s="1342"/>
    </row>
    <row r="26" spans="1:170" s="1339" customFormat="1" ht="36" customHeight="1">
      <c r="A26" s="844" t="s">
        <v>41</v>
      </c>
      <c r="B26" s="844"/>
      <c r="C26" s="845"/>
      <c r="D26" s="846"/>
      <c r="E26" s="846"/>
      <c r="F26" s="846"/>
      <c r="G26" s="846"/>
      <c r="H26" s="847"/>
      <c r="I26" s="848"/>
      <c r="J26" s="849"/>
      <c r="K26" s="849"/>
      <c r="L26" s="850"/>
      <c r="M26" s="848"/>
      <c r="N26" s="849"/>
      <c r="O26" s="849"/>
      <c r="P26" s="850"/>
      <c r="Q26" s="851"/>
      <c r="R26" s="849"/>
      <c r="S26" s="849"/>
      <c r="T26" s="850"/>
      <c r="U26" s="1342"/>
      <c r="V26" s="1342"/>
      <c r="W26" s="1342"/>
      <c r="X26" s="1342"/>
      <c r="Y26" s="1342"/>
      <c r="Z26" s="1342"/>
      <c r="AA26" s="1342"/>
      <c r="AB26" s="1342"/>
      <c r="AC26" s="1342"/>
      <c r="AD26" s="1342"/>
      <c r="AE26" s="1342"/>
      <c r="AF26" s="1342"/>
      <c r="AG26" s="1342"/>
      <c r="AH26" s="1342"/>
      <c r="AI26" s="1342"/>
      <c r="AJ26" s="1342"/>
      <c r="AK26" s="1342"/>
      <c r="AL26" s="1342"/>
      <c r="AM26" s="1342"/>
      <c r="AN26" s="1342"/>
      <c r="AO26" s="1342"/>
      <c r="AP26" s="1342"/>
      <c r="AQ26" s="1342"/>
      <c r="AR26" s="1342"/>
      <c r="AS26" s="1342"/>
      <c r="AT26" s="1342"/>
      <c r="AU26" s="1342"/>
      <c r="AV26" s="1342"/>
      <c r="AW26" s="1342"/>
      <c r="AX26" s="1342"/>
      <c r="AY26" s="1342"/>
      <c r="AZ26" s="1342"/>
      <c r="BA26" s="1342"/>
      <c r="BB26" s="1342"/>
      <c r="BC26" s="1342"/>
      <c r="BD26" s="1342"/>
      <c r="BE26" s="1342"/>
      <c r="BF26" s="1342"/>
      <c r="BG26" s="1342"/>
      <c r="BH26" s="1342"/>
      <c r="BI26" s="1342"/>
      <c r="BJ26" s="1342"/>
      <c r="BK26" s="1342"/>
      <c r="BL26" s="1342"/>
      <c r="BM26" s="1342"/>
      <c r="BN26" s="1342"/>
      <c r="BO26" s="1342"/>
      <c r="BP26" s="1342"/>
      <c r="BQ26" s="1342"/>
      <c r="BR26" s="1342"/>
      <c r="BS26" s="1342"/>
      <c r="BT26" s="1342"/>
      <c r="BU26" s="1342"/>
      <c r="BV26" s="1342"/>
      <c r="BW26" s="1342"/>
      <c r="BX26" s="1342"/>
      <c r="BY26" s="1342"/>
      <c r="BZ26" s="1342"/>
      <c r="CA26" s="1342"/>
      <c r="CB26" s="1342"/>
      <c r="CC26" s="1342"/>
      <c r="CD26" s="1342"/>
      <c r="CE26" s="1342"/>
      <c r="CF26" s="1342"/>
      <c r="CG26" s="1342"/>
      <c r="CH26" s="1342"/>
      <c r="CI26" s="1342"/>
      <c r="CJ26" s="1342"/>
      <c r="CK26" s="1342"/>
      <c r="CL26" s="1342"/>
      <c r="CM26" s="1342"/>
      <c r="CN26" s="1342"/>
      <c r="CO26" s="1342"/>
      <c r="CP26" s="1342"/>
      <c r="CQ26" s="1342"/>
      <c r="CR26" s="1342"/>
      <c r="CS26" s="1342"/>
      <c r="CT26" s="1342"/>
      <c r="CU26" s="1342"/>
      <c r="CV26" s="1342"/>
      <c r="CW26" s="1342"/>
      <c r="CX26" s="1342"/>
      <c r="CY26" s="1342"/>
      <c r="CZ26" s="1342"/>
      <c r="DA26" s="1342"/>
      <c r="DB26" s="1342"/>
      <c r="DC26" s="1342"/>
      <c r="DD26" s="1342"/>
      <c r="DE26" s="1342"/>
      <c r="DF26" s="1342"/>
      <c r="DG26" s="1342"/>
      <c r="DH26" s="1342"/>
      <c r="DI26" s="1342"/>
      <c r="DJ26" s="1342"/>
      <c r="DK26" s="1342"/>
      <c r="DL26" s="1342"/>
      <c r="DM26" s="1342"/>
      <c r="DN26" s="1342"/>
      <c r="DO26" s="1342"/>
      <c r="DP26" s="1342"/>
      <c r="DQ26" s="1342"/>
      <c r="DR26" s="1342"/>
      <c r="DS26" s="1342"/>
      <c r="DT26" s="1342"/>
      <c r="DU26" s="1342"/>
      <c r="DV26" s="1342"/>
      <c r="DW26" s="1342"/>
      <c r="DX26" s="1342"/>
      <c r="DY26" s="1342"/>
      <c r="DZ26" s="1342"/>
      <c r="EA26" s="1342"/>
      <c r="EB26" s="1342"/>
      <c r="EC26" s="1342"/>
      <c r="ED26" s="1342"/>
      <c r="EE26" s="1342"/>
      <c r="EF26" s="1342"/>
      <c r="EG26" s="1342"/>
      <c r="EH26" s="1342"/>
      <c r="EI26" s="1342"/>
      <c r="EJ26" s="1342"/>
      <c r="EK26" s="1342"/>
      <c r="EL26" s="1342"/>
      <c r="EM26" s="1342"/>
      <c r="EN26" s="1342"/>
      <c r="EO26" s="1342"/>
      <c r="EP26" s="1342"/>
      <c r="EQ26" s="1342"/>
      <c r="ER26" s="1342"/>
      <c r="ES26" s="1342"/>
      <c r="ET26" s="1342"/>
      <c r="EU26" s="1342"/>
      <c r="EV26" s="1342"/>
      <c r="EW26" s="1342"/>
      <c r="EX26" s="1342"/>
      <c r="EY26" s="1342"/>
      <c r="EZ26" s="1342"/>
      <c r="FA26" s="1342"/>
      <c r="FB26" s="1342"/>
      <c r="FC26" s="1342"/>
      <c r="FD26" s="1342"/>
      <c r="FE26" s="1342"/>
      <c r="FF26" s="1342"/>
      <c r="FG26" s="1342"/>
      <c r="FH26" s="1342"/>
      <c r="FI26" s="1342"/>
      <c r="FJ26" s="1342"/>
      <c r="FK26" s="1342"/>
      <c r="FL26" s="1342"/>
      <c r="FM26" s="1342"/>
      <c r="FN26" s="1342"/>
    </row>
    <row r="27" spans="1:170" s="1339" customFormat="1" ht="25.5" customHeight="1" thickBot="1">
      <c r="A27" s="852" t="s">
        <v>42</v>
      </c>
      <c r="B27" s="853"/>
      <c r="C27" s="854">
        <f aca="true" t="shared" si="10" ref="C27:C33">Q27/H27/12</f>
        <v>24936</v>
      </c>
      <c r="D27" s="855"/>
      <c r="E27" s="855">
        <f aca="true" t="shared" si="11" ref="E27:T27">E28+E29+E30</f>
        <v>6</v>
      </c>
      <c r="F27" s="855">
        <f t="shared" si="11"/>
        <v>0</v>
      </c>
      <c r="G27" s="855">
        <f t="shared" si="11"/>
        <v>0</v>
      </c>
      <c r="H27" s="856">
        <f t="shared" si="11"/>
        <v>6</v>
      </c>
      <c r="I27" s="857">
        <f t="shared" si="11"/>
        <v>269309.1</v>
      </c>
      <c r="J27" s="858">
        <f t="shared" si="11"/>
        <v>0</v>
      </c>
      <c r="K27" s="858">
        <f t="shared" si="11"/>
        <v>156705</v>
      </c>
      <c r="L27" s="859">
        <f t="shared" si="11"/>
        <v>426014.1</v>
      </c>
      <c r="M27" s="857">
        <f t="shared" si="11"/>
        <v>1526072.39</v>
      </c>
      <c r="N27" s="858">
        <f t="shared" si="11"/>
        <v>0</v>
      </c>
      <c r="O27" s="858">
        <f t="shared" si="11"/>
        <v>887995</v>
      </c>
      <c r="P27" s="859">
        <f t="shared" si="11"/>
        <v>2414067.39</v>
      </c>
      <c r="Q27" s="860">
        <f t="shared" si="11"/>
        <v>1795381.49</v>
      </c>
      <c r="R27" s="858">
        <f t="shared" si="11"/>
        <v>0</v>
      </c>
      <c r="S27" s="858">
        <f t="shared" si="11"/>
        <v>1044700</v>
      </c>
      <c r="T27" s="859">
        <f t="shared" si="11"/>
        <v>2840081.49</v>
      </c>
      <c r="U27" s="1342"/>
      <c r="V27" s="1342"/>
      <c r="W27" s="1342"/>
      <c r="X27" s="1342"/>
      <c r="Y27" s="1342"/>
      <c r="Z27" s="1342"/>
      <c r="AA27" s="1342"/>
      <c r="AB27" s="1342"/>
      <c r="AC27" s="1342"/>
      <c r="AD27" s="1342"/>
      <c r="AE27" s="1342"/>
      <c r="AF27" s="1342"/>
      <c r="AG27" s="1342"/>
      <c r="AH27" s="1342"/>
      <c r="AI27" s="1342"/>
      <c r="AJ27" s="1342"/>
      <c r="AK27" s="1342"/>
      <c r="AL27" s="1342"/>
      <c r="AM27" s="1342"/>
      <c r="AN27" s="1342"/>
      <c r="AO27" s="1342"/>
      <c r="AP27" s="1342"/>
      <c r="AQ27" s="1342"/>
      <c r="AR27" s="1342"/>
      <c r="AS27" s="1342"/>
      <c r="AT27" s="1342"/>
      <c r="AU27" s="1342"/>
      <c r="AV27" s="1342"/>
      <c r="AW27" s="1342"/>
      <c r="AX27" s="1342"/>
      <c r="AY27" s="1342"/>
      <c r="AZ27" s="1342"/>
      <c r="BA27" s="1342"/>
      <c r="BB27" s="1342"/>
      <c r="BC27" s="1342"/>
      <c r="BD27" s="1342"/>
      <c r="BE27" s="1342"/>
      <c r="BF27" s="1342"/>
      <c r="BG27" s="1342"/>
      <c r="BH27" s="1342"/>
      <c r="BI27" s="1342"/>
      <c r="BJ27" s="1342"/>
      <c r="BK27" s="1342"/>
      <c r="BL27" s="1342"/>
      <c r="BM27" s="1342"/>
      <c r="BN27" s="1342"/>
      <c r="BO27" s="1342"/>
      <c r="BP27" s="1342"/>
      <c r="BQ27" s="1342"/>
      <c r="BR27" s="1342"/>
      <c r="BS27" s="1342"/>
      <c r="BT27" s="1342"/>
      <c r="BU27" s="1342"/>
      <c r="BV27" s="1342"/>
      <c r="BW27" s="1342"/>
      <c r="BX27" s="1342"/>
      <c r="BY27" s="1342"/>
      <c r="BZ27" s="1342"/>
      <c r="CA27" s="1342"/>
      <c r="CB27" s="1342"/>
      <c r="CC27" s="1342"/>
      <c r="CD27" s="1342"/>
      <c r="CE27" s="1342"/>
      <c r="CF27" s="1342"/>
      <c r="CG27" s="1342"/>
      <c r="CH27" s="1342"/>
      <c r="CI27" s="1342"/>
      <c r="CJ27" s="1342"/>
      <c r="CK27" s="1342"/>
      <c r="CL27" s="1342"/>
      <c r="CM27" s="1342"/>
      <c r="CN27" s="1342"/>
      <c r="CO27" s="1342"/>
      <c r="CP27" s="1342"/>
      <c r="CQ27" s="1342"/>
      <c r="CR27" s="1342"/>
      <c r="CS27" s="1342"/>
      <c r="CT27" s="1342"/>
      <c r="CU27" s="1342"/>
      <c r="CV27" s="1342"/>
      <c r="CW27" s="1342"/>
      <c r="CX27" s="1342"/>
      <c r="CY27" s="1342"/>
      <c r="CZ27" s="1342"/>
      <c r="DA27" s="1342"/>
      <c r="DB27" s="1342"/>
      <c r="DC27" s="1342"/>
      <c r="DD27" s="1342"/>
      <c r="DE27" s="1342"/>
      <c r="DF27" s="1342"/>
      <c r="DG27" s="1342"/>
      <c r="DH27" s="1342"/>
      <c r="DI27" s="1342"/>
      <c r="DJ27" s="1342"/>
      <c r="DK27" s="1342"/>
      <c r="DL27" s="1342"/>
      <c r="DM27" s="1342"/>
      <c r="DN27" s="1342"/>
      <c r="DO27" s="1342"/>
      <c r="DP27" s="1342"/>
      <c r="DQ27" s="1342"/>
      <c r="DR27" s="1342"/>
      <c r="DS27" s="1342"/>
      <c r="DT27" s="1342"/>
      <c r="DU27" s="1342"/>
      <c r="DV27" s="1342"/>
      <c r="DW27" s="1342"/>
      <c r="DX27" s="1342"/>
      <c r="DY27" s="1342"/>
      <c r="DZ27" s="1342"/>
      <c r="EA27" s="1342"/>
      <c r="EB27" s="1342"/>
      <c r="EC27" s="1342"/>
      <c r="ED27" s="1342"/>
      <c r="EE27" s="1342"/>
      <c r="EF27" s="1342"/>
      <c r="EG27" s="1342"/>
      <c r="EH27" s="1342"/>
      <c r="EI27" s="1342"/>
      <c r="EJ27" s="1342"/>
      <c r="EK27" s="1342"/>
      <c r="EL27" s="1342"/>
      <c r="EM27" s="1342"/>
      <c r="EN27" s="1342"/>
      <c r="EO27" s="1342"/>
      <c r="EP27" s="1342"/>
      <c r="EQ27" s="1342"/>
      <c r="ER27" s="1342"/>
      <c r="ES27" s="1342"/>
      <c r="ET27" s="1342"/>
      <c r="EU27" s="1342"/>
      <c r="EV27" s="1342"/>
      <c r="EW27" s="1342"/>
      <c r="EX27" s="1342"/>
      <c r="EY27" s="1342"/>
      <c r="EZ27" s="1342"/>
      <c r="FA27" s="1342"/>
      <c r="FB27" s="1342"/>
      <c r="FC27" s="1342"/>
      <c r="FD27" s="1342"/>
      <c r="FE27" s="1342"/>
      <c r="FF27" s="1342"/>
      <c r="FG27" s="1342"/>
      <c r="FH27" s="1342"/>
      <c r="FI27" s="1342"/>
      <c r="FJ27" s="1342"/>
      <c r="FK27" s="1342"/>
      <c r="FL27" s="1342"/>
      <c r="FM27" s="1342"/>
      <c r="FN27" s="1342"/>
    </row>
    <row r="28" spans="1:170" s="1339" customFormat="1" ht="31.5" customHeight="1">
      <c r="A28" s="861" t="s">
        <v>43</v>
      </c>
      <c r="B28" s="842" t="s">
        <v>44</v>
      </c>
      <c r="C28" s="838">
        <f t="shared" si="10"/>
        <v>24949</v>
      </c>
      <c r="D28" s="839"/>
      <c r="E28" s="839">
        <v>4</v>
      </c>
      <c r="F28" s="839"/>
      <c r="G28" s="839">
        <v>0</v>
      </c>
      <c r="H28" s="840">
        <f>E28+F28+G28</f>
        <v>4</v>
      </c>
      <c r="I28" s="814">
        <v>179632.3</v>
      </c>
      <c r="J28" s="815"/>
      <c r="K28" s="816">
        <v>18300</v>
      </c>
      <c r="L28" s="817">
        <f>I28+J28+K28</f>
        <v>197932.3</v>
      </c>
      <c r="M28" s="814">
        <v>1017916.17</v>
      </c>
      <c r="N28" s="816"/>
      <c r="O28" s="816">
        <v>103700</v>
      </c>
      <c r="P28" s="817">
        <f>M28+N28+O28</f>
        <v>1121616.17</v>
      </c>
      <c r="Q28" s="814">
        <f aca="true" t="shared" si="12" ref="Q28:S30">I28+M28</f>
        <v>1197548.47</v>
      </c>
      <c r="R28" s="815">
        <f t="shared" si="12"/>
        <v>0</v>
      </c>
      <c r="S28" s="816">
        <f t="shared" si="12"/>
        <v>122000</v>
      </c>
      <c r="T28" s="817">
        <f>Q28+R28+S28</f>
        <v>1319548.47</v>
      </c>
      <c r="U28" s="1342"/>
      <c r="V28" s="1342"/>
      <c r="W28" s="1342"/>
      <c r="X28" s="1342"/>
      <c r="Y28" s="1342"/>
      <c r="Z28" s="1342"/>
      <c r="AA28" s="1342"/>
      <c r="AB28" s="1342"/>
      <c r="AC28" s="1342"/>
      <c r="AD28" s="1342"/>
      <c r="AE28" s="1342"/>
      <c r="AF28" s="1342"/>
      <c r="AG28" s="1342"/>
      <c r="AH28" s="1342"/>
      <c r="AI28" s="1342"/>
      <c r="AJ28" s="1342"/>
      <c r="AK28" s="1342"/>
      <c r="AL28" s="1342"/>
      <c r="AM28" s="1342"/>
      <c r="AN28" s="1342"/>
      <c r="AO28" s="1342"/>
      <c r="AP28" s="1342"/>
      <c r="AQ28" s="1342"/>
      <c r="AR28" s="1342"/>
      <c r="AS28" s="1342"/>
      <c r="AT28" s="1342"/>
      <c r="AU28" s="1342"/>
      <c r="AV28" s="1342"/>
      <c r="AW28" s="1342"/>
      <c r="AX28" s="1342"/>
      <c r="AY28" s="1342"/>
      <c r="AZ28" s="1342"/>
      <c r="BA28" s="1342"/>
      <c r="BB28" s="1342"/>
      <c r="BC28" s="1342"/>
      <c r="BD28" s="1342"/>
      <c r="BE28" s="1342"/>
      <c r="BF28" s="1342"/>
      <c r="BG28" s="1342"/>
      <c r="BH28" s="1342"/>
      <c r="BI28" s="1342"/>
      <c r="BJ28" s="1342"/>
      <c r="BK28" s="1342"/>
      <c r="BL28" s="1342"/>
      <c r="BM28" s="1342"/>
      <c r="BN28" s="1342"/>
      <c r="BO28" s="1342"/>
      <c r="BP28" s="1342"/>
      <c r="BQ28" s="1342"/>
      <c r="BR28" s="1342"/>
      <c r="BS28" s="1342"/>
      <c r="BT28" s="1342"/>
      <c r="BU28" s="1342"/>
      <c r="BV28" s="1342"/>
      <c r="BW28" s="1342"/>
      <c r="BX28" s="1342"/>
      <c r="BY28" s="1342"/>
      <c r="BZ28" s="1342"/>
      <c r="CA28" s="1342"/>
      <c r="CB28" s="1342"/>
      <c r="CC28" s="1342"/>
      <c r="CD28" s="1342"/>
      <c r="CE28" s="1342"/>
      <c r="CF28" s="1342"/>
      <c r="CG28" s="1342"/>
      <c r="CH28" s="1342"/>
      <c r="CI28" s="1342"/>
      <c r="CJ28" s="1342"/>
      <c r="CK28" s="1342"/>
      <c r="CL28" s="1342"/>
      <c r="CM28" s="1342"/>
      <c r="CN28" s="1342"/>
      <c r="CO28" s="1342"/>
      <c r="CP28" s="1342"/>
      <c r="CQ28" s="1342"/>
      <c r="CR28" s="1342"/>
      <c r="CS28" s="1342"/>
      <c r="CT28" s="1342"/>
      <c r="CU28" s="1342"/>
      <c r="CV28" s="1342"/>
      <c r="CW28" s="1342"/>
      <c r="CX28" s="1342"/>
      <c r="CY28" s="1342"/>
      <c r="CZ28" s="1342"/>
      <c r="DA28" s="1342"/>
      <c r="DB28" s="1342"/>
      <c r="DC28" s="1342"/>
      <c r="DD28" s="1342"/>
      <c r="DE28" s="1342"/>
      <c r="DF28" s="1342"/>
      <c r="DG28" s="1342"/>
      <c r="DH28" s="1342"/>
      <c r="DI28" s="1342"/>
      <c r="DJ28" s="1342"/>
      <c r="DK28" s="1342"/>
      <c r="DL28" s="1342"/>
      <c r="DM28" s="1342"/>
      <c r="DN28" s="1342"/>
      <c r="DO28" s="1342"/>
      <c r="DP28" s="1342"/>
      <c r="DQ28" s="1342"/>
      <c r="DR28" s="1342"/>
      <c r="DS28" s="1342"/>
      <c r="DT28" s="1342"/>
      <c r="DU28" s="1342"/>
      <c r="DV28" s="1342"/>
      <c r="DW28" s="1342"/>
      <c r="DX28" s="1342"/>
      <c r="DY28" s="1342"/>
      <c r="DZ28" s="1342"/>
      <c r="EA28" s="1342"/>
      <c r="EB28" s="1342"/>
      <c r="EC28" s="1342"/>
      <c r="ED28" s="1342"/>
      <c r="EE28" s="1342"/>
      <c r="EF28" s="1342"/>
      <c r="EG28" s="1342"/>
      <c r="EH28" s="1342"/>
      <c r="EI28" s="1342"/>
      <c r="EJ28" s="1342"/>
      <c r="EK28" s="1342"/>
      <c r="EL28" s="1342"/>
      <c r="EM28" s="1342"/>
      <c r="EN28" s="1342"/>
      <c r="EO28" s="1342"/>
      <c r="EP28" s="1342"/>
      <c r="EQ28" s="1342"/>
      <c r="ER28" s="1342"/>
      <c r="ES28" s="1342"/>
      <c r="ET28" s="1342"/>
      <c r="EU28" s="1342"/>
      <c r="EV28" s="1342"/>
      <c r="EW28" s="1342"/>
      <c r="EX28" s="1342"/>
      <c r="EY28" s="1342"/>
      <c r="EZ28" s="1342"/>
      <c r="FA28" s="1342"/>
      <c r="FB28" s="1342"/>
      <c r="FC28" s="1342"/>
      <c r="FD28" s="1342"/>
      <c r="FE28" s="1342"/>
      <c r="FF28" s="1342"/>
      <c r="FG28" s="1342"/>
      <c r="FH28" s="1342"/>
      <c r="FI28" s="1342"/>
      <c r="FJ28" s="1342"/>
      <c r="FK28" s="1342"/>
      <c r="FL28" s="1342"/>
      <c r="FM28" s="1342"/>
      <c r="FN28" s="1342"/>
    </row>
    <row r="29" spans="1:170" s="1339" customFormat="1" ht="39.75" customHeight="1">
      <c r="A29" s="862" t="s">
        <v>45</v>
      </c>
      <c r="B29" s="842" t="s">
        <v>46</v>
      </c>
      <c r="C29" s="838">
        <f t="shared" si="10"/>
        <v>32113</v>
      </c>
      <c r="D29" s="839"/>
      <c r="E29" s="839">
        <v>1</v>
      </c>
      <c r="F29" s="839"/>
      <c r="G29" s="839">
        <v>0</v>
      </c>
      <c r="H29" s="840">
        <f>E29+F29+G29</f>
        <v>1</v>
      </c>
      <c r="I29" s="814">
        <v>57802.78</v>
      </c>
      <c r="J29" s="815"/>
      <c r="K29" s="816">
        <v>132780</v>
      </c>
      <c r="L29" s="817">
        <f>I29+J29+K29</f>
        <v>190582.78</v>
      </c>
      <c r="M29" s="814">
        <v>327548.8</v>
      </c>
      <c r="N29" s="816"/>
      <c r="O29" s="816">
        <v>752420</v>
      </c>
      <c r="P29" s="817">
        <f>M29+N29+O29</f>
        <v>1079968.8</v>
      </c>
      <c r="Q29" s="814">
        <f t="shared" si="12"/>
        <v>385351.58</v>
      </c>
      <c r="R29" s="815">
        <f t="shared" si="12"/>
        <v>0</v>
      </c>
      <c r="S29" s="816">
        <f t="shared" si="12"/>
        <v>885200</v>
      </c>
      <c r="T29" s="817">
        <f>Q29+R29+S29</f>
        <v>1270551.58</v>
      </c>
      <c r="U29" s="1342"/>
      <c r="V29" s="1342"/>
      <c r="W29" s="1342"/>
      <c r="X29" s="1342"/>
      <c r="Y29" s="1342"/>
      <c r="Z29" s="1342"/>
      <c r="AA29" s="1342"/>
      <c r="AB29" s="1342"/>
      <c r="AC29" s="1342"/>
      <c r="AD29" s="1342"/>
      <c r="AE29" s="1342"/>
      <c r="AF29" s="1342"/>
      <c r="AG29" s="1342"/>
      <c r="AH29" s="1342"/>
      <c r="AI29" s="1342"/>
      <c r="AJ29" s="1342"/>
      <c r="AK29" s="1342"/>
      <c r="AL29" s="1342"/>
      <c r="AM29" s="1342"/>
      <c r="AN29" s="1342"/>
      <c r="AO29" s="1342"/>
      <c r="AP29" s="1342"/>
      <c r="AQ29" s="1342"/>
      <c r="AR29" s="1342"/>
      <c r="AS29" s="1342"/>
      <c r="AT29" s="1342"/>
      <c r="AU29" s="1342"/>
      <c r="AV29" s="1342"/>
      <c r="AW29" s="1342"/>
      <c r="AX29" s="1342"/>
      <c r="AY29" s="1342"/>
      <c r="AZ29" s="1342"/>
      <c r="BA29" s="1342"/>
      <c r="BB29" s="1342"/>
      <c r="BC29" s="1342"/>
      <c r="BD29" s="1342"/>
      <c r="BE29" s="1342"/>
      <c r="BF29" s="1342"/>
      <c r="BG29" s="1342"/>
      <c r="BH29" s="1342"/>
      <c r="BI29" s="1342"/>
      <c r="BJ29" s="1342"/>
      <c r="BK29" s="1342"/>
      <c r="BL29" s="1342"/>
      <c r="BM29" s="1342"/>
      <c r="BN29" s="1342"/>
      <c r="BO29" s="1342"/>
      <c r="BP29" s="1342"/>
      <c r="BQ29" s="1342"/>
      <c r="BR29" s="1342"/>
      <c r="BS29" s="1342"/>
      <c r="BT29" s="1342"/>
      <c r="BU29" s="1342"/>
      <c r="BV29" s="1342"/>
      <c r="BW29" s="1342"/>
      <c r="BX29" s="1342"/>
      <c r="BY29" s="1342"/>
      <c r="BZ29" s="1342"/>
      <c r="CA29" s="1342"/>
      <c r="CB29" s="1342"/>
      <c r="CC29" s="1342"/>
      <c r="CD29" s="1342"/>
      <c r="CE29" s="1342"/>
      <c r="CF29" s="1342"/>
      <c r="CG29" s="1342"/>
      <c r="CH29" s="1342"/>
      <c r="CI29" s="1342"/>
      <c r="CJ29" s="1342"/>
      <c r="CK29" s="1342"/>
      <c r="CL29" s="1342"/>
      <c r="CM29" s="1342"/>
      <c r="CN29" s="1342"/>
      <c r="CO29" s="1342"/>
      <c r="CP29" s="1342"/>
      <c r="CQ29" s="1342"/>
      <c r="CR29" s="1342"/>
      <c r="CS29" s="1342"/>
      <c r="CT29" s="1342"/>
      <c r="CU29" s="1342"/>
      <c r="CV29" s="1342"/>
      <c r="CW29" s="1342"/>
      <c r="CX29" s="1342"/>
      <c r="CY29" s="1342"/>
      <c r="CZ29" s="1342"/>
      <c r="DA29" s="1342"/>
      <c r="DB29" s="1342"/>
      <c r="DC29" s="1342"/>
      <c r="DD29" s="1342"/>
      <c r="DE29" s="1342"/>
      <c r="DF29" s="1342"/>
      <c r="DG29" s="1342"/>
      <c r="DH29" s="1342"/>
      <c r="DI29" s="1342"/>
      <c r="DJ29" s="1342"/>
      <c r="DK29" s="1342"/>
      <c r="DL29" s="1342"/>
      <c r="DM29" s="1342"/>
      <c r="DN29" s="1342"/>
      <c r="DO29" s="1342"/>
      <c r="DP29" s="1342"/>
      <c r="DQ29" s="1342"/>
      <c r="DR29" s="1342"/>
      <c r="DS29" s="1342"/>
      <c r="DT29" s="1342"/>
      <c r="DU29" s="1342"/>
      <c r="DV29" s="1342"/>
      <c r="DW29" s="1342"/>
      <c r="DX29" s="1342"/>
      <c r="DY29" s="1342"/>
      <c r="DZ29" s="1342"/>
      <c r="EA29" s="1342"/>
      <c r="EB29" s="1342"/>
      <c r="EC29" s="1342"/>
      <c r="ED29" s="1342"/>
      <c r="EE29" s="1342"/>
      <c r="EF29" s="1342"/>
      <c r="EG29" s="1342"/>
      <c r="EH29" s="1342"/>
      <c r="EI29" s="1342"/>
      <c r="EJ29" s="1342"/>
      <c r="EK29" s="1342"/>
      <c r="EL29" s="1342"/>
      <c r="EM29" s="1342"/>
      <c r="EN29" s="1342"/>
      <c r="EO29" s="1342"/>
      <c r="EP29" s="1342"/>
      <c r="EQ29" s="1342"/>
      <c r="ER29" s="1342"/>
      <c r="ES29" s="1342"/>
      <c r="ET29" s="1342"/>
      <c r="EU29" s="1342"/>
      <c r="EV29" s="1342"/>
      <c r="EW29" s="1342"/>
      <c r="EX29" s="1342"/>
      <c r="EY29" s="1342"/>
      <c r="EZ29" s="1342"/>
      <c r="FA29" s="1342"/>
      <c r="FB29" s="1342"/>
      <c r="FC29" s="1342"/>
      <c r="FD29" s="1342"/>
      <c r="FE29" s="1342"/>
      <c r="FF29" s="1342"/>
      <c r="FG29" s="1342"/>
      <c r="FH29" s="1342"/>
      <c r="FI29" s="1342"/>
      <c r="FJ29" s="1342"/>
      <c r="FK29" s="1342"/>
      <c r="FL29" s="1342"/>
      <c r="FM29" s="1342"/>
      <c r="FN29" s="1342"/>
    </row>
    <row r="30" spans="1:170" s="1339" customFormat="1" ht="36.75" customHeight="1" thickBot="1">
      <c r="A30" s="863" t="s">
        <v>45</v>
      </c>
      <c r="B30" s="864" t="s">
        <v>47</v>
      </c>
      <c r="C30" s="865">
        <f t="shared" si="10"/>
        <v>17707</v>
      </c>
      <c r="D30" s="866"/>
      <c r="E30" s="866">
        <v>1</v>
      </c>
      <c r="F30" s="866"/>
      <c r="G30" s="866">
        <v>0</v>
      </c>
      <c r="H30" s="867">
        <f>E30+F30+G30</f>
        <v>1</v>
      </c>
      <c r="I30" s="868">
        <f>18999.85+12874.17</f>
        <v>31874.02</v>
      </c>
      <c r="J30" s="869"/>
      <c r="K30" s="870">
        <v>5625</v>
      </c>
      <c r="L30" s="871">
        <f>I30+J30+K30</f>
        <v>37499.02</v>
      </c>
      <c r="M30" s="868">
        <f>107665.68+72941.74</f>
        <v>180607.42</v>
      </c>
      <c r="N30" s="870"/>
      <c r="O30" s="870">
        <v>31875</v>
      </c>
      <c r="P30" s="871">
        <f>M30+N30+O30</f>
        <v>212482.42</v>
      </c>
      <c r="Q30" s="868">
        <f t="shared" si="12"/>
        <v>212481.44</v>
      </c>
      <c r="R30" s="869">
        <f t="shared" si="12"/>
        <v>0</v>
      </c>
      <c r="S30" s="870">
        <f t="shared" si="12"/>
        <v>37500</v>
      </c>
      <c r="T30" s="871">
        <f>Q30+R30+S30</f>
        <v>249981.44</v>
      </c>
      <c r="U30" s="1342"/>
      <c r="V30" s="1342"/>
      <c r="W30" s="1342"/>
      <c r="X30" s="1342"/>
      <c r="Y30" s="1342"/>
      <c r="Z30" s="1342"/>
      <c r="AA30" s="1342"/>
      <c r="AB30" s="1342"/>
      <c r="AC30" s="1342"/>
      <c r="AD30" s="1342"/>
      <c r="AE30" s="1342"/>
      <c r="AF30" s="1342"/>
      <c r="AG30" s="1342"/>
      <c r="AH30" s="1342"/>
      <c r="AI30" s="1342"/>
      <c r="AJ30" s="1342"/>
      <c r="AK30" s="1342"/>
      <c r="AL30" s="1342"/>
      <c r="AM30" s="1342"/>
      <c r="AN30" s="1342"/>
      <c r="AO30" s="1342"/>
      <c r="AP30" s="1342"/>
      <c r="AQ30" s="1342"/>
      <c r="AR30" s="1342"/>
      <c r="AS30" s="1342"/>
      <c r="AT30" s="1342"/>
      <c r="AU30" s="1342"/>
      <c r="AV30" s="1342"/>
      <c r="AW30" s="1342"/>
      <c r="AX30" s="1342"/>
      <c r="AY30" s="1342"/>
      <c r="AZ30" s="1342"/>
      <c r="BA30" s="1342"/>
      <c r="BB30" s="1342"/>
      <c r="BC30" s="1342"/>
      <c r="BD30" s="1342"/>
      <c r="BE30" s="1342"/>
      <c r="BF30" s="1342"/>
      <c r="BG30" s="1342"/>
      <c r="BH30" s="1342"/>
      <c r="BI30" s="1342"/>
      <c r="BJ30" s="1342"/>
      <c r="BK30" s="1342"/>
      <c r="BL30" s="1342"/>
      <c r="BM30" s="1342"/>
      <c r="BN30" s="1342"/>
      <c r="BO30" s="1342"/>
      <c r="BP30" s="1342"/>
      <c r="BQ30" s="1342"/>
      <c r="BR30" s="1342"/>
      <c r="BS30" s="1342"/>
      <c r="BT30" s="1342"/>
      <c r="BU30" s="1342"/>
      <c r="BV30" s="1342"/>
      <c r="BW30" s="1342"/>
      <c r="BX30" s="1342"/>
      <c r="BY30" s="1342"/>
      <c r="BZ30" s="1342"/>
      <c r="CA30" s="1342"/>
      <c r="CB30" s="1342"/>
      <c r="CC30" s="1342"/>
      <c r="CD30" s="1342"/>
      <c r="CE30" s="1342"/>
      <c r="CF30" s="1342"/>
      <c r="CG30" s="1342"/>
      <c r="CH30" s="1342"/>
      <c r="CI30" s="1342"/>
      <c r="CJ30" s="1342"/>
      <c r="CK30" s="1342"/>
      <c r="CL30" s="1342"/>
      <c r="CM30" s="1342"/>
      <c r="CN30" s="1342"/>
      <c r="CO30" s="1342"/>
      <c r="CP30" s="1342"/>
      <c r="CQ30" s="1342"/>
      <c r="CR30" s="1342"/>
      <c r="CS30" s="1342"/>
      <c r="CT30" s="1342"/>
      <c r="CU30" s="1342"/>
      <c r="CV30" s="1342"/>
      <c r="CW30" s="1342"/>
      <c r="CX30" s="1342"/>
      <c r="CY30" s="1342"/>
      <c r="CZ30" s="1342"/>
      <c r="DA30" s="1342"/>
      <c r="DB30" s="1342"/>
      <c r="DC30" s="1342"/>
      <c r="DD30" s="1342"/>
      <c r="DE30" s="1342"/>
      <c r="DF30" s="1342"/>
      <c r="DG30" s="1342"/>
      <c r="DH30" s="1342"/>
      <c r="DI30" s="1342"/>
      <c r="DJ30" s="1342"/>
      <c r="DK30" s="1342"/>
      <c r="DL30" s="1342"/>
      <c r="DM30" s="1342"/>
      <c r="DN30" s="1342"/>
      <c r="DO30" s="1342"/>
      <c r="DP30" s="1342"/>
      <c r="DQ30" s="1342"/>
      <c r="DR30" s="1342"/>
      <c r="DS30" s="1342"/>
      <c r="DT30" s="1342"/>
      <c r="DU30" s="1342"/>
      <c r="DV30" s="1342"/>
      <c r="DW30" s="1342"/>
      <c r="DX30" s="1342"/>
      <c r="DY30" s="1342"/>
      <c r="DZ30" s="1342"/>
      <c r="EA30" s="1342"/>
      <c r="EB30" s="1342"/>
      <c r="EC30" s="1342"/>
      <c r="ED30" s="1342"/>
      <c r="EE30" s="1342"/>
      <c r="EF30" s="1342"/>
      <c r="EG30" s="1342"/>
      <c r="EH30" s="1342"/>
      <c r="EI30" s="1342"/>
      <c r="EJ30" s="1342"/>
      <c r="EK30" s="1342"/>
      <c r="EL30" s="1342"/>
      <c r="EM30" s="1342"/>
      <c r="EN30" s="1342"/>
      <c r="EO30" s="1342"/>
      <c r="EP30" s="1342"/>
      <c r="EQ30" s="1342"/>
      <c r="ER30" s="1342"/>
      <c r="ES30" s="1342"/>
      <c r="ET30" s="1342"/>
      <c r="EU30" s="1342"/>
      <c r="EV30" s="1342"/>
      <c r="EW30" s="1342"/>
      <c r="EX30" s="1342"/>
      <c r="EY30" s="1342"/>
      <c r="EZ30" s="1342"/>
      <c r="FA30" s="1342"/>
      <c r="FB30" s="1342"/>
      <c r="FC30" s="1342"/>
      <c r="FD30" s="1342"/>
      <c r="FE30" s="1342"/>
      <c r="FF30" s="1342"/>
      <c r="FG30" s="1342"/>
      <c r="FH30" s="1342"/>
      <c r="FI30" s="1342"/>
      <c r="FJ30" s="1342"/>
      <c r="FK30" s="1342"/>
      <c r="FL30" s="1342"/>
      <c r="FM30" s="1342"/>
      <c r="FN30" s="1342"/>
    </row>
    <row r="31" spans="1:170" s="1339" customFormat="1" ht="54" customHeight="1" thickBot="1">
      <c r="A31" s="872" t="s">
        <v>48</v>
      </c>
      <c r="B31" s="872"/>
      <c r="C31" s="873">
        <f t="shared" si="10"/>
        <v>15014</v>
      </c>
      <c r="D31" s="874"/>
      <c r="E31" s="874">
        <f aca="true" t="shared" si="13" ref="E31:T31">E32</f>
        <v>1</v>
      </c>
      <c r="F31" s="874">
        <f t="shared" si="13"/>
        <v>0</v>
      </c>
      <c r="G31" s="874">
        <f t="shared" si="13"/>
        <v>0</v>
      </c>
      <c r="H31" s="875">
        <f t="shared" si="13"/>
        <v>1</v>
      </c>
      <c r="I31" s="876">
        <f t="shared" si="13"/>
        <v>180164</v>
      </c>
      <c r="J31" s="877">
        <f t="shared" si="13"/>
        <v>0</v>
      </c>
      <c r="K31" s="878">
        <f t="shared" si="13"/>
        <v>18195</v>
      </c>
      <c r="L31" s="879">
        <f t="shared" si="13"/>
        <v>198359</v>
      </c>
      <c r="M31" s="876">
        <f t="shared" si="13"/>
        <v>0</v>
      </c>
      <c r="N31" s="878">
        <f t="shared" si="13"/>
        <v>0</v>
      </c>
      <c r="O31" s="878">
        <f t="shared" si="13"/>
        <v>71605</v>
      </c>
      <c r="P31" s="879">
        <f t="shared" si="13"/>
        <v>71605</v>
      </c>
      <c r="Q31" s="876">
        <f t="shared" si="13"/>
        <v>180164</v>
      </c>
      <c r="R31" s="877">
        <f t="shared" si="13"/>
        <v>0</v>
      </c>
      <c r="S31" s="878">
        <f t="shared" si="13"/>
        <v>89800</v>
      </c>
      <c r="T31" s="879">
        <f t="shared" si="13"/>
        <v>269964</v>
      </c>
      <c r="U31" s="1342"/>
      <c r="V31" s="1342"/>
      <c r="W31" s="1342"/>
      <c r="X31" s="1342"/>
      <c r="Y31" s="1342"/>
      <c r="Z31" s="1342"/>
      <c r="AA31" s="1342"/>
      <c r="AB31" s="1342"/>
      <c r="AC31" s="1342"/>
      <c r="AD31" s="1342"/>
      <c r="AE31" s="1342"/>
      <c r="AF31" s="1342"/>
      <c r="AG31" s="1342"/>
      <c r="AH31" s="1342"/>
      <c r="AI31" s="1342"/>
      <c r="AJ31" s="1342"/>
      <c r="AK31" s="1342"/>
      <c r="AL31" s="1342"/>
      <c r="AM31" s="1342"/>
      <c r="AN31" s="1342"/>
      <c r="AO31" s="1342"/>
      <c r="AP31" s="1342"/>
      <c r="AQ31" s="1342"/>
      <c r="AR31" s="1342"/>
      <c r="AS31" s="1342"/>
      <c r="AT31" s="1342"/>
      <c r="AU31" s="1342"/>
      <c r="AV31" s="1342"/>
      <c r="AW31" s="1342"/>
      <c r="AX31" s="1342"/>
      <c r="AY31" s="1342"/>
      <c r="AZ31" s="1342"/>
      <c r="BA31" s="1342"/>
      <c r="BB31" s="1342"/>
      <c r="BC31" s="1342"/>
      <c r="BD31" s="1342"/>
      <c r="BE31" s="1342"/>
      <c r="BF31" s="1342"/>
      <c r="BG31" s="1342"/>
      <c r="BH31" s="1342"/>
      <c r="BI31" s="1342"/>
      <c r="BJ31" s="1342"/>
      <c r="BK31" s="1342"/>
      <c r="BL31" s="1342"/>
      <c r="BM31" s="1342"/>
      <c r="BN31" s="1342"/>
      <c r="BO31" s="1342"/>
      <c r="BP31" s="1342"/>
      <c r="BQ31" s="1342"/>
      <c r="BR31" s="1342"/>
      <c r="BS31" s="1342"/>
      <c r="BT31" s="1342"/>
      <c r="BU31" s="1342"/>
      <c r="BV31" s="1342"/>
      <c r="BW31" s="1342"/>
      <c r="BX31" s="1342"/>
      <c r="BY31" s="1342"/>
      <c r="BZ31" s="1342"/>
      <c r="CA31" s="1342"/>
      <c r="CB31" s="1342"/>
      <c r="CC31" s="1342"/>
      <c r="CD31" s="1342"/>
      <c r="CE31" s="1342"/>
      <c r="CF31" s="1342"/>
      <c r="CG31" s="1342"/>
      <c r="CH31" s="1342"/>
      <c r="CI31" s="1342"/>
      <c r="CJ31" s="1342"/>
      <c r="CK31" s="1342"/>
      <c r="CL31" s="1342"/>
      <c r="CM31" s="1342"/>
      <c r="CN31" s="1342"/>
      <c r="CO31" s="1342"/>
      <c r="CP31" s="1342"/>
      <c r="CQ31" s="1342"/>
      <c r="CR31" s="1342"/>
      <c r="CS31" s="1342"/>
      <c r="CT31" s="1342"/>
      <c r="CU31" s="1342"/>
      <c r="CV31" s="1342"/>
      <c r="CW31" s="1342"/>
      <c r="CX31" s="1342"/>
      <c r="CY31" s="1342"/>
      <c r="CZ31" s="1342"/>
      <c r="DA31" s="1342"/>
      <c r="DB31" s="1342"/>
      <c r="DC31" s="1342"/>
      <c r="DD31" s="1342"/>
      <c r="DE31" s="1342"/>
      <c r="DF31" s="1342"/>
      <c r="DG31" s="1342"/>
      <c r="DH31" s="1342"/>
      <c r="DI31" s="1342"/>
      <c r="DJ31" s="1342"/>
      <c r="DK31" s="1342"/>
      <c r="DL31" s="1342"/>
      <c r="DM31" s="1342"/>
      <c r="DN31" s="1342"/>
      <c r="DO31" s="1342"/>
      <c r="DP31" s="1342"/>
      <c r="DQ31" s="1342"/>
      <c r="DR31" s="1342"/>
      <c r="DS31" s="1342"/>
      <c r="DT31" s="1342"/>
      <c r="DU31" s="1342"/>
      <c r="DV31" s="1342"/>
      <c r="DW31" s="1342"/>
      <c r="DX31" s="1342"/>
      <c r="DY31" s="1342"/>
      <c r="DZ31" s="1342"/>
      <c r="EA31" s="1342"/>
      <c r="EB31" s="1342"/>
      <c r="EC31" s="1342"/>
      <c r="ED31" s="1342"/>
      <c r="EE31" s="1342"/>
      <c r="EF31" s="1342"/>
      <c r="EG31" s="1342"/>
      <c r="EH31" s="1342"/>
      <c r="EI31" s="1342"/>
      <c r="EJ31" s="1342"/>
      <c r="EK31" s="1342"/>
      <c r="EL31" s="1342"/>
      <c r="EM31" s="1342"/>
      <c r="EN31" s="1342"/>
      <c r="EO31" s="1342"/>
      <c r="EP31" s="1342"/>
      <c r="EQ31" s="1342"/>
      <c r="ER31" s="1342"/>
      <c r="ES31" s="1342"/>
      <c r="ET31" s="1342"/>
      <c r="EU31" s="1342"/>
      <c r="EV31" s="1342"/>
      <c r="EW31" s="1342"/>
      <c r="EX31" s="1342"/>
      <c r="EY31" s="1342"/>
      <c r="EZ31" s="1342"/>
      <c r="FA31" s="1342"/>
      <c r="FB31" s="1342"/>
      <c r="FC31" s="1342"/>
      <c r="FD31" s="1342"/>
      <c r="FE31" s="1342"/>
      <c r="FF31" s="1342"/>
      <c r="FG31" s="1342"/>
      <c r="FH31" s="1342"/>
      <c r="FI31" s="1342"/>
      <c r="FJ31" s="1342"/>
      <c r="FK31" s="1342"/>
      <c r="FL31" s="1342"/>
      <c r="FM31" s="1342"/>
      <c r="FN31" s="1342"/>
    </row>
    <row r="32" spans="1:170" s="1339" customFormat="1" ht="21.75" customHeight="1" thickBot="1">
      <c r="A32" s="852" t="s">
        <v>42</v>
      </c>
      <c r="B32" s="853"/>
      <c r="C32" s="880">
        <f t="shared" si="10"/>
        <v>15014</v>
      </c>
      <c r="D32" s="881"/>
      <c r="E32" s="881">
        <f aca="true" t="shared" si="14" ref="E32:T32">E33+E34+E35</f>
        <v>1</v>
      </c>
      <c r="F32" s="881">
        <f t="shared" si="14"/>
        <v>0</v>
      </c>
      <c r="G32" s="881">
        <f t="shared" si="14"/>
        <v>0</v>
      </c>
      <c r="H32" s="882">
        <f t="shared" si="14"/>
        <v>1</v>
      </c>
      <c r="I32" s="857">
        <f t="shared" si="14"/>
        <v>180164</v>
      </c>
      <c r="J32" s="858">
        <f t="shared" si="14"/>
        <v>0</v>
      </c>
      <c r="K32" s="858">
        <f t="shared" si="14"/>
        <v>18195</v>
      </c>
      <c r="L32" s="859">
        <f t="shared" si="14"/>
        <v>198359</v>
      </c>
      <c r="M32" s="857">
        <f t="shared" si="14"/>
        <v>0</v>
      </c>
      <c r="N32" s="858">
        <f t="shared" si="14"/>
        <v>0</v>
      </c>
      <c r="O32" s="858">
        <f t="shared" si="14"/>
        <v>71605</v>
      </c>
      <c r="P32" s="859">
        <f t="shared" si="14"/>
        <v>71605</v>
      </c>
      <c r="Q32" s="860">
        <f t="shared" si="14"/>
        <v>180164</v>
      </c>
      <c r="R32" s="858">
        <f t="shared" si="14"/>
        <v>0</v>
      </c>
      <c r="S32" s="858">
        <f t="shared" si="14"/>
        <v>89800</v>
      </c>
      <c r="T32" s="859">
        <f t="shared" si="14"/>
        <v>269964</v>
      </c>
      <c r="U32" s="1342"/>
      <c r="V32" s="1342"/>
      <c r="W32" s="1342"/>
      <c r="X32" s="1342"/>
      <c r="Y32" s="1342"/>
      <c r="Z32" s="1342"/>
      <c r="AA32" s="1342"/>
      <c r="AB32" s="1342"/>
      <c r="AC32" s="1342"/>
      <c r="AD32" s="1342"/>
      <c r="AE32" s="1342"/>
      <c r="AF32" s="1342"/>
      <c r="AG32" s="1342"/>
      <c r="AH32" s="1342"/>
      <c r="AI32" s="1342"/>
      <c r="AJ32" s="1342"/>
      <c r="AK32" s="1342"/>
      <c r="AL32" s="1342"/>
      <c r="AM32" s="1342"/>
      <c r="AN32" s="1342"/>
      <c r="AO32" s="1342"/>
      <c r="AP32" s="1342"/>
      <c r="AQ32" s="1342"/>
      <c r="AR32" s="1342"/>
      <c r="AS32" s="1342"/>
      <c r="AT32" s="1342"/>
      <c r="AU32" s="1342"/>
      <c r="AV32" s="1342"/>
      <c r="AW32" s="1342"/>
      <c r="AX32" s="1342"/>
      <c r="AY32" s="1342"/>
      <c r="AZ32" s="1342"/>
      <c r="BA32" s="1342"/>
      <c r="BB32" s="1342"/>
      <c r="BC32" s="1342"/>
      <c r="BD32" s="1342"/>
      <c r="BE32" s="1342"/>
      <c r="BF32" s="1342"/>
      <c r="BG32" s="1342"/>
      <c r="BH32" s="1342"/>
      <c r="BI32" s="1342"/>
      <c r="BJ32" s="1342"/>
      <c r="BK32" s="1342"/>
      <c r="BL32" s="1342"/>
      <c r="BM32" s="1342"/>
      <c r="BN32" s="1342"/>
      <c r="BO32" s="1342"/>
      <c r="BP32" s="1342"/>
      <c r="BQ32" s="1342"/>
      <c r="BR32" s="1342"/>
      <c r="BS32" s="1342"/>
      <c r="BT32" s="1342"/>
      <c r="BU32" s="1342"/>
      <c r="BV32" s="1342"/>
      <c r="BW32" s="1342"/>
      <c r="BX32" s="1342"/>
      <c r="BY32" s="1342"/>
      <c r="BZ32" s="1342"/>
      <c r="CA32" s="1342"/>
      <c r="CB32" s="1342"/>
      <c r="CC32" s="1342"/>
      <c r="CD32" s="1342"/>
      <c r="CE32" s="1342"/>
      <c r="CF32" s="1342"/>
      <c r="CG32" s="1342"/>
      <c r="CH32" s="1342"/>
      <c r="CI32" s="1342"/>
      <c r="CJ32" s="1342"/>
      <c r="CK32" s="1342"/>
      <c r="CL32" s="1342"/>
      <c r="CM32" s="1342"/>
      <c r="CN32" s="1342"/>
      <c r="CO32" s="1342"/>
      <c r="CP32" s="1342"/>
      <c r="CQ32" s="1342"/>
      <c r="CR32" s="1342"/>
      <c r="CS32" s="1342"/>
      <c r="CT32" s="1342"/>
      <c r="CU32" s="1342"/>
      <c r="CV32" s="1342"/>
      <c r="CW32" s="1342"/>
      <c r="CX32" s="1342"/>
      <c r="CY32" s="1342"/>
      <c r="CZ32" s="1342"/>
      <c r="DA32" s="1342"/>
      <c r="DB32" s="1342"/>
      <c r="DC32" s="1342"/>
      <c r="DD32" s="1342"/>
      <c r="DE32" s="1342"/>
      <c r="DF32" s="1342"/>
      <c r="DG32" s="1342"/>
      <c r="DH32" s="1342"/>
      <c r="DI32" s="1342"/>
      <c r="DJ32" s="1342"/>
      <c r="DK32" s="1342"/>
      <c r="DL32" s="1342"/>
      <c r="DM32" s="1342"/>
      <c r="DN32" s="1342"/>
      <c r="DO32" s="1342"/>
      <c r="DP32" s="1342"/>
      <c r="DQ32" s="1342"/>
      <c r="DR32" s="1342"/>
      <c r="DS32" s="1342"/>
      <c r="DT32" s="1342"/>
      <c r="DU32" s="1342"/>
      <c r="DV32" s="1342"/>
      <c r="DW32" s="1342"/>
      <c r="DX32" s="1342"/>
      <c r="DY32" s="1342"/>
      <c r="DZ32" s="1342"/>
      <c r="EA32" s="1342"/>
      <c r="EB32" s="1342"/>
      <c r="EC32" s="1342"/>
      <c r="ED32" s="1342"/>
      <c r="EE32" s="1342"/>
      <c r="EF32" s="1342"/>
      <c r="EG32" s="1342"/>
      <c r="EH32" s="1342"/>
      <c r="EI32" s="1342"/>
      <c r="EJ32" s="1342"/>
      <c r="EK32" s="1342"/>
      <c r="EL32" s="1342"/>
      <c r="EM32" s="1342"/>
      <c r="EN32" s="1342"/>
      <c r="EO32" s="1342"/>
      <c r="EP32" s="1342"/>
      <c r="EQ32" s="1342"/>
      <c r="ER32" s="1342"/>
      <c r="ES32" s="1342"/>
      <c r="ET32" s="1342"/>
      <c r="EU32" s="1342"/>
      <c r="EV32" s="1342"/>
      <c r="EW32" s="1342"/>
      <c r="EX32" s="1342"/>
      <c r="EY32" s="1342"/>
      <c r="EZ32" s="1342"/>
      <c r="FA32" s="1342"/>
      <c r="FB32" s="1342"/>
      <c r="FC32" s="1342"/>
      <c r="FD32" s="1342"/>
      <c r="FE32" s="1342"/>
      <c r="FF32" s="1342"/>
      <c r="FG32" s="1342"/>
      <c r="FH32" s="1342"/>
      <c r="FI32" s="1342"/>
      <c r="FJ32" s="1342"/>
      <c r="FK32" s="1342"/>
      <c r="FL32" s="1342"/>
      <c r="FM32" s="1342"/>
      <c r="FN32" s="1342"/>
    </row>
    <row r="33" spans="1:170" s="1339" customFormat="1" ht="27" customHeight="1">
      <c r="A33" s="937" t="s">
        <v>602</v>
      </c>
      <c r="B33" s="883" t="s">
        <v>49</v>
      </c>
      <c r="C33" s="843">
        <f t="shared" si="10"/>
        <v>15014</v>
      </c>
      <c r="D33" s="884"/>
      <c r="E33" s="884">
        <v>1</v>
      </c>
      <c r="F33" s="884"/>
      <c r="G33" s="884">
        <v>0</v>
      </c>
      <c r="H33" s="885">
        <f>E33+F33+G33</f>
        <v>1</v>
      </c>
      <c r="I33" s="814">
        <v>180164</v>
      </c>
      <c r="J33" s="815"/>
      <c r="K33" s="816">
        <v>0</v>
      </c>
      <c r="L33" s="817">
        <f>I33+J33+K33</f>
        <v>180164</v>
      </c>
      <c r="M33" s="814">
        <v>0</v>
      </c>
      <c r="N33" s="816"/>
      <c r="O33" s="816">
        <v>0</v>
      </c>
      <c r="P33" s="817">
        <f>M33+N33+O33</f>
        <v>0</v>
      </c>
      <c r="Q33" s="814">
        <f aca="true" t="shared" si="15" ref="Q33:S35">I33+M33</f>
        <v>180164</v>
      </c>
      <c r="R33" s="815">
        <f t="shared" si="15"/>
        <v>0</v>
      </c>
      <c r="S33" s="816">
        <f t="shared" si="15"/>
        <v>0</v>
      </c>
      <c r="T33" s="817">
        <f>Q33+R33+S33</f>
        <v>180164</v>
      </c>
      <c r="U33" s="1342"/>
      <c r="V33" s="1342"/>
      <c r="W33" s="1342"/>
      <c r="X33" s="1342"/>
      <c r="Y33" s="1342"/>
      <c r="Z33" s="1342"/>
      <c r="AA33" s="1342"/>
      <c r="AB33" s="1342"/>
      <c r="AC33" s="1342"/>
      <c r="AD33" s="1342"/>
      <c r="AE33" s="1342"/>
      <c r="AF33" s="1342"/>
      <c r="AG33" s="1342"/>
      <c r="AH33" s="1342"/>
      <c r="AI33" s="1342"/>
      <c r="AJ33" s="1342"/>
      <c r="AK33" s="1342"/>
      <c r="AL33" s="1342"/>
      <c r="AM33" s="1342"/>
      <c r="AN33" s="1342"/>
      <c r="AO33" s="1342"/>
      <c r="AP33" s="1342"/>
      <c r="AQ33" s="1342"/>
      <c r="AR33" s="1342"/>
      <c r="AS33" s="1342"/>
      <c r="AT33" s="1342"/>
      <c r="AU33" s="1342"/>
      <c r="AV33" s="1342"/>
      <c r="AW33" s="1342"/>
      <c r="AX33" s="1342"/>
      <c r="AY33" s="1342"/>
      <c r="AZ33" s="1342"/>
      <c r="BA33" s="1342"/>
      <c r="BB33" s="1342"/>
      <c r="BC33" s="1342"/>
      <c r="BD33" s="1342"/>
      <c r="BE33" s="1342"/>
      <c r="BF33" s="1342"/>
      <c r="BG33" s="1342"/>
      <c r="BH33" s="1342"/>
      <c r="BI33" s="1342"/>
      <c r="BJ33" s="1342"/>
      <c r="BK33" s="1342"/>
      <c r="BL33" s="1342"/>
      <c r="BM33" s="1342"/>
      <c r="BN33" s="1342"/>
      <c r="BO33" s="1342"/>
      <c r="BP33" s="1342"/>
      <c r="BQ33" s="1342"/>
      <c r="BR33" s="1342"/>
      <c r="BS33" s="1342"/>
      <c r="BT33" s="1342"/>
      <c r="BU33" s="1342"/>
      <c r="BV33" s="1342"/>
      <c r="BW33" s="1342"/>
      <c r="BX33" s="1342"/>
      <c r="BY33" s="1342"/>
      <c r="BZ33" s="1342"/>
      <c r="CA33" s="1342"/>
      <c r="CB33" s="1342"/>
      <c r="CC33" s="1342"/>
      <c r="CD33" s="1342"/>
      <c r="CE33" s="1342"/>
      <c r="CF33" s="1342"/>
      <c r="CG33" s="1342"/>
      <c r="CH33" s="1342"/>
      <c r="CI33" s="1342"/>
      <c r="CJ33" s="1342"/>
      <c r="CK33" s="1342"/>
      <c r="CL33" s="1342"/>
      <c r="CM33" s="1342"/>
      <c r="CN33" s="1342"/>
      <c r="CO33" s="1342"/>
      <c r="CP33" s="1342"/>
      <c r="CQ33" s="1342"/>
      <c r="CR33" s="1342"/>
      <c r="CS33" s="1342"/>
      <c r="CT33" s="1342"/>
      <c r="CU33" s="1342"/>
      <c r="CV33" s="1342"/>
      <c r="CW33" s="1342"/>
      <c r="CX33" s="1342"/>
      <c r="CY33" s="1342"/>
      <c r="CZ33" s="1342"/>
      <c r="DA33" s="1342"/>
      <c r="DB33" s="1342"/>
      <c r="DC33" s="1342"/>
      <c r="DD33" s="1342"/>
      <c r="DE33" s="1342"/>
      <c r="DF33" s="1342"/>
      <c r="DG33" s="1342"/>
      <c r="DH33" s="1342"/>
      <c r="DI33" s="1342"/>
      <c r="DJ33" s="1342"/>
      <c r="DK33" s="1342"/>
      <c r="DL33" s="1342"/>
      <c r="DM33" s="1342"/>
      <c r="DN33" s="1342"/>
      <c r="DO33" s="1342"/>
      <c r="DP33" s="1342"/>
      <c r="DQ33" s="1342"/>
      <c r="DR33" s="1342"/>
      <c r="DS33" s="1342"/>
      <c r="DT33" s="1342"/>
      <c r="DU33" s="1342"/>
      <c r="DV33" s="1342"/>
      <c r="DW33" s="1342"/>
      <c r="DX33" s="1342"/>
      <c r="DY33" s="1342"/>
      <c r="DZ33" s="1342"/>
      <c r="EA33" s="1342"/>
      <c r="EB33" s="1342"/>
      <c r="EC33" s="1342"/>
      <c r="ED33" s="1342"/>
      <c r="EE33" s="1342"/>
      <c r="EF33" s="1342"/>
      <c r="EG33" s="1342"/>
      <c r="EH33" s="1342"/>
      <c r="EI33" s="1342"/>
      <c r="EJ33" s="1342"/>
      <c r="EK33" s="1342"/>
      <c r="EL33" s="1342"/>
      <c r="EM33" s="1342"/>
      <c r="EN33" s="1342"/>
      <c r="EO33" s="1342"/>
      <c r="EP33" s="1342"/>
      <c r="EQ33" s="1342"/>
      <c r="ER33" s="1342"/>
      <c r="ES33" s="1342"/>
      <c r="ET33" s="1342"/>
      <c r="EU33" s="1342"/>
      <c r="EV33" s="1342"/>
      <c r="EW33" s="1342"/>
      <c r="EX33" s="1342"/>
      <c r="EY33" s="1342"/>
      <c r="EZ33" s="1342"/>
      <c r="FA33" s="1342"/>
      <c r="FB33" s="1342"/>
      <c r="FC33" s="1342"/>
      <c r="FD33" s="1342"/>
      <c r="FE33" s="1342"/>
      <c r="FF33" s="1342"/>
      <c r="FG33" s="1342"/>
      <c r="FH33" s="1342"/>
      <c r="FI33" s="1342"/>
      <c r="FJ33" s="1342"/>
      <c r="FK33" s="1342"/>
      <c r="FL33" s="1342"/>
      <c r="FM33" s="1342"/>
      <c r="FN33" s="1342"/>
    </row>
    <row r="34" spans="1:170" s="1339" customFormat="1" ht="30.75" customHeight="1">
      <c r="A34" s="937" t="s">
        <v>588</v>
      </c>
      <c r="B34" s="842" t="s">
        <v>50</v>
      </c>
      <c r="C34" s="838"/>
      <c r="D34" s="839"/>
      <c r="E34" s="839">
        <v>0</v>
      </c>
      <c r="F34" s="839"/>
      <c r="G34" s="839">
        <v>0</v>
      </c>
      <c r="H34" s="840">
        <f>E34+F34+G34</f>
        <v>0</v>
      </c>
      <c r="I34" s="814">
        <v>0</v>
      </c>
      <c r="J34" s="815"/>
      <c r="K34" s="816">
        <v>6750</v>
      </c>
      <c r="L34" s="817">
        <f>I34+J34+K34</f>
        <v>6750</v>
      </c>
      <c r="M34" s="814">
        <v>0</v>
      </c>
      <c r="N34" s="816"/>
      <c r="O34" s="816">
        <v>6750</v>
      </c>
      <c r="P34" s="817">
        <f>M34+N34+O34</f>
        <v>6750</v>
      </c>
      <c r="Q34" s="814">
        <f t="shared" si="15"/>
        <v>0</v>
      </c>
      <c r="R34" s="815">
        <f t="shared" si="15"/>
        <v>0</v>
      </c>
      <c r="S34" s="816">
        <f t="shared" si="15"/>
        <v>13500</v>
      </c>
      <c r="T34" s="817">
        <f>Q34+R34+S34</f>
        <v>13500</v>
      </c>
      <c r="U34" s="1342"/>
      <c r="V34" s="1342"/>
      <c r="W34" s="1342"/>
      <c r="X34" s="1342"/>
      <c r="Y34" s="1342"/>
      <c r="Z34" s="1342"/>
      <c r="AA34" s="1342"/>
      <c r="AB34" s="1342"/>
      <c r="AC34" s="1342"/>
      <c r="AD34" s="1342"/>
      <c r="AE34" s="1342"/>
      <c r="AF34" s="1342"/>
      <c r="AG34" s="1342"/>
      <c r="AH34" s="1342"/>
      <c r="AI34" s="1342"/>
      <c r="AJ34" s="1342"/>
      <c r="AK34" s="1342"/>
      <c r="AL34" s="1342"/>
      <c r="AM34" s="1342"/>
      <c r="AN34" s="1342"/>
      <c r="AO34" s="1342"/>
      <c r="AP34" s="1342"/>
      <c r="AQ34" s="1342"/>
      <c r="AR34" s="1342"/>
      <c r="AS34" s="1342"/>
      <c r="AT34" s="1342"/>
      <c r="AU34" s="1342"/>
      <c r="AV34" s="1342"/>
      <c r="AW34" s="1342"/>
      <c r="AX34" s="1342"/>
      <c r="AY34" s="1342"/>
      <c r="AZ34" s="1342"/>
      <c r="BA34" s="1342"/>
      <c r="BB34" s="1342"/>
      <c r="BC34" s="1342"/>
      <c r="BD34" s="1342"/>
      <c r="BE34" s="1342"/>
      <c r="BF34" s="1342"/>
      <c r="BG34" s="1342"/>
      <c r="BH34" s="1342"/>
      <c r="BI34" s="1342"/>
      <c r="BJ34" s="1342"/>
      <c r="BK34" s="1342"/>
      <c r="BL34" s="1342"/>
      <c r="BM34" s="1342"/>
      <c r="BN34" s="1342"/>
      <c r="BO34" s="1342"/>
      <c r="BP34" s="1342"/>
      <c r="BQ34" s="1342"/>
      <c r="BR34" s="1342"/>
      <c r="BS34" s="1342"/>
      <c r="BT34" s="1342"/>
      <c r="BU34" s="1342"/>
      <c r="BV34" s="1342"/>
      <c r="BW34" s="1342"/>
      <c r="BX34" s="1342"/>
      <c r="BY34" s="1342"/>
      <c r="BZ34" s="1342"/>
      <c r="CA34" s="1342"/>
      <c r="CB34" s="1342"/>
      <c r="CC34" s="1342"/>
      <c r="CD34" s="1342"/>
      <c r="CE34" s="1342"/>
      <c r="CF34" s="1342"/>
      <c r="CG34" s="1342"/>
      <c r="CH34" s="1342"/>
      <c r="CI34" s="1342"/>
      <c r="CJ34" s="1342"/>
      <c r="CK34" s="1342"/>
      <c r="CL34" s="1342"/>
      <c r="CM34" s="1342"/>
      <c r="CN34" s="1342"/>
      <c r="CO34" s="1342"/>
      <c r="CP34" s="1342"/>
      <c r="CQ34" s="1342"/>
      <c r="CR34" s="1342"/>
      <c r="CS34" s="1342"/>
      <c r="CT34" s="1342"/>
      <c r="CU34" s="1342"/>
      <c r="CV34" s="1342"/>
      <c r="CW34" s="1342"/>
      <c r="CX34" s="1342"/>
      <c r="CY34" s="1342"/>
      <c r="CZ34" s="1342"/>
      <c r="DA34" s="1342"/>
      <c r="DB34" s="1342"/>
      <c r="DC34" s="1342"/>
      <c r="DD34" s="1342"/>
      <c r="DE34" s="1342"/>
      <c r="DF34" s="1342"/>
      <c r="DG34" s="1342"/>
      <c r="DH34" s="1342"/>
      <c r="DI34" s="1342"/>
      <c r="DJ34" s="1342"/>
      <c r="DK34" s="1342"/>
      <c r="DL34" s="1342"/>
      <c r="DM34" s="1342"/>
      <c r="DN34" s="1342"/>
      <c r="DO34" s="1342"/>
      <c r="DP34" s="1342"/>
      <c r="DQ34" s="1342"/>
      <c r="DR34" s="1342"/>
      <c r="DS34" s="1342"/>
      <c r="DT34" s="1342"/>
      <c r="DU34" s="1342"/>
      <c r="DV34" s="1342"/>
      <c r="DW34" s="1342"/>
      <c r="DX34" s="1342"/>
      <c r="DY34" s="1342"/>
      <c r="DZ34" s="1342"/>
      <c r="EA34" s="1342"/>
      <c r="EB34" s="1342"/>
      <c r="EC34" s="1342"/>
      <c r="ED34" s="1342"/>
      <c r="EE34" s="1342"/>
      <c r="EF34" s="1342"/>
      <c r="EG34" s="1342"/>
      <c r="EH34" s="1342"/>
      <c r="EI34" s="1342"/>
      <c r="EJ34" s="1342"/>
      <c r="EK34" s="1342"/>
      <c r="EL34" s="1342"/>
      <c r="EM34" s="1342"/>
      <c r="EN34" s="1342"/>
      <c r="EO34" s="1342"/>
      <c r="EP34" s="1342"/>
      <c r="EQ34" s="1342"/>
      <c r="ER34" s="1342"/>
      <c r="ES34" s="1342"/>
      <c r="ET34" s="1342"/>
      <c r="EU34" s="1342"/>
      <c r="EV34" s="1342"/>
      <c r="EW34" s="1342"/>
      <c r="EX34" s="1342"/>
      <c r="EY34" s="1342"/>
      <c r="EZ34" s="1342"/>
      <c r="FA34" s="1342"/>
      <c r="FB34" s="1342"/>
      <c r="FC34" s="1342"/>
      <c r="FD34" s="1342"/>
      <c r="FE34" s="1342"/>
      <c r="FF34" s="1342"/>
      <c r="FG34" s="1342"/>
      <c r="FH34" s="1342"/>
      <c r="FI34" s="1342"/>
      <c r="FJ34" s="1342"/>
      <c r="FK34" s="1342"/>
      <c r="FL34" s="1342"/>
      <c r="FM34" s="1342"/>
      <c r="FN34" s="1342"/>
    </row>
    <row r="35" spans="1:170" s="1339" customFormat="1" ht="30.75" customHeight="1" thickBot="1">
      <c r="A35" s="937" t="s">
        <v>588</v>
      </c>
      <c r="B35" s="842" t="s">
        <v>51</v>
      </c>
      <c r="C35" s="838"/>
      <c r="D35" s="839"/>
      <c r="E35" s="839">
        <v>0</v>
      </c>
      <c r="F35" s="839"/>
      <c r="G35" s="839">
        <v>0</v>
      </c>
      <c r="H35" s="840">
        <f>E35+F35+G35</f>
        <v>0</v>
      </c>
      <c r="I35" s="814">
        <v>0</v>
      </c>
      <c r="J35" s="815"/>
      <c r="K35" s="816">
        <f>819+10626</f>
        <v>11445</v>
      </c>
      <c r="L35" s="817">
        <f>I35+J35+K35</f>
        <v>11445</v>
      </c>
      <c r="M35" s="814">
        <v>0</v>
      </c>
      <c r="N35" s="816"/>
      <c r="O35" s="816">
        <f>4641+60214</f>
        <v>64855</v>
      </c>
      <c r="P35" s="817">
        <f>M35+N35+O35</f>
        <v>64855</v>
      </c>
      <c r="Q35" s="814">
        <f t="shared" si="15"/>
        <v>0</v>
      </c>
      <c r="R35" s="815">
        <f t="shared" si="15"/>
        <v>0</v>
      </c>
      <c r="S35" s="816">
        <f t="shared" si="15"/>
        <v>76300</v>
      </c>
      <c r="T35" s="817">
        <f>Q35+R35+S35</f>
        <v>76300</v>
      </c>
      <c r="U35" s="1342"/>
      <c r="V35" s="1342"/>
      <c r="W35" s="1342"/>
      <c r="X35" s="1342"/>
      <c r="Y35" s="1342"/>
      <c r="Z35" s="1342"/>
      <c r="AA35" s="1342"/>
      <c r="AB35" s="1342"/>
      <c r="AC35" s="1342"/>
      <c r="AD35" s="1342"/>
      <c r="AE35" s="1342"/>
      <c r="AF35" s="1342"/>
      <c r="AG35" s="1342"/>
      <c r="AH35" s="1342"/>
      <c r="AI35" s="1342"/>
      <c r="AJ35" s="1342"/>
      <c r="AK35" s="1342"/>
      <c r="AL35" s="1342"/>
      <c r="AM35" s="1342"/>
      <c r="AN35" s="1342"/>
      <c r="AO35" s="1342"/>
      <c r="AP35" s="1342"/>
      <c r="AQ35" s="1342"/>
      <c r="AR35" s="1342"/>
      <c r="AS35" s="1342"/>
      <c r="AT35" s="1342"/>
      <c r="AU35" s="1342"/>
      <c r="AV35" s="1342"/>
      <c r="AW35" s="1342"/>
      <c r="AX35" s="1342"/>
      <c r="AY35" s="1342"/>
      <c r="AZ35" s="1342"/>
      <c r="BA35" s="1342"/>
      <c r="BB35" s="1342"/>
      <c r="BC35" s="1342"/>
      <c r="BD35" s="1342"/>
      <c r="BE35" s="1342"/>
      <c r="BF35" s="1342"/>
      <c r="BG35" s="1342"/>
      <c r="BH35" s="1342"/>
      <c r="BI35" s="1342"/>
      <c r="BJ35" s="1342"/>
      <c r="BK35" s="1342"/>
      <c r="BL35" s="1342"/>
      <c r="BM35" s="1342"/>
      <c r="BN35" s="1342"/>
      <c r="BO35" s="1342"/>
      <c r="BP35" s="1342"/>
      <c r="BQ35" s="1342"/>
      <c r="BR35" s="1342"/>
      <c r="BS35" s="1342"/>
      <c r="BT35" s="1342"/>
      <c r="BU35" s="1342"/>
      <c r="BV35" s="1342"/>
      <c r="BW35" s="1342"/>
      <c r="BX35" s="1342"/>
      <c r="BY35" s="1342"/>
      <c r="BZ35" s="1342"/>
      <c r="CA35" s="1342"/>
      <c r="CB35" s="1342"/>
      <c r="CC35" s="1342"/>
      <c r="CD35" s="1342"/>
      <c r="CE35" s="1342"/>
      <c r="CF35" s="1342"/>
      <c r="CG35" s="1342"/>
      <c r="CH35" s="1342"/>
      <c r="CI35" s="1342"/>
      <c r="CJ35" s="1342"/>
      <c r="CK35" s="1342"/>
      <c r="CL35" s="1342"/>
      <c r="CM35" s="1342"/>
      <c r="CN35" s="1342"/>
      <c r="CO35" s="1342"/>
      <c r="CP35" s="1342"/>
      <c r="CQ35" s="1342"/>
      <c r="CR35" s="1342"/>
      <c r="CS35" s="1342"/>
      <c r="CT35" s="1342"/>
      <c r="CU35" s="1342"/>
      <c r="CV35" s="1342"/>
      <c r="CW35" s="1342"/>
      <c r="CX35" s="1342"/>
      <c r="CY35" s="1342"/>
      <c r="CZ35" s="1342"/>
      <c r="DA35" s="1342"/>
      <c r="DB35" s="1342"/>
      <c r="DC35" s="1342"/>
      <c r="DD35" s="1342"/>
      <c r="DE35" s="1342"/>
      <c r="DF35" s="1342"/>
      <c r="DG35" s="1342"/>
      <c r="DH35" s="1342"/>
      <c r="DI35" s="1342"/>
      <c r="DJ35" s="1342"/>
      <c r="DK35" s="1342"/>
      <c r="DL35" s="1342"/>
      <c r="DM35" s="1342"/>
      <c r="DN35" s="1342"/>
      <c r="DO35" s="1342"/>
      <c r="DP35" s="1342"/>
      <c r="DQ35" s="1342"/>
      <c r="DR35" s="1342"/>
      <c r="DS35" s="1342"/>
      <c r="DT35" s="1342"/>
      <c r="DU35" s="1342"/>
      <c r="DV35" s="1342"/>
      <c r="DW35" s="1342"/>
      <c r="DX35" s="1342"/>
      <c r="DY35" s="1342"/>
      <c r="DZ35" s="1342"/>
      <c r="EA35" s="1342"/>
      <c r="EB35" s="1342"/>
      <c r="EC35" s="1342"/>
      <c r="ED35" s="1342"/>
      <c r="EE35" s="1342"/>
      <c r="EF35" s="1342"/>
      <c r="EG35" s="1342"/>
      <c r="EH35" s="1342"/>
      <c r="EI35" s="1342"/>
      <c r="EJ35" s="1342"/>
      <c r="EK35" s="1342"/>
      <c r="EL35" s="1342"/>
      <c r="EM35" s="1342"/>
      <c r="EN35" s="1342"/>
      <c r="EO35" s="1342"/>
      <c r="EP35" s="1342"/>
      <c r="EQ35" s="1342"/>
      <c r="ER35" s="1342"/>
      <c r="ES35" s="1342"/>
      <c r="ET35" s="1342"/>
      <c r="EU35" s="1342"/>
      <c r="EV35" s="1342"/>
      <c r="EW35" s="1342"/>
      <c r="EX35" s="1342"/>
      <c r="EY35" s="1342"/>
      <c r="EZ35" s="1342"/>
      <c r="FA35" s="1342"/>
      <c r="FB35" s="1342"/>
      <c r="FC35" s="1342"/>
      <c r="FD35" s="1342"/>
      <c r="FE35" s="1342"/>
      <c r="FF35" s="1342"/>
      <c r="FG35" s="1342"/>
      <c r="FH35" s="1342"/>
      <c r="FI35" s="1342"/>
      <c r="FJ35" s="1342"/>
      <c r="FK35" s="1342"/>
      <c r="FL35" s="1342"/>
      <c r="FM35" s="1342"/>
      <c r="FN35" s="1342"/>
    </row>
    <row r="36" spans="1:170" s="1339" customFormat="1" ht="26.25" customHeight="1" thickBot="1">
      <c r="A36" s="886" t="s">
        <v>52</v>
      </c>
      <c r="B36" s="887"/>
      <c r="C36" s="828">
        <f>Q36/H36/12</f>
        <v>16219</v>
      </c>
      <c r="D36" s="830"/>
      <c r="E36" s="830">
        <f aca="true" t="shared" si="16" ref="E36:T36">SUM(E37:E43)</f>
        <v>22</v>
      </c>
      <c r="F36" s="830">
        <f t="shared" si="16"/>
        <v>0</v>
      </c>
      <c r="G36" s="830">
        <f t="shared" si="16"/>
        <v>0</v>
      </c>
      <c r="H36" s="831">
        <f t="shared" si="16"/>
        <v>22</v>
      </c>
      <c r="I36" s="888">
        <f t="shared" si="16"/>
        <v>4023900.54</v>
      </c>
      <c r="J36" s="889">
        <f t="shared" si="16"/>
        <v>0</v>
      </c>
      <c r="K36" s="890">
        <f t="shared" si="16"/>
        <v>263980</v>
      </c>
      <c r="L36" s="891">
        <f t="shared" si="16"/>
        <v>4287880.54</v>
      </c>
      <c r="M36" s="888">
        <f t="shared" si="16"/>
        <v>258005.6</v>
      </c>
      <c r="N36" s="890">
        <f t="shared" si="16"/>
        <v>0</v>
      </c>
      <c r="O36" s="890">
        <f t="shared" si="16"/>
        <v>1492685</v>
      </c>
      <c r="P36" s="891">
        <f t="shared" si="16"/>
        <v>1750690.6</v>
      </c>
      <c r="Q36" s="888">
        <f t="shared" si="16"/>
        <v>4281906.14</v>
      </c>
      <c r="R36" s="889">
        <f t="shared" si="16"/>
        <v>0</v>
      </c>
      <c r="S36" s="890">
        <f t="shared" si="16"/>
        <v>1756665</v>
      </c>
      <c r="T36" s="891">
        <f t="shared" si="16"/>
        <v>6038571.14</v>
      </c>
      <c r="U36" s="1342"/>
      <c r="V36" s="1342"/>
      <c r="W36" s="1342"/>
      <c r="X36" s="1342"/>
      <c r="Y36" s="1342"/>
      <c r="Z36" s="1342"/>
      <c r="AA36" s="1342"/>
      <c r="AB36" s="1342"/>
      <c r="AC36" s="1342"/>
      <c r="AD36" s="1342"/>
      <c r="AE36" s="1342"/>
      <c r="AF36" s="1342"/>
      <c r="AG36" s="1342"/>
      <c r="AH36" s="1342"/>
      <c r="AI36" s="1342"/>
      <c r="AJ36" s="1342"/>
      <c r="AK36" s="1342"/>
      <c r="AL36" s="1342"/>
      <c r="AM36" s="1342"/>
      <c r="AN36" s="1342"/>
      <c r="AO36" s="1342"/>
      <c r="AP36" s="1342"/>
      <c r="AQ36" s="1342"/>
      <c r="AR36" s="1342"/>
      <c r="AS36" s="1342"/>
      <c r="AT36" s="1342"/>
      <c r="AU36" s="1342"/>
      <c r="AV36" s="1342"/>
      <c r="AW36" s="1342"/>
      <c r="AX36" s="1342"/>
      <c r="AY36" s="1342"/>
      <c r="AZ36" s="1342"/>
      <c r="BA36" s="1342"/>
      <c r="BB36" s="1342"/>
      <c r="BC36" s="1342"/>
      <c r="BD36" s="1342"/>
      <c r="BE36" s="1342"/>
      <c r="BF36" s="1342"/>
      <c r="BG36" s="1342"/>
      <c r="BH36" s="1342"/>
      <c r="BI36" s="1342"/>
      <c r="BJ36" s="1342"/>
      <c r="BK36" s="1342"/>
      <c r="BL36" s="1342"/>
      <c r="BM36" s="1342"/>
      <c r="BN36" s="1342"/>
      <c r="BO36" s="1342"/>
      <c r="BP36" s="1342"/>
      <c r="BQ36" s="1342"/>
      <c r="BR36" s="1342"/>
      <c r="BS36" s="1342"/>
      <c r="BT36" s="1342"/>
      <c r="BU36" s="1342"/>
      <c r="BV36" s="1342"/>
      <c r="BW36" s="1342"/>
      <c r="BX36" s="1342"/>
      <c r="BY36" s="1342"/>
      <c r="BZ36" s="1342"/>
      <c r="CA36" s="1342"/>
      <c r="CB36" s="1342"/>
      <c r="CC36" s="1342"/>
      <c r="CD36" s="1342"/>
      <c r="CE36" s="1342"/>
      <c r="CF36" s="1342"/>
      <c r="CG36" s="1342"/>
      <c r="CH36" s="1342"/>
      <c r="CI36" s="1342"/>
      <c r="CJ36" s="1342"/>
      <c r="CK36" s="1342"/>
      <c r="CL36" s="1342"/>
      <c r="CM36" s="1342"/>
      <c r="CN36" s="1342"/>
      <c r="CO36" s="1342"/>
      <c r="CP36" s="1342"/>
      <c r="CQ36" s="1342"/>
      <c r="CR36" s="1342"/>
      <c r="CS36" s="1342"/>
      <c r="CT36" s="1342"/>
      <c r="CU36" s="1342"/>
      <c r="CV36" s="1342"/>
      <c r="CW36" s="1342"/>
      <c r="CX36" s="1342"/>
      <c r="CY36" s="1342"/>
      <c r="CZ36" s="1342"/>
      <c r="DA36" s="1342"/>
      <c r="DB36" s="1342"/>
      <c r="DC36" s="1342"/>
      <c r="DD36" s="1342"/>
      <c r="DE36" s="1342"/>
      <c r="DF36" s="1342"/>
      <c r="DG36" s="1342"/>
      <c r="DH36" s="1342"/>
      <c r="DI36" s="1342"/>
      <c r="DJ36" s="1342"/>
      <c r="DK36" s="1342"/>
      <c r="DL36" s="1342"/>
      <c r="DM36" s="1342"/>
      <c r="DN36" s="1342"/>
      <c r="DO36" s="1342"/>
      <c r="DP36" s="1342"/>
      <c r="DQ36" s="1342"/>
      <c r="DR36" s="1342"/>
      <c r="DS36" s="1342"/>
      <c r="DT36" s="1342"/>
      <c r="DU36" s="1342"/>
      <c r="DV36" s="1342"/>
      <c r="DW36" s="1342"/>
      <c r="DX36" s="1342"/>
      <c r="DY36" s="1342"/>
      <c r="DZ36" s="1342"/>
      <c r="EA36" s="1342"/>
      <c r="EB36" s="1342"/>
      <c r="EC36" s="1342"/>
      <c r="ED36" s="1342"/>
      <c r="EE36" s="1342"/>
      <c r="EF36" s="1342"/>
      <c r="EG36" s="1342"/>
      <c r="EH36" s="1342"/>
      <c r="EI36" s="1342"/>
      <c r="EJ36" s="1342"/>
      <c r="EK36" s="1342"/>
      <c r="EL36" s="1342"/>
      <c r="EM36" s="1342"/>
      <c r="EN36" s="1342"/>
      <c r="EO36" s="1342"/>
      <c r="EP36" s="1342"/>
      <c r="EQ36" s="1342"/>
      <c r="ER36" s="1342"/>
      <c r="ES36" s="1342"/>
      <c r="ET36" s="1342"/>
      <c r="EU36" s="1342"/>
      <c r="EV36" s="1342"/>
      <c r="EW36" s="1342"/>
      <c r="EX36" s="1342"/>
      <c r="EY36" s="1342"/>
      <c r="EZ36" s="1342"/>
      <c r="FA36" s="1342"/>
      <c r="FB36" s="1342"/>
      <c r="FC36" s="1342"/>
      <c r="FD36" s="1342"/>
      <c r="FE36" s="1342"/>
      <c r="FF36" s="1342"/>
      <c r="FG36" s="1342"/>
      <c r="FH36" s="1342"/>
      <c r="FI36" s="1342"/>
      <c r="FJ36" s="1342"/>
      <c r="FK36" s="1342"/>
      <c r="FL36" s="1342"/>
      <c r="FM36" s="1342"/>
      <c r="FN36" s="1342"/>
    </row>
    <row r="37" spans="1:170" s="1339" customFormat="1" ht="33.75" customHeight="1">
      <c r="A37" s="842" t="s">
        <v>585</v>
      </c>
      <c r="B37" s="842" t="s">
        <v>53</v>
      </c>
      <c r="C37" s="843" t="e">
        <f>Q37/H37/12</f>
        <v>#DIV/0!</v>
      </c>
      <c r="D37" s="884"/>
      <c r="E37" s="884">
        <v>0.16</v>
      </c>
      <c r="F37" s="884"/>
      <c r="G37" s="884">
        <v>0</v>
      </c>
      <c r="H37" s="885">
        <f aca="true" t="shared" si="17" ref="H37:H43">E37+F37+G37</f>
        <v>0</v>
      </c>
      <c r="I37" s="892">
        <v>9175.8</v>
      </c>
      <c r="J37" s="893"/>
      <c r="K37" s="893">
        <v>6469.5</v>
      </c>
      <c r="L37" s="894">
        <f aca="true" t="shared" si="18" ref="L37:L43">I37+J37+K37</f>
        <v>15645.3</v>
      </c>
      <c r="M37" s="892">
        <v>51996.2</v>
      </c>
      <c r="N37" s="893"/>
      <c r="O37" s="893">
        <v>36660.5</v>
      </c>
      <c r="P37" s="894">
        <f aca="true" t="shared" si="19" ref="P37:P43">M37+N37+O37</f>
        <v>88656.7</v>
      </c>
      <c r="Q37" s="892">
        <f aca="true" t="shared" si="20" ref="Q37:S43">I37+M37</f>
        <v>61172</v>
      </c>
      <c r="R37" s="893">
        <f t="shared" si="20"/>
        <v>0</v>
      </c>
      <c r="S37" s="893">
        <f t="shared" si="20"/>
        <v>43130</v>
      </c>
      <c r="T37" s="894">
        <f aca="true" t="shared" si="21" ref="T37:T43">Q37+R37+S37</f>
        <v>104302</v>
      </c>
      <c r="U37" s="1340"/>
      <c r="V37" s="1342"/>
      <c r="W37" s="1342"/>
      <c r="X37" s="1342"/>
      <c r="Y37" s="1342"/>
      <c r="Z37" s="1342"/>
      <c r="AA37" s="1342"/>
      <c r="AB37" s="1342"/>
      <c r="AC37" s="1342"/>
      <c r="AD37" s="1342"/>
      <c r="AE37" s="1342"/>
      <c r="AF37" s="1342"/>
      <c r="AG37" s="1342"/>
      <c r="AH37" s="1342"/>
      <c r="AI37" s="1342"/>
      <c r="AJ37" s="1342"/>
      <c r="AK37" s="1342"/>
      <c r="AL37" s="1342"/>
      <c r="AM37" s="1342"/>
      <c r="AN37" s="1342"/>
      <c r="AO37" s="1342"/>
      <c r="AP37" s="1342"/>
      <c r="AQ37" s="1342"/>
      <c r="AR37" s="1342"/>
      <c r="AS37" s="1342"/>
      <c r="AT37" s="1342"/>
      <c r="AU37" s="1342"/>
      <c r="AV37" s="1342"/>
      <c r="AW37" s="1342"/>
      <c r="AX37" s="1342"/>
      <c r="AY37" s="1342"/>
      <c r="AZ37" s="1342"/>
      <c r="BA37" s="1342"/>
      <c r="BB37" s="1342"/>
      <c r="BC37" s="1342"/>
      <c r="BD37" s="1342"/>
      <c r="BE37" s="1342"/>
      <c r="BF37" s="1342"/>
      <c r="BG37" s="1342"/>
      <c r="BH37" s="1342"/>
      <c r="BI37" s="1342"/>
      <c r="BJ37" s="1342"/>
      <c r="BK37" s="1342"/>
      <c r="BL37" s="1342"/>
      <c r="BM37" s="1342"/>
      <c r="BN37" s="1342"/>
      <c r="BO37" s="1342"/>
      <c r="BP37" s="1342"/>
      <c r="BQ37" s="1342"/>
      <c r="BR37" s="1342"/>
      <c r="BS37" s="1342"/>
      <c r="BT37" s="1342"/>
      <c r="BU37" s="1342"/>
      <c r="BV37" s="1342"/>
      <c r="BW37" s="1342"/>
      <c r="BX37" s="1342"/>
      <c r="BY37" s="1342"/>
      <c r="BZ37" s="1342"/>
      <c r="CA37" s="1342"/>
      <c r="CB37" s="1342"/>
      <c r="CC37" s="1342"/>
      <c r="CD37" s="1342"/>
      <c r="CE37" s="1342"/>
      <c r="CF37" s="1342"/>
      <c r="CG37" s="1342"/>
      <c r="CH37" s="1342"/>
      <c r="CI37" s="1342"/>
      <c r="CJ37" s="1342"/>
      <c r="CK37" s="1342"/>
      <c r="CL37" s="1342"/>
      <c r="CM37" s="1342"/>
      <c r="CN37" s="1342"/>
      <c r="CO37" s="1342"/>
      <c r="CP37" s="1342"/>
      <c r="CQ37" s="1342"/>
      <c r="CR37" s="1342"/>
      <c r="CS37" s="1342"/>
      <c r="CT37" s="1342"/>
      <c r="CU37" s="1342"/>
      <c r="CV37" s="1342"/>
      <c r="CW37" s="1342"/>
      <c r="CX37" s="1342"/>
      <c r="CY37" s="1342"/>
      <c r="CZ37" s="1342"/>
      <c r="DA37" s="1342"/>
      <c r="DB37" s="1342"/>
      <c r="DC37" s="1342"/>
      <c r="DD37" s="1342"/>
      <c r="DE37" s="1342"/>
      <c r="DF37" s="1342"/>
      <c r="DG37" s="1342"/>
      <c r="DH37" s="1342"/>
      <c r="DI37" s="1342"/>
      <c r="DJ37" s="1342"/>
      <c r="DK37" s="1342"/>
      <c r="DL37" s="1342"/>
      <c r="DM37" s="1342"/>
      <c r="DN37" s="1342"/>
      <c r="DO37" s="1342"/>
      <c r="DP37" s="1342"/>
      <c r="DQ37" s="1342"/>
      <c r="DR37" s="1342"/>
      <c r="DS37" s="1342"/>
      <c r="DT37" s="1342"/>
      <c r="DU37" s="1342"/>
      <c r="DV37" s="1342"/>
      <c r="DW37" s="1342"/>
      <c r="DX37" s="1342"/>
      <c r="DY37" s="1342"/>
      <c r="DZ37" s="1342"/>
      <c r="EA37" s="1342"/>
      <c r="EB37" s="1342"/>
      <c r="EC37" s="1342"/>
      <c r="ED37" s="1342"/>
      <c r="EE37" s="1342"/>
      <c r="EF37" s="1342"/>
      <c r="EG37" s="1342"/>
      <c r="EH37" s="1342"/>
      <c r="EI37" s="1342"/>
      <c r="EJ37" s="1342"/>
      <c r="EK37" s="1342"/>
      <c r="EL37" s="1342"/>
      <c r="EM37" s="1342"/>
      <c r="EN37" s="1342"/>
      <c r="EO37" s="1342"/>
      <c r="EP37" s="1342"/>
      <c r="EQ37" s="1342"/>
      <c r="ER37" s="1342"/>
      <c r="ES37" s="1342"/>
      <c r="ET37" s="1342"/>
      <c r="EU37" s="1342"/>
      <c r="EV37" s="1342"/>
      <c r="EW37" s="1342"/>
      <c r="EX37" s="1342"/>
      <c r="EY37" s="1342"/>
      <c r="EZ37" s="1342"/>
      <c r="FA37" s="1342"/>
      <c r="FB37" s="1342"/>
      <c r="FC37" s="1342"/>
      <c r="FD37" s="1342"/>
      <c r="FE37" s="1342"/>
      <c r="FF37" s="1342"/>
      <c r="FG37" s="1342"/>
      <c r="FH37" s="1342"/>
      <c r="FI37" s="1342"/>
      <c r="FJ37" s="1342"/>
      <c r="FK37" s="1342"/>
      <c r="FL37" s="1342"/>
      <c r="FM37" s="1342"/>
      <c r="FN37" s="1342"/>
    </row>
    <row r="38" spans="1:170" s="1339" customFormat="1" ht="33.75" customHeight="1">
      <c r="A38" s="842" t="s">
        <v>585</v>
      </c>
      <c r="B38" s="842" t="s">
        <v>54</v>
      </c>
      <c r="C38" s="843">
        <f>Q38/H38/12</f>
        <v>11463</v>
      </c>
      <c r="D38" s="884"/>
      <c r="E38" s="884">
        <v>0.8</v>
      </c>
      <c r="F38" s="884"/>
      <c r="G38" s="884">
        <v>0</v>
      </c>
      <c r="H38" s="885">
        <f t="shared" si="17"/>
        <v>1</v>
      </c>
      <c r="I38" s="814">
        <f>9000+11632.95</f>
        <v>20632.95</v>
      </c>
      <c r="J38" s="816"/>
      <c r="K38" s="816">
        <v>0</v>
      </c>
      <c r="L38" s="895">
        <f t="shared" si="18"/>
        <v>20632.95</v>
      </c>
      <c r="M38" s="814">
        <f>51000+65920.05</f>
        <v>116920.05</v>
      </c>
      <c r="N38" s="816"/>
      <c r="O38" s="816">
        <v>0</v>
      </c>
      <c r="P38" s="895">
        <f t="shared" si="19"/>
        <v>116920.05</v>
      </c>
      <c r="Q38" s="814">
        <f t="shared" si="20"/>
        <v>137553</v>
      </c>
      <c r="R38" s="816">
        <f t="shared" si="20"/>
        <v>0</v>
      </c>
      <c r="S38" s="816">
        <f t="shared" si="20"/>
        <v>0</v>
      </c>
      <c r="T38" s="895">
        <f t="shared" si="21"/>
        <v>137553</v>
      </c>
      <c r="U38" s="1340"/>
      <c r="V38" s="1342"/>
      <c r="W38" s="1342"/>
      <c r="X38" s="1342"/>
      <c r="Y38" s="1342"/>
      <c r="Z38" s="1342"/>
      <c r="AA38" s="1342"/>
      <c r="AB38" s="1342"/>
      <c r="AC38" s="1342"/>
      <c r="AD38" s="1342"/>
      <c r="AE38" s="1342"/>
      <c r="AF38" s="1342"/>
      <c r="AG38" s="1342"/>
      <c r="AH38" s="1342"/>
      <c r="AI38" s="1342"/>
      <c r="AJ38" s="1342"/>
      <c r="AK38" s="1342"/>
      <c r="AL38" s="1342"/>
      <c r="AM38" s="1342"/>
      <c r="AN38" s="1342"/>
      <c r="AO38" s="1342"/>
      <c r="AP38" s="1342"/>
      <c r="AQ38" s="1342"/>
      <c r="AR38" s="1342"/>
      <c r="AS38" s="1342"/>
      <c r="AT38" s="1342"/>
      <c r="AU38" s="1342"/>
      <c r="AV38" s="1342"/>
      <c r="AW38" s="1342"/>
      <c r="AX38" s="1342"/>
      <c r="AY38" s="1342"/>
      <c r="AZ38" s="1342"/>
      <c r="BA38" s="1342"/>
      <c r="BB38" s="1342"/>
      <c r="BC38" s="1342"/>
      <c r="BD38" s="1342"/>
      <c r="BE38" s="1342"/>
      <c r="BF38" s="1342"/>
      <c r="BG38" s="1342"/>
      <c r="BH38" s="1342"/>
      <c r="BI38" s="1342"/>
      <c r="BJ38" s="1342"/>
      <c r="BK38" s="1342"/>
      <c r="BL38" s="1342"/>
      <c r="BM38" s="1342"/>
      <c r="BN38" s="1342"/>
      <c r="BO38" s="1342"/>
      <c r="BP38" s="1342"/>
      <c r="BQ38" s="1342"/>
      <c r="BR38" s="1342"/>
      <c r="BS38" s="1342"/>
      <c r="BT38" s="1342"/>
      <c r="BU38" s="1342"/>
      <c r="BV38" s="1342"/>
      <c r="BW38" s="1342"/>
      <c r="BX38" s="1342"/>
      <c r="BY38" s="1342"/>
      <c r="BZ38" s="1342"/>
      <c r="CA38" s="1342"/>
      <c r="CB38" s="1342"/>
      <c r="CC38" s="1342"/>
      <c r="CD38" s="1342"/>
      <c r="CE38" s="1342"/>
      <c r="CF38" s="1342"/>
      <c r="CG38" s="1342"/>
      <c r="CH38" s="1342"/>
      <c r="CI38" s="1342"/>
      <c r="CJ38" s="1342"/>
      <c r="CK38" s="1342"/>
      <c r="CL38" s="1342"/>
      <c r="CM38" s="1342"/>
      <c r="CN38" s="1342"/>
      <c r="CO38" s="1342"/>
      <c r="CP38" s="1342"/>
      <c r="CQ38" s="1342"/>
      <c r="CR38" s="1342"/>
      <c r="CS38" s="1342"/>
      <c r="CT38" s="1342"/>
      <c r="CU38" s="1342"/>
      <c r="CV38" s="1342"/>
      <c r="CW38" s="1342"/>
      <c r="CX38" s="1342"/>
      <c r="CY38" s="1342"/>
      <c r="CZ38" s="1342"/>
      <c r="DA38" s="1342"/>
      <c r="DB38" s="1342"/>
      <c r="DC38" s="1342"/>
      <c r="DD38" s="1342"/>
      <c r="DE38" s="1342"/>
      <c r="DF38" s="1342"/>
      <c r="DG38" s="1342"/>
      <c r="DH38" s="1342"/>
      <c r="DI38" s="1342"/>
      <c r="DJ38" s="1342"/>
      <c r="DK38" s="1342"/>
      <c r="DL38" s="1342"/>
      <c r="DM38" s="1342"/>
      <c r="DN38" s="1342"/>
      <c r="DO38" s="1342"/>
      <c r="DP38" s="1342"/>
      <c r="DQ38" s="1342"/>
      <c r="DR38" s="1342"/>
      <c r="DS38" s="1342"/>
      <c r="DT38" s="1342"/>
      <c r="DU38" s="1342"/>
      <c r="DV38" s="1342"/>
      <c r="DW38" s="1342"/>
      <c r="DX38" s="1342"/>
      <c r="DY38" s="1342"/>
      <c r="DZ38" s="1342"/>
      <c r="EA38" s="1342"/>
      <c r="EB38" s="1342"/>
      <c r="EC38" s="1342"/>
      <c r="ED38" s="1342"/>
      <c r="EE38" s="1342"/>
      <c r="EF38" s="1342"/>
      <c r="EG38" s="1342"/>
      <c r="EH38" s="1342"/>
      <c r="EI38" s="1342"/>
      <c r="EJ38" s="1342"/>
      <c r="EK38" s="1342"/>
      <c r="EL38" s="1342"/>
      <c r="EM38" s="1342"/>
      <c r="EN38" s="1342"/>
      <c r="EO38" s="1342"/>
      <c r="EP38" s="1342"/>
      <c r="EQ38" s="1342"/>
      <c r="ER38" s="1342"/>
      <c r="ES38" s="1342"/>
      <c r="ET38" s="1342"/>
      <c r="EU38" s="1342"/>
      <c r="EV38" s="1342"/>
      <c r="EW38" s="1342"/>
      <c r="EX38" s="1342"/>
      <c r="EY38" s="1342"/>
      <c r="EZ38" s="1342"/>
      <c r="FA38" s="1342"/>
      <c r="FB38" s="1342"/>
      <c r="FC38" s="1342"/>
      <c r="FD38" s="1342"/>
      <c r="FE38" s="1342"/>
      <c r="FF38" s="1342"/>
      <c r="FG38" s="1342"/>
      <c r="FH38" s="1342"/>
      <c r="FI38" s="1342"/>
      <c r="FJ38" s="1342"/>
      <c r="FK38" s="1342"/>
      <c r="FL38" s="1342"/>
      <c r="FM38" s="1342"/>
      <c r="FN38" s="1342"/>
    </row>
    <row r="39" spans="1:170" s="1339" customFormat="1" ht="24.75" customHeight="1">
      <c r="A39" s="837" t="s">
        <v>55</v>
      </c>
      <c r="B39" s="837" t="s">
        <v>56</v>
      </c>
      <c r="C39" s="838">
        <f>Q39/H39/12</f>
        <v>16577</v>
      </c>
      <c r="D39" s="839"/>
      <c r="E39" s="839">
        <v>20</v>
      </c>
      <c r="F39" s="839"/>
      <c r="G39" s="839">
        <v>0</v>
      </c>
      <c r="H39" s="840">
        <f t="shared" si="17"/>
        <v>20</v>
      </c>
      <c r="I39" s="814">
        <v>3978370.14</v>
      </c>
      <c r="J39" s="816"/>
      <c r="K39" s="816">
        <v>0</v>
      </c>
      <c r="L39" s="895">
        <f t="shared" si="18"/>
        <v>3978370.14</v>
      </c>
      <c r="M39" s="814">
        <v>0</v>
      </c>
      <c r="N39" s="816"/>
      <c r="O39" s="816">
        <v>0</v>
      </c>
      <c r="P39" s="895">
        <f t="shared" si="19"/>
        <v>0</v>
      </c>
      <c r="Q39" s="814">
        <f t="shared" si="20"/>
        <v>3978370.14</v>
      </c>
      <c r="R39" s="816">
        <f t="shared" si="20"/>
        <v>0</v>
      </c>
      <c r="S39" s="816">
        <f t="shared" si="20"/>
        <v>0</v>
      </c>
      <c r="T39" s="895">
        <f t="shared" si="21"/>
        <v>3978370.14</v>
      </c>
      <c r="U39" s="1342"/>
      <c r="V39" s="1342"/>
      <c r="W39" s="1342"/>
      <c r="X39" s="1342"/>
      <c r="Y39" s="1342"/>
      <c r="Z39" s="1342"/>
      <c r="AA39" s="1342"/>
      <c r="AB39" s="1342"/>
      <c r="AC39" s="1342"/>
      <c r="AD39" s="1342"/>
      <c r="AE39" s="1342"/>
      <c r="AF39" s="1342"/>
      <c r="AG39" s="1342"/>
      <c r="AH39" s="1342"/>
      <c r="AI39" s="1342"/>
      <c r="AJ39" s="1342"/>
      <c r="AK39" s="1342"/>
      <c r="AL39" s="1342"/>
      <c r="AM39" s="1342"/>
      <c r="AN39" s="1342"/>
      <c r="AO39" s="1342"/>
      <c r="AP39" s="1342"/>
      <c r="AQ39" s="1342"/>
      <c r="AR39" s="1342"/>
      <c r="AS39" s="1342"/>
      <c r="AT39" s="1342"/>
      <c r="AU39" s="1342"/>
      <c r="AV39" s="1342"/>
      <c r="AW39" s="1342"/>
      <c r="AX39" s="1342"/>
      <c r="AY39" s="1342"/>
      <c r="AZ39" s="1342"/>
      <c r="BA39" s="1342"/>
      <c r="BB39" s="1342"/>
      <c r="BC39" s="1342"/>
      <c r="BD39" s="1342"/>
      <c r="BE39" s="1342"/>
      <c r="BF39" s="1342"/>
      <c r="BG39" s="1342"/>
      <c r="BH39" s="1342"/>
      <c r="BI39" s="1342"/>
      <c r="BJ39" s="1342"/>
      <c r="BK39" s="1342"/>
      <c r="BL39" s="1342"/>
      <c r="BM39" s="1342"/>
      <c r="BN39" s="1342"/>
      <c r="BO39" s="1342"/>
      <c r="BP39" s="1342"/>
      <c r="BQ39" s="1342"/>
      <c r="BR39" s="1342"/>
      <c r="BS39" s="1342"/>
      <c r="BT39" s="1342"/>
      <c r="BU39" s="1342"/>
      <c r="BV39" s="1342"/>
      <c r="BW39" s="1342"/>
      <c r="BX39" s="1342"/>
      <c r="BY39" s="1342"/>
      <c r="BZ39" s="1342"/>
      <c r="CA39" s="1342"/>
      <c r="CB39" s="1342"/>
      <c r="CC39" s="1342"/>
      <c r="CD39" s="1342"/>
      <c r="CE39" s="1342"/>
      <c r="CF39" s="1342"/>
      <c r="CG39" s="1342"/>
      <c r="CH39" s="1342"/>
      <c r="CI39" s="1342"/>
      <c r="CJ39" s="1342"/>
      <c r="CK39" s="1342"/>
      <c r="CL39" s="1342"/>
      <c r="CM39" s="1342"/>
      <c r="CN39" s="1342"/>
      <c r="CO39" s="1342"/>
      <c r="CP39" s="1342"/>
      <c r="CQ39" s="1342"/>
      <c r="CR39" s="1342"/>
      <c r="CS39" s="1342"/>
      <c r="CT39" s="1342"/>
      <c r="CU39" s="1342"/>
      <c r="CV39" s="1342"/>
      <c r="CW39" s="1342"/>
      <c r="CX39" s="1342"/>
      <c r="CY39" s="1342"/>
      <c r="CZ39" s="1342"/>
      <c r="DA39" s="1342"/>
      <c r="DB39" s="1342"/>
      <c r="DC39" s="1342"/>
      <c r="DD39" s="1342"/>
      <c r="DE39" s="1342"/>
      <c r="DF39" s="1342"/>
      <c r="DG39" s="1342"/>
      <c r="DH39" s="1342"/>
      <c r="DI39" s="1342"/>
      <c r="DJ39" s="1342"/>
      <c r="DK39" s="1342"/>
      <c r="DL39" s="1342"/>
      <c r="DM39" s="1342"/>
      <c r="DN39" s="1342"/>
      <c r="DO39" s="1342"/>
      <c r="DP39" s="1342"/>
      <c r="DQ39" s="1342"/>
      <c r="DR39" s="1342"/>
      <c r="DS39" s="1342"/>
      <c r="DT39" s="1342"/>
      <c r="DU39" s="1342"/>
      <c r="DV39" s="1342"/>
      <c r="DW39" s="1342"/>
      <c r="DX39" s="1342"/>
      <c r="DY39" s="1342"/>
      <c r="DZ39" s="1342"/>
      <c r="EA39" s="1342"/>
      <c r="EB39" s="1342"/>
      <c r="EC39" s="1342"/>
      <c r="ED39" s="1342"/>
      <c r="EE39" s="1342"/>
      <c r="EF39" s="1342"/>
      <c r="EG39" s="1342"/>
      <c r="EH39" s="1342"/>
      <c r="EI39" s="1342"/>
      <c r="EJ39" s="1342"/>
      <c r="EK39" s="1342"/>
      <c r="EL39" s="1342"/>
      <c r="EM39" s="1342"/>
      <c r="EN39" s="1342"/>
      <c r="EO39" s="1342"/>
      <c r="EP39" s="1342"/>
      <c r="EQ39" s="1342"/>
      <c r="ER39" s="1342"/>
      <c r="ES39" s="1342"/>
      <c r="ET39" s="1342"/>
      <c r="EU39" s="1342"/>
      <c r="EV39" s="1342"/>
      <c r="EW39" s="1342"/>
      <c r="EX39" s="1342"/>
      <c r="EY39" s="1342"/>
      <c r="EZ39" s="1342"/>
      <c r="FA39" s="1342"/>
      <c r="FB39" s="1342"/>
      <c r="FC39" s="1342"/>
      <c r="FD39" s="1342"/>
      <c r="FE39" s="1342"/>
      <c r="FF39" s="1342"/>
      <c r="FG39" s="1342"/>
      <c r="FH39" s="1342"/>
      <c r="FI39" s="1342"/>
      <c r="FJ39" s="1342"/>
      <c r="FK39" s="1342"/>
      <c r="FL39" s="1342"/>
      <c r="FM39" s="1342"/>
      <c r="FN39" s="1342"/>
    </row>
    <row r="40" spans="1:170" s="1339" customFormat="1" ht="24.75" customHeight="1">
      <c r="A40" s="837" t="s">
        <v>55</v>
      </c>
      <c r="B40" s="837" t="s">
        <v>57</v>
      </c>
      <c r="C40" s="838"/>
      <c r="D40" s="839"/>
      <c r="E40" s="839">
        <v>0</v>
      </c>
      <c r="F40" s="839"/>
      <c r="G40" s="839">
        <v>0</v>
      </c>
      <c r="H40" s="840">
        <f t="shared" si="17"/>
        <v>0</v>
      </c>
      <c r="I40" s="814">
        <v>0</v>
      </c>
      <c r="J40" s="816"/>
      <c r="K40" s="816">
        <v>65047</v>
      </c>
      <c r="L40" s="895">
        <f t="shared" si="18"/>
        <v>65047</v>
      </c>
      <c r="M40" s="814">
        <v>0</v>
      </c>
      <c r="N40" s="816"/>
      <c r="O40" s="816">
        <v>195128</v>
      </c>
      <c r="P40" s="895">
        <f t="shared" si="19"/>
        <v>195128</v>
      </c>
      <c r="Q40" s="814">
        <f t="shared" si="20"/>
        <v>0</v>
      </c>
      <c r="R40" s="816">
        <f t="shared" si="20"/>
        <v>0</v>
      </c>
      <c r="S40" s="816">
        <f t="shared" si="20"/>
        <v>260175</v>
      </c>
      <c r="T40" s="895">
        <f t="shared" si="21"/>
        <v>260175</v>
      </c>
      <c r="U40" s="1342"/>
      <c r="V40" s="1342"/>
      <c r="W40" s="1342"/>
      <c r="X40" s="1342"/>
      <c r="Y40" s="1342"/>
      <c r="Z40" s="1342"/>
      <c r="AA40" s="1342"/>
      <c r="AB40" s="1342"/>
      <c r="AC40" s="1342"/>
      <c r="AD40" s="1342"/>
      <c r="AE40" s="1342"/>
      <c r="AF40" s="1342"/>
      <c r="AG40" s="1342"/>
      <c r="AH40" s="1342"/>
      <c r="AI40" s="1342"/>
      <c r="AJ40" s="1342"/>
      <c r="AK40" s="1342"/>
      <c r="AL40" s="1342"/>
      <c r="AM40" s="1342"/>
      <c r="AN40" s="1342"/>
      <c r="AO40" s="1342"/>
      <c r="AP40" s="1342"/>
      <c r="AQ40" s="1342"/>
      <c r="AR40" s="1342"/>
      <c r="AS40" s="1342"/>
      <c r="AT40" s="1342"/>
      <c r="AU40" s="1342"/>
      <c r="AV40" s="1342"/>
      <c r="AW40" s="1342"/>
      <c r="AX40" s="1342"/>
      <c r="AY40" s="1342"/>
      <c r="AZ40" s="1342"/>
      <c r="BA40" s="1342"/>
      <c r="BB40" s="1342"/>
      <c r="BC40" s="1342"/>
      <c r="BD40" s="1342"/>
      <c r="BE40" s="1342"/>
      <c r="BF40" s="1342"/>
      <c r="BG40" s="1342"/>
      <c r="BH40" s="1342"/>
      <c r="BI40" s="1342"/>
      <c r="BJ40" s="1342"/>
      <c r="BK40" s="1342"/>
      <c r="BL40" s="1342"/>
      <c r="BM40" s="1342"/>
      <c r="BN40" s="1342"/>
      <c r="BO40" s="1342"/>
      <c r="BP40" s="1342"/>
      <c r="BQ40" s="1342"/>
      <c r="BR40" s="1342"/>
      <c r="BS40" s="1342"/>
      <c r="BT40" s="1342"/>
      <c r="BU40" s="1342"/>
      <c r="BV40" s="1342"/>
      <c r="BW40" s="1342"/>
      <c r="BX40" s="1342"/>
      <c r="BY40" s="1342"/>
      <c r="BZ40" s="1342"/>
      <c r="CA40" s="1342"/>
      <c r="CB40" s="1342"/>
      <c r="CC40" s="1342"/>
      <c r="CD40" s="1342"/>
      <c r="CE40" s="1342"/>
      <c r="CF40" s="1342"/>
      <c r="CG40" s="1342"/>
      <c r="CH40" s="1342"/>
      <c r="CI40" s="1342"/>
      <c r="CJ40" s="1342"/>
      <c r="CK40" s="1342"/>
      <c r="CL40" s="1342"/>
      <c r="CM40" s="1342"/>
      <c r="CN40" s="1342"/>
      <c r="CO40" s="1342"/>
      <c r="CP40" s="1342"/>
      <c r="CQ40" s="1342"/>
      <c r="CR40" s="1342"/>
      <c r="CS40" s="1342"/>
      <c r="CT40" s="1342"/>
      <c r="CU40" s="1342"/>
      <c r="CV40" s="1342"/>
      <c r="CW40" s="1342"/>
      <c r="CX40" s="1342"/>
      <c r="CY40" s="1342"/>
      <c r="CZ40" s="1342"/>
      <c r="DA40" s="1342"/>
      <c r="DB40" s="1342"/>
      <c r="DC40" s="1342"/>
      <c r="DD40" s="1342"/>
      <c r="DE40" s="1342"/>
      <c r="DF40" s="1342"/>
      <c r="DG40" s="1342"/>
      <c r="DH40" s="1342"/>
      <c r="DI40" s="1342"/>
      <c r="DJ40" s="1342"/>
      <c r="DK40" s="1342"/>
      <c r="DL40" s="1342"/>
      <c r="DM40" s="1342"/>
      <c r="DN40" s="1342"/>
      <c r="DO40" s="1342"/>
      <c r="DP40" s="1342"/>
      <c r="DQ40" s="1342"/>
      <c r="DR40" s="1342"/>
      <c r="DS40" s="1342"/>
      <c r="DT40" s="1342"/>
      <c r="DU40" s="1342"/>
      <c r="DV40" s="1342"/>
      <c r="DW40" s="1342"/>
      <c r="DX40" s="1342"/>
      <c r="DY40" s="1342"/>
      <c r="DZ40" s="1342"/>
      <c r="EA40" s="1342"/>
      <c r="EB40" s="1342"/>
      <c r="EC40" s="1342"/>
      <c r="ED40" s="1342"/>
      <c r="EE40" s="1342"/>
      <c r="EF40" s="1342"/>
      <c r="EG40" s="1342"/>
      <c r="EH40" s="1342"/>
      <c r="EI40" s="1342"/>
      <c r="EJ40" s="1342"/>
      <c r="EK40" s="1342"/>
      <c r="EL40" s="1342"/>
      <c r="EM40" s="1342"/>
      <c r="EN40" s="1342"/>
      <c r="EO40" s="1342"/>
      <c r="EP40" s="1342"/>
      <c r="EQ40" s="1342"/>
      <c r="ER40" s="1342"/>
      <c r="ES40" s="1342"/>
      <c r="ET40" s="1342"/>
      <c r="EU40" s="1342"/>
      <c r="EV40" s="1342"/>
      <c r="EW40" s="1342"/>
      <c r="EX40" s="1342"/>
      <c r="EY40" s="1342"/>
      <c r="EZ40" s="1342"/>
      <c r="FA40" s="1342"/>
      <c r="FB40" s="1342"/>
      <c r="FC40" s="1342"/>
      <c r="FD40" s="1342"/>
      <c r="FE40" s="1342"/>
      <c r="FF40" s="1342"/>
      <c r="FG40" s="1342"/>
      <c r="FH40" s="1342"/>
      <c r="FI40" s="1342"/>
      <c r="FJ40" s="1342"/>
      <c r="FK40" s="1342"/>
      <c r="FL40" s="1342"/>
      <c r="FM40" s="1342"/>
      <c r="FN40" s="1342"/>
    </row>
    <row r="41" spans="1:170" s="1339" customFormat="1" ht="24.75" customHeight="1">
      <c r="A41" s="837" t="s">
        <v>55</v>
      </c>
      <c r="B41" s="837" t="s">
        <v>56</v>
      </c>
      <c r="C41" s="838"/>
      <c r="D41" s="839"/>
      <c r="E41" s="839">
        <v>0</v>
      </c>
      <c r="F41" s="839"/>
      <c r="G41" s="839">
        <v>0</v>
      </c>
      <c r="H41" s="840">
        <f t="shared" si="17"/>
        <v>0</v>
      </c>
      <c r="I41" s="814">
        <v>0</v>
      </c>
      <c r="J41" s="816"/>
      <c r="K41" s="816">
        <v>0</v>
      </c>
      <c r="L41" s="895">
        <f t="shared" si="18"/>
        <v>0</v>
      </c>
      <c r="M41" s="814">
        <v>0</v>
      </c>
      <c r="N41" s="816"/>
      <c r="O41" s="816">
        <v>170270</v>
      </c>
      <c r="P41" s="895">
        <f t="shared" si="19"/>
        <v>170270</v>
      </c>
      <c r="Q41" s="814">
        <f t="shared" si="20"/>
        <v>0</v>
      </c>
      <c r="R41" s="816">
        <f t="shared" si="20"/>
        <v>0</v>
      </c>
      <c r="S41" s="816">
        <f t="shared" si="20"/>
        <v>170270</v>
      </c>
      <c r="T41" s="895">
        <f t="shared" si="21"/>
        <v>170270</v>
      </c>
      <c r="U41" s="1343"/>
      <c r="V41" s="1342"/>
      <c r="W41" s="1342"/>
      <c r="X41" s="1342"/>
      <c r="Y41" s="1342"/>
      <c r="Z41" s="1342"/>
      <c r="AA41" s="1342"/>
      <c r="AB41" s="1342"/>
      <c r="AC41" s="1342"/>
      <c r="AD41" s="1342"/>
      <c r="AE41" s="1342"/>
      <c r="AF41" s="1342"/>
      <c r="AG41" s="1342"/>
      <c r="AH41" s="1342"/>
      <c r="AI41" s="1342"/>
      <c r="AJ41" s="1342"/>
      <c r="AK41" s="1342"/>
      <c r="AL41" s="1342"/>
      <c r="AM41" s="1342"/>
      <c r="AN41" s="1342"/>
      <c r="AO41" s="1342"/>
      <c r="AP41" s="1342"/>
      <c r="AQ41" s="1342"/>
      <c r="AR41" s="1342"/>
      <c r="AS41" s="1342"/>
      <c r="AT41" s="1342"/>
      <c r="AU41" s="1342"/>
      <c r="AV41" s="1342"/>
      <c r="AW41" s="1342"/>
      <c r="AX41" s="1342"/>
      <c r="AY41" s="1342"/>
      <c r="AZ41" s="1342"/>
      <c r="BA41" s="1342"/>
      <c r="BB41" s="1342"/>
      <c r="BC41" s="1342"/>
      <c r="BD41" s="1342"/>
      <c r="BE41" s="1342"/>
      <c r="BF41" s="1342"/>
      <c r="BG41" s="1342"/>
      <c r="BH41" s="1342"/>
      <c r="BI41" s="1342"/>
      <c r="BJ41" s="1342"/>
      <c r="BK41" s="1342"/>
      <c r="BL41" s="1342"/>
      <c r="BM41" s="1342"/>
      <c r="BN41" s="1342"/>
      <c r="BO41" s="1342"/>
      <c r="BP41" s="1342"/>
      <c r="BQ41" s="1342"/>
      <c r="BR41" s="1342"/>
      <c r="BS41" s="1342"/>
      <c r="BT41" s="1342"/>
      <c r="BU41" s="1342"/>
      <c r="BV41" s="1342"/>
      <c r="BW41" s="1342"/>
      <c r="BX41" s="1342"/>
      <c r="BY41" s="1342"/>
      <c r="BZ41" s="1342"/>
      <c r="CA41" s="1342"/>
      <c r="CB41" s="1342"/>
      <c r="CC41" s="1342"/>
      <c r="CD41" s="1342"/>
      <c r="CE41" s="1342"/>
      <c r="CF41" s="1342"/>
      <c r="CG41" s="1342"/>
      <c r="CH41" s="1342"/>
      <c r="CI41" s="1342"/>
      <c r="CJ41" s="1342"/>
      <c r="CK41" s="1342"/>
      <c r="CL41" s="1342"/>
      <c r="CM41" s="1342"/>
      <c r="CN41" s="1342"/>
      <c r="CO41" s="1342"/>
      <c r="CP41" s="1342"/>
      <c r="CQ41" s="1342"/>
      <c r="CR41" s="1342"/>
      <c r="CS41" s="1342"/>
      <c r="CT41" s="1342"/>
      <c r="CU41" s="1342"/>
      <c r="CV41" s="1342"/>
      <c r="CW41" s="1342"/>
      <c r="CX41" s="1342"/>
      <c r="CY41" s="1342"/>
      <c r="CZ41" s="1342"/>
      <c r="DA41" s="1342"/>
      <c r="DB41" s="1342"/>
      <c r="DC41" s="1342"/>
      <c r="DD41" s="1342"/>
      <c r="DE41" s="1342"/>
      <c r="DF41" s="1342"/>
      <c r="DG41" s="1342"/>
      <c r="DH41" s="1342"/>
      <c r="DI41" s="1342"/>
      <c r="DJ41" s="1342"/>
      <c r="DK41" s="1342"/>
      <c r="DL41" s="1342"/>
      <c r="DM41" s="1342"/>
      <c r="DN41" s="1342"/>
      <c r="DO41" s="1342"/>
      <c r="DP41" s="1342"/>
      <c r="DQ41" s="1342"/>
      <c r="DR41" s="1342"/>
      <c r="DS41" s="1342"/>
      <c r="DT41" s="1342"/>
      <c r="DU41" s="1342"/>
      <c r="DV41" s="1342"/>
      <c r="DW41" s="1342"/>
      <c r="DX41" s="1342"/>
      <c r="DY41" s="1342"/>
      <c r="DZ41" s="1342"/>
      <c r="EA41" s="1342"/>
      <c r="EB41" s="1342"/>
      <c r="EC41" s="1342"/>
      <c r="ED41" s="1342"/>
      <c r="EE41" s="1342"/>
      <c r="EF41" s="1342"/>
      <c r="EG41" s="1342"/>
      <c r="EH41" s="1342"/>
      <c r="EI41" s="1342"/>
      <c r="EJ41" s="1342"/>
      <c r="EK41" s="1342"/>
      <c r="EL41" s="1342"/>
      <c r="EM41" s="1342"/>
      <c r="EN41" s="1342"/>
      <c r="EO41" s="1342"/>
      <c r="EP41" s="1342"/>
      <c r="EQ41" s="1342"/>
      <c r="ER41" s="1342"/>
      <c r="ES41" s="1342"/>
      <c r="ET41" s="1342"/>
      <c r="EU41" s="1342"/>
      <c r="EV41" s="1342"/>
      <c r="EW41" s="1342"/>
      <c r="EX41" s="1342"/>
      <c r="EY41" s="1342"/>
      <c r="EZ41" s="1342"/>
      <c r="FA41" s="1342"/>
      <c r="FB41" s="1342"/>
      <c r="FC41" s="1342"/>
      <c r="FD41" s="1342"/>
      <c r="FE41" s="1342"/>
      <c r="FF41" s="1342"/>
      <c r="FG41" s="1342"/>
      <c r="FH41" s="1342"/>
      <c r="FI41" s="1342"/>
      <c r="FJ41" s="1342"/>
      <c r="FK41" s="1342"/>
      <c r="FL41" s="1342"/>
      <c r="FM41" s="1342"/>
      <c r="FN41" s="1342"/>
    </row>
    <row r="42" spans="1:170" s="1339" customFormat="1" ht="24.75" customHeight="1">
      <c r="A42" s="837" t="s">
        <v>62</v>
      </c>
      <c r="B42" s="837" t="s">
        <v>58</v>
      </c>
      <c r="C42" s="838">
        <f>Q42/H42/12</f>
        <v>8734</v>
      </c>
      <c r="D42" s="1344"/>
      <c r="E42" s="1344">
        <v>1</v>
      </c>
      <c r="F42" s="1344"/>
      <c r="G42" s="1344">
        <v>0</v>
      </c>
      <c r="H42" s="1345">
        <f t="shared" si="17"/>
        <v>1</v>
      </c>
      <c r="I42" s="814">
        <v>15721.65</v>
      </c>
      <c r="J42" s="816"/>
      <c r="K42" s="816">
        <v>18847.5</v>
      </c>
      <c r="L42" s="895">
        <f t="shared" si="18"/>
        <v>34569.15</v>
      </c>
      <c r="M42" s="814">
        <v>89089.35</v>
      </c>
      <c r="N42" s="816"/>
      <c r="O42" s="816">
        <v>106802.5</v>
      </c>
      <c r="P42" s="895">
        <f t="shared" si="19"/>
        <v>195891.85</v>
      </c>
      <c r="Q42" s="814">
        <f t="shared" si="20"/>
        <v>104811</v>
      </c>
      <c r="R42" s="816">
        <f t="shared" si="20"/>
        <v>0</v>
      </c>
      <c r="S42" s="816">
        <f t="shared" si="20"/>
        <v>125650</v>
      </c>
      <c r="T42" s="895">
        <f t="shared" si="21"/>
        <v>230461</v>
      </c>
      <c r="U42" s="1343"/>
      <c r="V42" s="1342"/>
      <c r="W42" s="1342"/>
      <c r="X42" s="1342"/>
      <c r="Y42" s="1342"/>
      <c r="Z42" s="1342"/>
      <c r="AA42" s="1342"/>
      <c r="AB42" s="1342"/>
      <c r="AC42" s="1342"/>
      <c r="AD42" s="1342"/>
      <c r="AE42" s="1342"/>
      <c r="AF42" s="1342"/>
      <c r="AG42" s="1342"/>
      <c r="AH42" s="1342"/>
      <c r="AI42" s="1342"/>
      <c r="AJ42" s="1342"/>
      <c r="AK42" s="1342"/>
      <c r="AL42" s="1342"/>
      <c r="AM42" s="1342"/>
      <c r="AN42" s="1342"/>
      <c r="AO42" s="1342"/>
      <c r="AP42" s="1342"/>
      <c r="AQ42" s="1342"/>
      <c r="AR42" s="1342"/>
      <c r="AS42" s="1342"/>
      <c r="AT42" s="1342"/>
      <c r="AU42" s="1342"/>
      <c r="AV42" s="1342"/>
      <c r="AW42" s="1342"/>
      <c r="AX42" s="1342"/>
      <c r="AY42" s="1342"/>
      <c r="AZ42" s="1342"/>
      <c r="BA42" s="1342"/>
      <c r="BB42" s="1342"/>
      <c r="BC42" s="1342"/>
      <c r="BD42" s="1342"/>
      <c r="BE42" s="1342"/>
      <c r="BF42" s="1342"/>
      <c r="BG42" s="1342"/>
      <c r="BH42" s="1342"/>
      <c r="BI42" s="1342"/>
      <c r="BJ42" s="1342"/>
      <c r="BK42" s="1342"/>
      <c r="BL42" s="1342"/>
      <c r="BM42" s="1342"/>
      <c r="BN42" s="1342"/>
      <c r="BO42" s="1342"/>
      <c r="BP42" s="1342"/>
      <c r="BQ42" s="1342"/>
      <c r="BR42" s="1342"/>
      <c r="BS42" s="1342"/>
      <c r="BT42" s="1342"/>
      <c r="BU42" s="1342"/>
      <c r="BV42" s="1342"/>
      <c r="BW42" s="1342"/>
      <c r="BX42" s="1342"/>
      <c r="BY42" s="1342"/>
      <c r="BZ42" s="1342"/>
      <c r="CA42" s="1342"/>
      <c r="CB42" s="1342"/>
      <c r="CC42" s="1342"/>
      <c r="CD42" s="1342"/>
      <c r="CE42" s="1342"/>
      <c r="CF42" s="1342"/>
      <c r="CG42" s="1342"/>
      <c r="CH42" s="1342"/>
      <c r="CI42" s="1342"/>
      <c r="CJ42" s="1342"/>
      <c r="CK42" s="1342"/>
      <c r="CL42" s="1342"/>
      <c r="CM42" s="1342"/>
      <c r="CN42" s="1342"/>
      <c r="CO42" s="1342"/>
      <c r="CP42" s="1342"/>
      <c r="CQ42" s="1342"/>
      <c r="CR42" s="1342"/>
      <c r="CS42" s="1342"/>
      <c r="CT42" s="1342"/>
      <c r="CU42" s="1342"/>
      <c r="CV42" s="1342"/>
      <c r="CW42" s="1342"/>
      <c r="CX42" s="1342"/>
      <c r="CY42" s="1342"/>
      <c r="CZ42" s="1342"/>
      <c r="DA42" s="1342"/>
      <c r="DB42" s="1342"/>
      <c r="DC42" s="1342"/>
      <c r="DD42" s="1342"/>
      <c r="DE42" s="1342"/>
      <c r="DF42" s="1342"/>
      <c r="DG42" s="1342"/>
      <c r="DH42" s="1342"/>
      <c r="DI42" s="1342"/>
      <c r="DJ42" s="1342"/>
      <c r="DK42" s="1342"/>
      <c r="DL42" s="1342"/>
      <c r="DM42" s="1342"/>
      <c r="DN42" s="1342"/>
      <c r="DO42" s="1342"/>
      <c r="DP42" s="1342"/>
      <c r="DQ42" s="1342"/>
      <c r="DR42" s="1342"/>
      <c r="DS42" s="1342"/>
      <c r="DT42" s="1342"/>
      <c r="DU42" s="1342"/>
      <c r="DV42" s="1342"/>
      <c r="DW42" s="1342"/>
      <c r="DX42" s="1342"/>
      <c r="DY42" s="1342"/>
      <c r="DZ42" s="1342"/>
      <c r="EA42" s="1342"/>
      <c r="EB42" s="1342"/>
      <c r="EC42" s="1342"/>
      <c r="ED42" s="1342"/>
      <c r="EE42" s="1342"/>
      <c r="EF42" s="1342"/>
      <c r="EG42" s="1342"/>
      <c r="EH42" s="1342"/>
      <c r="EI42" s="1342"/>
      <c r="EJ42" s="1342"/>
      <c r="EK42" s="1342"/>
      <c r="EL42" s="1342"/>
      <c r="EM42" s="1342"/>
      <c r="EN42" s="1342"/>
      <c r="EO42" s="1342"/>
      <c r="EP42" s="1342"/>
      <c r="EQ42" s="1342"/>
      <c r="ER42" s="1342"/>
      <c r="ES42" s="1342"/>
      <c r="ET42" s="1342"/>
      <c r="EU42" s="1342"/>
      <c r="EV42" s="1342"/>
      <c r="EW42" s="1342"/>
      <c r="EX42" s="1342"/>
      <c r="EY42" s="1342"/>
      <c r="EZ42" s="1342"/>
      <c r="FA42" s="1342"/>
      <c r="FB42" s="1342"/>
      <c r="FC42" s="1342"/>
      <c r="FD42" s="1342"/>
      <c r="FE42" s="1342"/>
      <c r="FF42" s="1342"/>
      <c r="FG42" s="1342"/>
      <c r="FH42" s="1342"/>
      <c r="FI42" s="1342"/>
      <c r="FJ42" s="1342"/>
      <c r="FK42" s="1342"/>
      <c r="FL42" s="1342"/>
      <c r="FM42" s="1342"/>
      <c r="FN42" s="1342"/>
    </row>
    <row r="43" spans="1:170" s="1339" customFormat="1" ht="33.75" customHeight="1" thickBot="1">
      <c r="A43" s="837" t="s">
        <v>59</v>
      </c>
      <c r="B43" s="842" t="s">
        <v>60</v>
      </c>
      <c r="C43" s="838"/>
      <c r="D43" s="839"/>
      <c r="E43" s="839">
        <v>0</v>
      </c>
      <c r="F43" s="839"/>
      <c r="G43" s="839">
        <v>0</v>
      </c>
      <c r="H43" s="840">
        <f t="shared" si="17"/>
        <v>0</v>
      </c>
      <c r="I43" s="868">
        <v>0</v>
      </c>
      <c r="J43" s="870"/>
      <c r="K43" s="870">
        <v>173616</v>
      </c>
      <c r="L43" s="896">
        <f t="shared" si="18"/>
        <v>173616</v>
      </c>
      <c r="M43" s="868">
        <v>0</v>
      </c>
      <c r="N43" s="870"/>
      <c r="O43" s="870">
        <v>983824</v>
      </c>
      <c r="P43" s="896">
        <f t="shared" si="19"/>
        <v>983824</v>
      </c>
      <c r="Q43" s="868">
        <f t="shared" si="20"/>
        <v>0</v>
      </c>
      <c r="R43" s="870">
        <f t="shared" si="20"/>
        <v>0</v>
      </c>
      <c r="S43" s="870">
        <f t="shared" si="20"/>
        <v>1157440</v>
      </c>
      <c r="T43" s="896">
        <f t="shared" si="21"/>
        <v>1157440</v>
      </c>
      <c r="U43" s="1342"/>
      <c r="V43" s="1342"/>
      <c r="W43" s="1342"/>
      <c r="X43" s="1342"/>
      <c r="Y43" s="1342"/>
      <c r="Z43" s="1342"/>
      <c r="AA43" s="1342"/>
      <c r="AB43" s="1342"/>
      <c r="AC43" s="1342"/>
      <c r="AD43" s="1342"/>
      <c r="AE43" s="1342"/>
      <c r="AF43" s="1342"/>
      <c r="AG43" s="1342"/>
      <c r="AH43" s="1342"/>
      <c r="AI43" s="1342"/>
      <c r="AJ43" s="1342"/>
      <c r="AK43" s="1342"/>
      <c r="AL43" s="1342"/>
      <c r="AM43" s="1342"/>
      <c r="AN43" s="1342"/>
      <c r="AO43" s="1342"/>
      <c r="AP43" s="1342"/>
      <c r="AQ43" s="1342"/>
      <c r="AR43" s="1342"/>
      <c r="AS43" s="1342"/>
      <c r="AT43" s="1342"/>
      <c r="AU43" s="1342"/>
      <c r="AV43" s="1342"/>
      <c r="AW43" s="1342"/>
      <c r="AX43" s="1342"/>
      <c r="AY43" s="1342"/>
      <c r="AZ43" s="1342"/>
      <c r="BA43" s="1342"/>
      <c r="BB43" s="1342"/>
      <c r="BC43" s="1342"/>
      <c r="BD43" s="1342"/>
      <c r="BE43" s="1342"/>
      <c r="BF43" s="1342"/>
      <c r="BG43" s="1342"/>
      <c r="BH43" s="1342"/>
      <c r="BI43" s="1342"/>
      <c r="BJ43" s="1342"/>
      <c r="BK43" s="1342"/>
      <c r="BL43" s="1342"/>
      <c r="BM43" s="1342"/>
      <c r="BN43" s="1342"/>
      <c r="BO43" s="1342"/>
      <c r="BP43" s="1342"/>
      <c r="BQ43" s="1342"/>
      <c r="BR43" s="1342"/>
      <c r="BS43" s="1342"/>
      <c r="BT43" s="1342"/>
      <c r="BU43" s="1342"/>
      <c r="BV43" s="1342"/>
      <c r="BW43" s="1342"/>
      <c r="BX43" s="1342"/>
      <c r="BY43" s="1342"/>
      <c r="BZ43" s="1342"/>
      <c r="CA43" s="1342"/>
      <c r="CB43" s="1342"/>
      <c r="CC43" s="1342"/>
      <c r="CD43" s="1342"/>
      <c r="CE43" s="1342"/>
      <c r="CF43" s="1342"/>
      <c r="CG43" s="1342"/>
      <c r="CH43" s="1342"/>
      <c r="CI43" s="1342"/>
      <c r="CJ43" s="1342"/>
      <c r="CK43" s="1342"/>
      <c r="CL43" s="1342"/>
      <c r="CM43" s="1342"/>
      <c r="CN43" s="1342"/>
      <c r="CO43" s="1342"/>
      <c r="CP43" s="1342"/>
      <c r="CQ43" s="1342"/>
      <c r="CR43" s="1342"/>
      <c r="CS43" s="1342"/>
      <c r="CT43" s="1342"/>
      <c r="CU43" s="1342"/>
      <c r="CV43" s="1342"/>
      <c r="CW43" s="1342"/>
      <c r="CX43" s="1342"/>
      <c r="CY43" s="1342"/>
      <c r="CZ43" s="1342"/>
      <c r="DA43" s="1342"/>
      <c r="DB43" s="1342"/>
      <c r="DC43" s="1342"/>
      <c r="DD43" s="1342"/>
      <c r="DE43" s="1342"/>
      <c r="DF43" s="1342"/>
      <c r="DG43" s="1342"/>
      <c r="DH43" s="1342"/>
      <c r="DI43" s="1342"/>
      <c r="DJ43" s="1342"/>
      <c r="DK43" s="1342"/>
      <c r="DL43" s="1342"/>
      <c r="DM43" s="1342"/>
      <c r="DN43" s="1342"/>
      <c r="DO43" s="1342"/>
      <c r="DP43" s="1342"/>
      <c r="DQ43" s="1342"/>
      <c r="DR43" s="1342"/>
      <c r="DS43" s="1342"/>
      <c r="DT43" s="1342"/>
      <c r="DU43" s="1342"/>
      <c r="DV43" s="1342"/>
      <c r="DW43" s="1342"/>
      <c r="DX43" s="1342"/>
      <c r="DY43" s="1342"/>
      <c r="DZ43" s="1342"/>
      <c r="EA43" s="1342"/>
      <c r="EB43" s="1342"/>
      <c r="EC43" s="1342"/>
      <c r="ED43" s="1342"/>
      <c r="EE43" s="1342"/>
      <c r="EF43" s="1342"/>
      <c r="EG43" s="1342"/>
      <c r="EH43" s="1342"/>
      <c r="EI43" s="1342"/>
      <c r="EJ43" s="1342"/>
      <c r="EK43" s="1342"/>
      <c r="EL43" s="1342"/>
      <c r="EM43" s="1342"/>
      <c r="EN43" s="1342"/>
      <c r="EO43" s="1342"/>
      <c r="EP43" s="1342"/>
      <c r="EQ43" s="1342"/>
      <c r="ER43" s="1342"/>
      <c r="ES43" s="1342"/>
      <c r="ET43" s="1342"/>
      <c r="EU43" s="1342"/>
      <c r="EV43" s="1342"/>
      <c r="EW43" s="1342"/>
      <c r="EX43" s="1342"/>
      <c r="EY43" s="1342"/>
      <c r="EZ43" s="1342"/>
      <c r="FA43" s="1342"/>
      <c r="FB43" s="1342"/>
      <c r="FC43" s="1342"/>
      <c r="FD43" s="1342"/>
      <c r="FE43" s="1342"/>
      <c r="FF43" s="1342"/>
      <c r="FG43" s="1342"/>
      <c r="FH43" s="1342"/>
      <c r="FI43" s="1342"/>
      <c r="FJ43" s="1342"/>
      <c r="FK43" s="1342"/>
      <c r="FL43" s="1342"/>
      <c r="FM43" s="1342"/>
      <c r="FN43" s="1342"/>
    </row>
    <row r="44" spans="1:170" s="1339" customFormat="1" ht="25.5" customHeight="1" thickBot="1">
      <c r="A44" s="897" t="s">
        <v>65</v>
      </c>
      <c r="B44" s="898"/>
      <c r="C44" s="899"/>
      <c r="D44" s="900"/>
      <c r="E44" s="900"/>
      <c r="F44" s="900"/>
      <c r="G44" s="900"/>
      <c r="H44" s="901"/>
      <c r="I44" s="902"/>
      <c r="J44" s="903"/>
      <c r="K44" s="904"/>
      <c r="L44" s="905"/>
      <c r="M44" s="902"/>
      <c r="N44" s="904"/>
      <c r="O44" s="904"/>
      <c r="P44" s="906"/>
      <c r="Q44" s="902"/>
      <c r="R44" s="903"/>
      <c r="S44" s="904"/>
      <c r="T44" s="906"/>
      <c r="U44" s="1342"/>
      <c r="V44" s="1342"/>
      <c r="W44" s="1342"/>
      <c r="X44" s="1342"/>
      <c r="Y44" s="1342"/>
      <c r="Z44" s="1342"/>
      <c r="AA44" s="1342"/>
      <c r="AB44" s="1342"/>
      <c r="AC44" s="1342"/>
      <c r="AD44" s="1342"/>
      <c r="AE44" s="1342"/>
      <c r="AF44" s="1342"/>
      <c r="AG44" s="1342"/>
      <c r="AH44" s="1342"/>
      <c r="AI44" s="1342"/>
      <c r="AJ44" s="1342"/>
      <c r="AK44" s="1342"/>
      <c r="AL44" s="1342"/>
      <c r="AM44" s="1342"/>
      <c r="AN44" s="1342"/>
      <c r="AO44" s="1342"/>
      <c r="AP44" s="1342"/>
      <c r="AQ44" s="1342"/>
      <c r="AR44" s="1342"/>
      <c r="AS44" s="1342"/>
      <c r="AT44" s="1342"/>
      <c r="AU44" s="1342"/>
      <c r="AV44" s="1342"/>
      <c r="AW44" s="1342"/>
      <c r="AX44" s="1342"/>
      <c r="AY44" s="1342"/>
      <c r="AZ44" s="1342"/>
      <c r="BA44" s="1342"/>
      <c r="BB44" s="1342"/>
      <c r="BC44" s="1342"/>
      <c r="BD44" s="1342"/>
      <c r="BE44" s="1342"/>
      <c r="BF44" s="1342"/>
      <c r="BG44" s="1342"/>
      <c r="BH44" s="1342"/>
      <c r="BI44" s="1342"/>
      <c r="BJ44" s="1342"/>
      <c r="BK44" s="1342"/>
      <c r="BL44" s="1342"/>
      <c r="BM44" s="1342"/>
      <c r="BN44" s="1342"/>
      <c r="BO44" s="1342"/>
      <c r="BP44" s="1342"/>
      <c r="BQ44" s="1342"/>
      <c r="BR44" s="1342"/>
      <c r="BS44" s="1342"/>
      <c r="BT44" s="1342"/>
      <c r="BU44" s="1342"/>
      <c r="BV44" s="1342"/>
      <c r="BW44" s="1342"/>
      <c r="BX44" s="1342"/>
      <c r="BY44" s="1342"/>
      <c r="BZ44" s="1342"/>
      <c r="CA44" s="1342"/>
      <c r="CB44" s="1342"/>
      <c r="CC44" s="1342"/>
      <c r="CD44" s="1342"/>
      <c r="CE44" s="1342"/>
      <c r="CF44" s="1342"/>
      <c r="CG44" s="1342"/>
      <c r="CH44" s="1342"/>
      <c r="CI44" s="1342"/>
      <c r="CJ44" s="1342"/>
      <c r="CK44" s="1342"/>
      <c r="CL44" s="1342"/>
      <c r="CM44" s="1342"/>
      <c r="CN44" s="1342"/>
      <c r="CO44" s="1342"/>
      <c r="CP44" s="1342"/>
      <c r="CQ44" s="1342"/>
      <c r="CR44" s="1342"/>
      <c r="CS44" s="1342"/>
      <c r="CT44" s="1342"/>
      <c r="CU44" s="1342"/>
      <c r="CV44" s="1342"/>
      <c r="CW44" s="1342"/>
      <c r="CX44" s="1342"/>
      <c r="CY44" s="1342"/>
      <c r="CZ44" s="1342"/>
      <c r="DA44" s="1342"/>
      <c r="DB44" s="1342"/>
      <c r="DC44" s="1342"/>
      <c r="DD44" s="1342"/>
      <c r="DE44" s="1342"/>
      <c r="DF44" s="1342"/>
      <c r="DG44" s="1342"/>
      <c r="DH44" s="1342"/>
      <c r="DI44" s="1342"/>
      <c r="DJ44" s="1342"/>
      <c r="DK44" s="1342"/>
      <c r="DL44" s="1342"/>
      <c r="DM44" s="1342"/>
      <c r="DN44" s="1342"/>
      <c r="DO44" s="1342"/>
      <c r="DP44" s="1342"/>
      <c r="DQ44" s="1342"/>
      <c r="DR44" s="1342"/>
      <c r="DS44" s="1342"/>
      <c r="DT44" s="1342"/>
      <c r="DU44" s="1342"/>
      <c r="DV44" s="1342"/>
      <c r="DW44" s="1342"/>
      <c r="DX44" s="1342"/>
      <c r="DY44" s="1342"/>
      <c r="DZ44" s="1342"/>
      <c r="EA44" s="1342"/>
      <c r="EB44" s="1342"/>
      <c r="EC44" s="1342"/>
      <c r="ED44" s="1342"/>
      <c r="EE44" s="1342"/>
      <c r="EF44" s="1342"/>
      <c r="EG44" s="1342"/>
      <c r="EH44" s="1342"/>
      <c r="EI44" s="1342"/>
      <c r="EJ44" s="1342"/>
      <c r="EK44" s="1342"/>
      <c r="EL44" s="1342"/>
      <c r="EM44" s="1342"/>
      <c r="EN44" s="1342"/>
      <c r="EO44" s="1342"/>
      <c r="EP44" s="1342"/>
      <c r="EQ44" s="1342"/>
      <c r="ER44" s="1342"/>
      <c r="ES44" s="1342"/>
      <c r="ET44" s="1342"/>
      <c r="EU44" s="1342"/>
      <c r="EV44" s="1342"/>
      <c r="EW44" s="1342"/>
      <c r="EX44" s="1342"/>
      <c r="EY44" s="1342"/>
      <c r="EZ44" s="1342"/>
      <c r="FA44" s="1342"/>
      <c r="FB44" s="1342"/>
      <c r="FC44" s="1342"/>
      <c r="FD44" s="1342"/>
      <c r="FE44" s="1342"/>
      <c r="FF44" s="1342"/>
      <c r="FG44" s="1342"/>
      <c r="FH44" s="1342"/>
      <c r="FI44" s="1342"/>
      <c r="FJ44" s="1342"/>
      <c r="FK44" s="1342"/>
      <c r="FL44" s="1342"/>
      <c r="FM44" s="1342"/>
      <c r="FN44" s="1342"/>
    </row>
    <row r="45" spans="1:170" s="1346" customFormat="1" ht="44.25" customHeight="1" thickBot="1" thickTop="1">
      <c r="A45" s="907" t="s">
        <v>61</v>
      </c>
      <c r="B45" s="908"/>
      <c r="C45" s="909">
        <f>Q45/H45/12</f>
        <v>28395</v>
      </c>
      <c r="D45" s="910"/>
      <c r="E45" s="911">
        <f aca="true" t="shared" si="22" ref="E45:T45">E12+E44</f>
        <v>81</v>
      </c>
      <c r="F45" s="910">
        <f t="shared" si="22"/>
        <v>0</v>
      </c>
      <c r="G45" s="910">
        <f t="shared" si="22"/>
        <v>33</v>
      </c>
      <c r="H45" s="912">
        <f t="shared" si="22"/>
        <v>114</v>
      </c>
      <c r="I45" s="913">
        <f t="shared" si="22"/>
        <v>8923751.13</v>
      </c>
      <c r="J45" s="914">
        <f t="shared" si="22"/>
        <v>0</v>
      </c>
      <c r="K45" s="915">
        <f t="shared" si="22"/>
        <v>1483409.16</v>
      </c>
      <c r="L45" s="916">
        <f t="shared" si="22"/>
        <v>10407160.29</v>
      </c>
      <c r="M45" s="917">
        <f t="shared" si="22"/>
        <v>29920940.06</v>
      </c>
      <c r="N45" s="918">
        <f t="shared" si="22"/>
        <v>0</v>
      </c>
      <c r="O45" s="914">
        <f t="shared" si="22"/>
        <v>8123024.84</v>
      </c>
      <c r="P45" s="919">
        <f t="shared" si="22"/>
        <v>38043964.9</v>
      </c>
      <c r="Q45" s="917">
        <f t="shared" si="22"/>
        <v>38844691.19</v>
      </c>
      <c r="R45" s="918">
        <f t="shared" si="22"/>
        <v>0</v>
      </c>
      <c r="S45" s="914">
        <f t="shared" si="22"/>
        <v>9606434</v>
      </c>
      <c r="T45" s="919">
        <f t="shared" si="22"/>
        <v>48451125.19</v>
      </c>
      <c r="U45" s="1342"/>
      <c r="V45" s="1342"/>
      <c r="W45" s="1342"/>
      <c r="X45" s="1342"/>
      <c r="Y45" s="1342"/>
      <c r="Z45" s="1342"/>
      <c r="AA45" s="1342"/>
      <c r="AB45" s="1342"/>
      <c r="AC45" s="1342"/>
      <c r="AD45" s="1342"/>
      <c r="AE45" s="1342"/>
      <c r="AF45" s="1342"/>
      <c r="AG45" s="1342"/>
      <c r="AH45" s="1342"/>
      <c r="AI45" s="1342"/>
      <c r="AJ45" s="1342"/>
      <c r="AK45" s="1342"/>
      <c r="AL45" s="1342"/>
      <c r="AM45" s="1342"/>
      <c r="AN45" s="1342"/>
      <c r="AO45" s="1342"/>
      <c r="AP45" s="1342"/>
      <c r="AQ45" s="1342"/>
      <c r="AR45" s="1342"/>
      <c r="AS45" s="1342"/>
      <c r="AT45" s="1342"/>
      <c r="AU45" s="1342"/>
      <c r="AV45" s="1342"/>
      <c r="AW45" s="1342"/>
      <c r="AX45" s="1342"/>
      <c r="AY45" s="1342"/>
      <c r="AZ45" s="1342"/>
      <c r="BA45" s="1342"/>
      <c r="BB45" s="1342"/>
      <c r="BC45" s="1342"/>
      <c r="BD45" s="1342"/>
      <c r="BE45" s="1342"/>
      <c r="BF45" s="1342"/>
      <c r="BG45" s="1342"/>
      <c r="BH45" s="1342"/>
      <c r="BI45" s="1342"/>
      <c r="BJ45" s="1342"/>
      <c r="BK45" s="1342"/>
      <c r="BL45" s="1342"/>
      <c r="BM45" s="1342"/>
      <c r="BN45" s="1342"/>
      <c r="BO45" s="1342"/>
      <c r="BP45" s="1342"/>
      <c r="BQ45" s="1342"/>
      <c r="BR45" s="1342"/>
      <c r="BS45" s="1342"/>
      <c r="BT45" s="1342"/>
      <c r="BU45" s="1342"/>
      <c r="BV45" s="1342"/>
      <c r="BW45" s="1342"/>
      <c r="BX45" s="1342"/>
      <c r="BY45" s="1342"/>
      <c r="BZ45" s="1342"/>
      <c r="CA45" s="1342"/>
      <c r="CB45" s="1342"/>
      <c r="CC45" s="1342"/>
      <c r="CD45" s="1342"/>
      <c r="CE45" s="1342"/>
      <c r="CF45" s="1342"/>
      <c r="CG45" s="1342"/>
      <c r="CH45" s="1342"/>
      <c r="CI45" s="1342"/>
      <c r="CJ45" s="1342"/>
      <c r="CK45" s="1342"/>
      <c r="CL45" s="1342"/>
      <c r="CM45" s="1342"/>
      <c r="CN45" s="1342"/>
      <c r="CO45" s="1342"/>
      <c r="CP45" s="1342"/>
      <c r="CQ45" s="1342"/>
      <c r="CR45" s="1342"/>
      <c r="CS45" s="1342"/>
      <c r="CT45" s="1342"/>
      <c r="CU45" s="1342"/>
      <c r="CV45" s="1342"/>
      <c r="CW45" s="1342"/>
      <c r="CX45" s="1342"/>
      <c r="CY45" s="1342"/>
      <c r="CZ45" s="1342"/>
      <c r="DA45" s="1342"/>
      <c r="DB45" s="1342"/>
      <c r="DC45" s="1342"/>
      <c r="DD45" s="1342"/>
      <c r="DE45" s="1342"/>
      <c r="DF45" s="1342"/>
      <c r="DG45" s="1342"/>
      <c r="DH45" s="1342"/>
      <c r="DI45" s="1342"/>
      <c r="DJ45" s="1342"/>
      <c r="DK45" s="1342"/>
      <c r="DL45" s="1342"/>
      <c r="DM45" s="1342"/>
      <c r="DN45" s="1342"/>
      <c r="DO45" s="1342"/>
      <c r="DP45" s="1342"/>
      <c r="DQ45" s="1342"/>
      <c r="DR45" s="1342"/>
      <c r="DS45" s="1342"/>
      <c r="DT45" s="1342"/>
      <c r="DU45" s="1342"/>
      <c r="DV45" s="1342"/>
      <c r="DW45" s="1342"/>
      <c r="DX45" s="1342"/>
      <c r="DY45" s="1342"/>
      <c r="DZ45" s="1342"/>
      <c r="EA45" s="1342"/>
      <c r="EB45" s="1342"/>
      <c r="EC45" s="1342"/>
      <c r="ED45" s="1342"/>
      <c r="EE45" s="1342"/>
      <c r="EF45" s="1342"/>
      <c r="EG45" s="1342"/>
      <c r="EH45" s="1342"/>
      <c r="EI45" s="1342"/>
      <c r="EJ45" s="1342"/>
      <c r="EK45" s="1342"/>
      <c r="EL45" s="1342"/>
      <c r="EM45" s="1342"/>
      <c r="EN45" s="1342"/>
      <c r="EO45" s="1342"/>
      <c r="EP45" s="1342"/>
      <c r="EQ45" s="1342"/>
      <c r="ER45" s="1342"/>
      <c r="ES45" s="1342"/>
      <c r="ET45" s="1342"/>
      <c r="EU45" s="1342"/>
      <c r="EV45" s="1342"/>
      <c r="EW45" s="1342"/>
      <c r="EX45" s="1342"/>
      <c r="EY45" s="1342"/>
      <c r="EZ45" s="1342"/>
      <c r="FA45" s="1342"/>
      <c r="FB45" s="1342"/>
      <c r="FC45" s="1342"/>
      <c r="FD45" s="1342"/>
      <c r="FE45" s="1342"/>
      <c r="FF45" s="1342"/>
      <c r="FG45" s="1342"/>
      <c r="FH45" s="1342"/>
      <c r="FI45" s="1342"/>
      <c r="FJ45" s="1342"/>
      <c r="FK45" s="1342"/>
      <c r="FL45" s="1342"/>
      <c r="FM45" s="1342"/>
      <c r="FN45" s="1342"/>
    </row>
    <row r="46" spans="1:170" s="1347" customFormat="1" ht="35.25" customHeight="1" thickTop="1">
      <c r="A46" s="920" t="s">
        <v>63</v>
      </c>
      <c r="B46" s="920"/>
      <c r="C46" s="921">
        <f>Q46/H46/12</f>
        <v>31610</v>
      </c>
      <c r="D46" s="922"/>
      <c r="E46" s="923">
        <f aca="true" t="shared" si="23" ref="E46:T46">E18+E19</f>
        <v>40</v>
      </c>
      <c r="F46" s="922">
        <f t="shared" si="23"/>
        <v>0</v>
      </c>
      <c r="G46" s="922">
        <f t="shared" si="23"/>
        <v>16</v>
      </c>
      <c r="H46" s="924">
        <f t="shared" si="23"/>
        <v>56</v>
      </c>
      <c r="I46" s="925">
        <f t="shared" si="23"/>
        <v>3186290.92</v>
      </c>
      <c r="J46" s="926">
        <f t="shared" si="23"/>
        <v>0</v>
      </c>
      <c r="K46" s="927">
        <f t="shared" si="23"/>
        <v>226807.51</v>
      </c>
      <c r="L46" s="928">
        <f t="shared" si="23"/>
        <v>3413098.43</v>
      </c>
      <c r="M46" s="925">
        <f t="shared" si="23"/>
        <v>18055645.31</v>
      </c>
      <c r="N46" s="927">
        <f t="shared" si="23"/>
        <v>0</v>
      </c>
      <c r="O46" s="927">
        <f t="shared" si="23"/>
        <v>1285242.49</v>
      </c>
      <c r="P46" s="929">
        <f t="shared" si="23"/>
        <v>19340887.8</v>
      </c>
      <c r="Q46" s="925">
        <f t="shared" si="23"/>
        <v>21241936.23</v>
      </c>
      <c r="R46" s="927">
        <f t="shared" si="23"/>
        <v>0</v>
      </c>
      <c r="S46" s="927">
        <f t="shared" si="23"/>
        <v>1512050</v>
      </c>
      <c r="T46" s="929">
        <f t="shared" si="23"/>
        <v>22753986.23</v>
      </c>
      <c r="U46" s="1342"/>
      <c r="V46" s="1342"/>
      <c r="W46" s="1342"/>
      <c r="X46" s="1342"/>
      <c r="Y46" s="1342"/>
      <c r="Z46" s="1342"/>
      <c r="AA46" s="1342"/>
      <c r="AB46" s="1342"/>
      <c r="AC46" s="1342"/>
      <c r="AD46" s="1342"/>
      <c r="AE46" s="1342"/>
      <c r="AF46" s="1342"/>
      <c r="AG46" s="1342"/>
      <c r="AH46" s="1342"/>
      <c r="AI46" s="1342"/>
      <c r="AJ46" s="1342"/>
      <c r="AK46" s="1342"/>
      <c r="AL46" s="1342"/>
      <c r="AM46" s="1342"/>
      <c r="AN46" s="1342"/>
      <c r="AO46" s="1342"/>
      <c r="AP46" s="1342"/>
      <c r="AQ46" s="1342"/>
      <c r="AR46" s="1342"/>
      <c r="AS46" s="1342"/>
      <c r="AT46" s="1342"/>
      <c r="AU46" s="1342"/>
      <c r="AV46" s="1342"/>
      <c r="AW46" s="1342"/>
      <c r="AX46" s="1342"/>
      <c r="AY46" s="1342"/>
      <c r="AZ46" s="1342"/>
      <c r="BA46" s="1342"/>
      <c r="BB46" s="1342"/>
      <c r="BC46" s="1342"/>
      <c r="BD46" s="1342"/>
      <c r="BE46" s="1342"/>
      <c r="BF46" s="1342"/>
      <c r="BG46" s="1342"/>
      <c r="BH46" s="1342"/>
      <c r="BI46" s="1342"/>
      <c r="BJ46" s="1342"/>
      <c r="BK46" s="1342"/>
      <c r="BL46" s="1342"/>
      <c r="BM46" s="1342"/>
      <c r="BN46" s="1342"/>
      <c r="BO46" s="1342"/>
      <c r="BP46" s="1342"/>
      <c r="BQ46" s="1342"/>
      <c r="BR46" s="1342"/>
      <c r="BS46" s="1342"/>
      <c r="BT46" s="1342"/>
      <c r="BU46" s="1342"/>
      <c r="BV46" s="1342"/>
      <c r="BW46" s="1342"/>
      <c r="BX46" s="1342"/>
      <c r="BY46" s="1342"/>
      <c r="BZ46" s="1342"/>
      <c r="CA46" s="1342"/>
      <c r="CB46" s="1342"/>
      <c r="CC46" s="1342"/>
      <c r="CD46" s="1342"/>
      <c r="CE46" s="1342"/>
      <c r="CF46" s="1342"/>
      <c r="CG46" s="1342"/>
      <c r="CH46" s="1342"/>
      <c r="CI46" s="1342"/>
      <c r="CJ46" s="1342"/>
      <c r="CK46" s="1342"/>
      <c r="CL46" s="1342"/>
      <c r="CM46" s="1342"/>
      <c r="CN46" s="1342"/>
      <c r="CO46" s="1342"/>
      <c r="CP46" s="1342"/>
      <c r="CQ46" s="1342"/>
      <c r="CR46" s="1342"/>
      <c r="CS46" s="1342"/>
      <c r="CT46" s="1342"/>
      <c r="CU46" s="1342"/>
      <c r="CV46" s="1342"/>
      <c r="CW46" s="1342"/>
      <c r="CX46" s="1342"/>
      <c r="CY46" s="1342"/>
      <c r="CZ46" s="1342"/>
      <c r="DA46" s="1342"/>
      <c r="DB46" s="1342"/>
      <c r="DC46" s="1342"/>
      <c r="DD46" s="1342"/>
      <c r="DE46" s="1342"/>
      <c r="DF46" s="1342"/>
      <c r="DG46" s="1342"/>
      <c r="DH46" s="1342"/>
      <c r="DI46" s="1342"/>
      <c r="DJ46" s="1342"/>
      <c r="DK46" s="1342"/>
      <c r="DL46" s="1342"/>
      <c r="DM46" s="1342"/>
      <c r="DN46" s="1342"/>
      <c r="DO46" s="1342"/>
      <c r="DP46" s="1342"/>
      <c r="DQ46" s="1342"/>
      <c r="DR46" s="1342"/>
      <c r="DS46" s="1342"/>
      <c r="DT46" s="1342"/>
      <c r="DU46" s="1342"/>
      <c r="DV46" s="1342"/>
      <c r="DW46" s="1342"/>
      <c r="DX46" s="1342"/>
      <c r="DY46" s="1342"/>
      <c r="DZ46" s="1342"/>
      <c r="EA46" s="1342"/>
      <c r="EB46" s="1342"/>
      <c r="EC46" s="1342"/>
      <c r="ED46" s="1342"/>
      <c r="EE46" s="1342"/>
      <c r="EF46" s="1342"/>
      <c r="EG46" s="1342"/>
      <c r="EH46" s="1342"/>
      <c r="EI46" s="1342"/>
      <c r="EJ46" s="1342"/>
      <c r="EK46" s="1342"/>
      <c r="EL46" s="1342"/>
      <c r="EM46" s="1342"/>
      <c r="EN46" s="1342"/>
      <c r="EO46" s="1342"/>
      <c r="EP46" s="1342"/>
      <c r="EQ46" s="1342"/>
      <c r="ER46" s="1342"/>
      <c r="ES46" s="1342"/>
      <c r="ET46" s="1342"/>
      <c r="EU46" s="1342"/>
      <c r="EV46" s="1342"/>
      <c r="EW46" s="1342"/>
      <c r="EX46" s="1342"/>
      <c r="EY46" s="1342"/>
      <c r="EZ46" s="1342"/>
      <c r="FA46" s="1342"/>
      <c r="FB46" s="1342"/>
      <c r="FC46" s="1342"/>
      <c r="FD46" s="1342"/>
      <c r="FE46" s="1342"/>
      <c r="FF46" s="1342"/>
      <c r="FG46" s="1342"/>
      <c r="FH46" s="1342"/>
      <c r="FI46" s="1342"/>
      <c r="FJ46" s="1342"/>
      <c r="FK46" s="1342"/>
      <c r="FL46" s="1342"/>
      <c r="FM46" s="1342"/>
      <c r="FN46" s="1342"/>
    </row>
    <row r="47" spans="1:170" s="1339" customFormat="1" ht="28.5" customHeight="1" thickBot="1">
      <c r="A47" s="930" t="s">
        <v>64</v>
      </c>
      <c r="B47" s="930"/>
      <c r="C47" s="931">
        <f>Q47/H47/12</f>
        <v>25291</v>
      </c>
      <c r="D47" s="932"/>
      <c r="E47" s="933">
        <f aca="true" t="shared" si="24" ref="E47:T47">E45-E46</f>
        <v>41</v>
      </c>
      <c r="F47" s="932">
        <f t="shared" si="24"/>
        <v>0</v>
      </c>
      <c r="G47" s="932">
        <f t="shared" si="24"/>
        <v>17</v>
      </c>
      <c r="H47" s="934">
        <f t="shared" si="24"/>
        <v>58</v>
      </c>
      <c r="I47" s="868">
        <f t="shared" si="24"/>
        <v>5737460.21</v>
      </c>
      <c r="J47" s="869">
        <f t="shared" si="24"/>
        <v>0</v>
      </c>
      <c r="K47" s="870">
        <f t="shared" si="24"/>
        <v>1256601.65</v>
      </c>
      <c r="L47" s="935">
        <f t="shared" si="24"/>
        <v>6994061.86</v>
      </c>
      <c r="M47" s="868">
        <f t="shared" si="24"/>
        <v>11865294.75</v>
      </c>
      <c r="N47" s="870">
        <f t="shared" si="24"/>
        <v>0</v>
      </c>
      <c r="O47" s="870">
        <f t="shared" si="24"/>
        <v>6837782.35</v>
      </c>
      <c r="P47" s="871">
        <f t="shared" si="24"/>
        <v>18703077.1</v>
      </c>
      <c r="Q47" s="868">
        <f t="shared" si="24"/>
        <v>17602754.96</v>
      </c>
      <c r="R47" s="869">
        <f t="shared" si="24"/>
        <v>0</v>
      </c>
      <c r="S47" s="870">
        <f t="shared" si="24"/>
        <v>8094384</v>
      </c>
      <c r="T47" s="871">
        <f t="shared" si="24"/>
        <v>25697138.96</v>
      </c>
      <c r="U47" s="1342"/>
      <c r="V47" s="1342"/>
      <c r="W47" s="1342"/>
      <c r="X47" s="1342"/>
      <c r="Y47" s="1342"/>
      <c r="Z47" s="1342"/>
      <c r="AA47" s="1342"/>
      <c r="AB47" s="1342"/>
      <c r="AC47" s="1342"/>
      <c r="AD47" s="1342"/>
      <c r="AE47" s="1342"/>
      <c r="AF47" s="1342"/>
      <c r="AG47" s="1342"/>
      <c r="AH47" s="1342"/>
      <c r="AI47" s="1342"/>
      <c r="AJ47" s="1342"/>
      <c r="AK47" s="1342"/>
      <c r="AL47" s="1342"/>
      <c r="AM47" s="1342"/>
      <c r="AN47" s="1342"/>
      <c r="AO47" s="1342"/>
      <c r="AP47" s="1342"/>
      <c r="AQ47" s="1342"/>
      <c r="AR47" s="1342"/>
      <c r="AS47" s="1342"/>
      <c r="AT47" s="1342"/>
      <c r="AU47" s="1342"/>
      <c r="AV47" s="1342"/>
      <c r="AW47" s="1342"/>
      <c r="AX47" s="1342"/>
      <c r="AY47" s="1342"/>
      <c r="AZ47" s="1342"/>
      <c r="BA47" s="1342"/>
      <c r="BB47" s="1342"/>
      <c r="BC47" s="1342"/>
      <c r="BD47" s="1342"/>
      <c r="BE47" s="1342"/>
      <c r="BF47" s="1342"/>
      <c r="BG47" s="1342"/>
      <c r="BH47" s="1342"/>
      <c r="BI47" s="1342"/>
      <c r="BJ47" s="1342"/>
      <c r="BK47" s="1342"/>
      <c r="BL47" s="1342"/>
      <c r="BM47" s="1342"/>
      <c r="BN47" s="1342"/>
      <c r="BO47" s="1342"/>
      <c r="BP47" s="1342"/>
      <c r="BQ47" s="1342"/>
      <c r="BR47" s="1342"/>
      <c r="BS47" s="1342"/>
      <c r="BT47" s="1342"/>
      <c r="BU47" s="1342"/>
      <c r="BV47" s="1342"/>
      <c r="BW47" s="1342"/>
      <c r="BX47" s="1342"/>
      <c r="BY47" s="1342"/>
      <c r="BZ47" s="1342"/>
      <c r="CA47" s="1342"/>
      <c r="CB47" s="1342"/>
      <c r="CC47" s="1342"/>
      <c r="CD47" s="1342"/>
      <c r="CE47" s="1342"/>
      <c r="CF47" s="1342"/>
      <c r="CG47" s="1342"/>
      <c r="CH47" s="1342"/>
      <c r="CI47" s="1342"/>
      <c r="CJ47" s="1342"/>
      <c r="CK47" s="1342"/>
      <c r="CL47" s="1342"/>
      <c r="CM47" s="1342"/>
      <c r="CN47" s="1342"/>
      <c r="CO47" s="1342"/>
      <c r="CP47" s="1342"/>
      <c r="CQ47" s="1342"/>
      <c r="CR47" s="1342"/>
      <c r="CS47" s="1342"/>
      <c r="CT47" s="1342"/>
      <c r="CU47" s="1342"/>
      <c r="CV47" s="1342"/>
      <c r="CW47" s="1342"/>
      <c r="CX47" s="1342"/>
      <c r="CY47" s="1342"/>
      <c r="CZ47" s="1342"/>
      <c r="DA47" s="1342"/>
      <c r="DB47" s="1342"/>
      <c r="DC47" s="1342"/>
      <c r="DD47" s="1342"/>
      <c r="DE47" s="1342"/>
      <c r="DF47" s="1342"/>
      <c r="DG47" s="1342"/>
      <c r="DH47" s="1342"/>
      <c r="DI47" s="1342"/>
      <c r="DJ47" s="1342"/>
      <c r="DK47" s="1342"/>
      <c r="DL47" s="1342"/>
      <c r="DM47" s="1342"/>
      <c r="DN47" s="1342"/>
      <c r="DO47" s="1342"/>
      <c r="DP47" s="1342"/>
      <c r="DQ47" s="1342"/>
      <c r="DR47" s="1342"/>
      <c r="DS47" s="1342"/>
      <c r="DT47" s="1342"/>
      <c r="DU47" s="1342"/>
      <c r="DV47" s="1342"/>
      <c r="DW47" s="1342"/>
      <c r="DX47" s="1342"/>
      <c r="DY47" s="1342"/>
      <c r="DZ47" s="1342"/>
      <c r="EA47" s="1342"/>
      <c r="EB47" s="1342"/>
      <c r="EC47" s="1342"/>
      <c r="ED47" s="1342"/>
      <c r="EE47" s="1342"/>
      <c r="EF47" s="1342"/>
      <c r="EG47" s="1342"/>
      <c r="EH47" s="1342"/>
      <c r="EI47" s="1342"/>
      <c r="EJ47" s="1342"/>
      <c r="EK47" s="1342"/>
      <c r="EL47" s="1342"/>
      <c r="EM47" s="1342"/>
      <c r="EN47" s="1342"/>
      <c r="EO47" s="1342"/>
      <c r="EP47" s="1342"/>
      <c r="EQ47" s="1342"/>
      <c r="ER47" s="1342"/>
      <c r="ES47" s="1342"/>
      <c r="ET47" s="1342"/>
      <c r="EU47" s="1342"/>
      <c r="EV47" s="1342"/>
      <c r="EW47" s="1342"/>
      <c r="EX47" s="1342"/>
      <c r="EY47" s="1342"/>
      <c r="EZ47" s="1342"/>
      <c r="FA47" s="1342"/>
      <c r="FB47" s="1342"/>
      <c r="FC47" s="1342"/>
      <c r="FD47" s="1342"/>
      <c r="FE47" s="1342"/>
      <c r="FF47" s="1342"/>
      <c r="FG47" s="1342"/>
      <c r="FH47" s="1342"/>
      <c r="FI47" s="1342"/>
      <c r="FJ47" s="1342"/>
      <c r="FK47" s="1342"/>
      <c r="FL47" s="1342"/>
      <c r="FM47" s="1342"/>
      <c r="FN47" s="1342"/>
    </row>
    <row r="48" spans="1:20" ht="27.75" customHeight="1" hidden="1">
      <c r="A48" s="1516" t="s">
        <v>8</v>
      </c>
      <c r="B48" s="1516"/>
      <c r="C48" s="1516"/>
      <c r="D48" s="1516"/>
      <c r="E48" s="1516"/>
      <c r="F48" s="1516"/>
      <c r="G48" s="1516"/>
      <c r="H48" s="1516"/>
      <c r="I48" s="1516"/>
      <c r="J48" s="1516"/>
      <c r="K48" s="1516"/>
      <c r="L48" s="1516"/>
      <c r="M48" s="1516"/>
      <c r="N48" s="1516"/>
      <c r="O48" s="1516"/>
      <c r="P48" s="1516"/>
      <c r="Q48" s="1516"/>
      <c r="R48" s="1516"/>
      <c r="S48" s="1516"/>
      <c r="T48" s="1516"/>
    </row>
    <row r="49" spans="1:170" s="1317" customFormat="1" ht="19.5" customHeight="1" hidden="1">
      <c r="A49" s="1515" t="s">
        <v>10</v>
      </c>
      <c r="B49" s="1515"/>
      <c r="C49" s="1515"/>
      <c r="D49" s="1515"/>
      <c r="E49" s="1515"/>
      <c r="F49" s="1515"/>
      <c r="G49" s="1515"/>
      <c r="H49" s="1515"/>
      <c r="I49" s="1516"/>
      <c r="J49" s="1516"/>
      <c r="K49" s="1516"/>
      <c r="L49" s="1516"/>
      <c r="M49" s="1516"/>
      <c r="N49" s="1516"/>
      <c r="O49" s="1516"/>
      <c r="P49" s="1516"/>
      <c r="Q49" s="1516"/>
      <c r="R49" s="1516"/>
      <c r="S49" s="1516"/>
      <c r="T49" s="1516"/>
      <c r="U49" s="1316"/>
      <c r="V49" s="1316"/>
      <c r="W49" s="1316"/>
      <c r="X49" s="1316"/>
      <c r="Y49" s="1316"/>
      <c r="Z49" s="1316"/>
      <c r="AA49" s="1316"/>
      <c r="AB49" s="1316"/>
      <c r="AC49" s="1316"/>
      <c r="AD49" s="1316"/>
      <c r="AE49" s="1316"/>
      <c r="AF49" s="1316"/>
      <c r="AG49" s="1316"/>
      <c r="AH49" s="1316"/>
      <c r="AI49" s="1316"/>
      <c r="AJ49" s="1316"/>
      <c r="AK49" s="1316"/>
      <c r="AL49" s="1316"/>
      <c r="AM49" s="1316"/>
      <c r="AN49" s="1316"/>
      <c r="AO49" s="1316"/>
      <c r="AP49" s="1316"/>
      <c r="AQ49" s="1316"/>
      <c r="AR49" s="1316"/>
      <c r="AS49" s="1316"/>
      <c r="AT49" s="1316"/>
      <c r="AU49" s="1316"/>
      <c r="AV49" s="1316"/>
      <c r="AW49" s="1316"/>
      <c r="AX49" s="1316"/>
      <c r="AY49" s="1316"/>
      <c r="AZ49" s="1316"/>
      <c r="BA49" s="1316"/>
      <c r="BB49" s="1316"/>
      <c r="BC49" s="1316"/>
      <c r="BD49" s="1316"/>
      <c r="BE49" s="1316"/>
      <c r="BF49" s="1316"/>
      <c r="BG49" s="1316"/>
      <c r="BH49" s="1316"/>
      <c r="BI49" s="1316"/>
      <c r="BJ49" s="1316"/>
      <c r="BK49" s="1316"/>
      <c r="BL49" s="1316"/>
      <c r="BM49" s="1316"/>
      <c r="BN49" s="1316"/>
      <c r="BO49" s="1316"/>
      <c r="BP49" s="1316"/>
      <c r="BQ49" s="1316"/>
      <c r="BR49" s="1316"/>
      <c r="BS49" s="1316"/>
      <c r="BT49" s="1316"/>
      <c r="BU49" s="1316"/>
      <c r="BV49" s="1316"/>
      <c r="BW49" s="1316"/>
      <c r="BX49" s="1316"/>
      <c r="BY49" s="1316"/>
      <c r="BZ49" s="1316"/>
      <c r="CA49" s="1316"/>
      <c r="CB49" s="1316"/>
      <c r="CC49" s="1316"/>
      <c r="CD49" s="1316"/>
      <c r="CE49" s="1316"/>
      <c r="CF49" s="1316"/>
      <c r="CG49" s="1316"/>
      <c r="CH49" s="1316"/>
      <c r="CI49" s="1316"/>
      <c r="CJ49" s="1316"/>
      <c r="CK49" s="1316"/>
      <c r="CL49" s="1316"/>
      <c r="CM49" s="1316"/>
      <c r="CN49" s="1316"/>
      <c r="CO49" s="1316"/>
      <c r="CP49" s="1316"/>
      <c r="CQ49" s="1316"/>
      <c r="CR49" s="1316"/>
      <c r="CS49" s="1316"/>
      <c r="CT49" s="1316"/>
      <c r="CU49" s="1316"/>
      <c r="CV49" s="1316"/>
      <c r="CW49" s="1316"/>
      <c r="CX49" s="1316"/>
      <c r="CY49" s="1316"/>
      <c r="CZ49" s="1316"/>
      <c r="DA49" s="1316"/>
      <c r="DB49" s="1316"/>
      <c r="DC49" s="1316"/>
      <c r="DD49" s="1316"/>
      <c r="DE49" s="1316"/>
      <c r="DF49" s="1316"/>
      <c r="DG49" s="1316"/>
      <c r="DH49" s="1316"/>
      <c r="DI49" s="1316"/>
      <c r="DJ49" s="1316"/>
      <c r="DK49" s="1316"/>
      <c r="DL49" s="1316"/>
      <c r="DM49" s="1316"/>
      <c r="DN49" s="1316"/>
      <c r="DO49" s="1316"/>
      <c r="DP49" s="1316"/>
      <c r="DQ49" s="1316"/>
      <c r="DR49" s="1316"/>
      <c r="DS49" s="1316"/>
      <c r="DT49" s="1316"/>
      <c r="DU49" s="1316"/>
      <c r="DV49" s="1316"/>
      <c r="DW49" s="1316"/>
      <c r="DX49" s="1316"/>
      <c r="DY49" s="1316"/>
      <c r="DZ49" s="1316"/>
      <c r="EA49" s="1316"/>
      <c r="EB49" s="1316"/>
      <c r="EC49" s="1316"/>
      <c r="ED49" s="1316"/>
      <c r="EE49" s="1316"/>
      <c r="EF49" s="1316"/>
      <c r="EG49" s="1316"/>
      <c r="EH49" s="1316"/>
      <c r="EI49" s="1316"/>
      <c r="EJ49" s="1316"/>
      <c r="EK49" s="1316"/>
      <c r="EL49" s="1316"/>
      <c r="EM49" s="1316"/>
      <c r="EN49" s="1316"/>
      <c r="EO49" s="1316"/>
      <c r="EP49" s="1316"/>
      <c r="EQ49" s="1316"/>
      <c r="ER49" s="1316"/>
      <c r="ES49" s="1316"/>
      <c r="ET49" s="1316"/>
      <c r="EU49" s="1316"/>
      <c r="EV49" s="1316"/>
      <c r="EW49" s="1316"/>
      <c r="EX49" s="1316"/>
      <c r="EY49" s="1316"/>
      <c r="EZ49" s="1316"/>
      <c r="FA49" s="1316"/>
      <c r="FB49" s="1316"/>
      <c r="FC49" s="1316"/>
      <c r="FD49" s="1316"/>
      <c r="FE49" s="1316"/>
      <c r="FF49" s="1316"/>
      <c r="FG49" s="1316"/>
      <c r="FH49" s="1316"/>
      <c r="FI49" s="1316"/>
      <c r="FJ49" s="1316"/>
      <c r="FK49" s="1316"/>
      <c r="FL49" s="1316"/>
      <c r="FM49" s="1316"/>
      <c r="FN49" s="1316"/>
    </row>
    <row r="50" spans="1:20" ht="19.5" customHeight="1" hidden="1">
      <c r="A50" s="1514" t="s">
        <v>11</v>
      </c>
      <c r="B50" s="1514"/>
      <c r="C50" s="1514"/>
      <c r="D50" s="1514"/>
      <c r="E50" s="1514"/>
      <c r="F50" s="1514"/>
      <c r="G50" s="1514"/>
      <c r="H50" s="1514"/>
      <c r="I50" s="1514"/>
      <c r="J50" s="1514"/>
      <c r="K50" s="1514"/>
      <c r="L50" s="1514"/>
      <c r="M50" s="1514"/>
      <c r="N50" s="1514"/>
      <c r="O50" s="1514"/>
      <c r="P50" s="1514"/>
      <c r="Q50" s="1514"/>
      <c r="R50" s="1514"/>
      <c r="S50" s="1514"/>
      <c r="T50" s="1514"/>
    </row>
    <row r="51" spans="1:20" ht="19.5" customHeight="1" hidden="1">
      <c r="A51" s="1516" t="s">
        <v>769</v>
      </c>
      <c r="B51" s="1516"/>
      <c r="C51" s="1516"/>
      <c r="D51" s="1516"/>
      <c r="E51" s="1516"/>
      <c r="F51" s="1516"/>
      <c r="G51" s="1516"/>
      <c r="H51" s="1516"/>
      <c r="I51" s="1516"/>
      <c r="J51" s="1516"/>
      <c r="K51" s="1516"/>
      <c r="L51" s="1516"/>
      <c r="M51" s="1516"/>
      <c r="N51" s="1516"/>
      <c r="O51" s="1516"/>
      <c r="P51" s="1516"/>
      <c r="Q51" s="1516"/>
      <c r="R51" s="1516"/>
      <c r="S51" s="1516"/>
      <c r="T51" s="1516"/>
    </row>
    <row r="52" spans="1:20" ht="19.5" customHeight="1" hidden="1">
      <c r="A52" s="1543" t="s">
        <v>12</v>
      </c>
      <c r="B52" s="1543"/>
      <c r="C52" s="1543"/>
      <c r="D52" s="1543"/>
      <c r="E52" s="1543"/>
      <c r="F52" s="1543"/>
      <c r="G52" s="1543"/>
      <c r="H52" s="1543"/>
      <c r="I52" s="1542"/>
      <c r="J52" s="1542"/>
      <c r="K52" s="1542"/>
      <c r="L52" s="1542"/>
      <c r="M52" s="1542"/>
      <c r="N52" s="1542"/>
      <c r="O52" s="1542"/>
      <c r="P52" s="1542"/>
      <c r="Q52" s="1542"/>
      <c r="R52" s="1542"/>
      <c r="S52" s="1542"/>
      <c r="T52" s="1542"/>
    </row>
    <row r="53" spans="1:20" ht="18.75" customHeight="1" hidden="1">
      <c r="A53" s="1505" t="s">
        <v>13</v>
      </c>
      <c r="B53" s="1505"/>
      <c r="C53" s="1505"/>
      <c r="D53" s="1505"/>
      <c r="E53" s="1505"/>
      <c r="F53" s="1505"/>
      <c r="G53" s="1505"/>
      <c r="H53" s="1505"/>
      <c r="I53" s="1506"/>
      <c r="J53" s="1506"/>
      <c r="K53" s="1506"/>
      <c r="L53" s="1506"/>
      <c r="M53" s="1506"/>
      <c r="N53" s="1506"/>
      <c r="O53" s="1506"/>
      <c r="P53" s="1506"/>
      <c r="Q53" s="1506"/>
      <c r="R53" s="1506"/>
      <c r="S53" s="1506"/>
      <c r="T53" s="1506"/>
    </row>
    <row r="54" spans="1:20" ht="19.5" customHeight="1" hidden="1">
      <c r="A54" s="1505" t="s">
        <v>14</v>
      </c>
      <c r="B54" s="1505"/>
      <c r="C54" s="1505"/>
      <c r="D54" s="1505"/>
      <c r="E54" s="1505"/>
      <c r="F54" s="1505"/>
      <c r="G54" s="1505"/>
      <c r="H54" s="1505"/>
      <c r="I54" s="1506"/>
      <c r="J54" s="1506"/>
      <c r="K54" s="1506"/>
      <c r="L54" s="1506"/>
      <c r="M54" s="1506"/>
      <c r="N54" s="1506"/>
      <c r="O54" s="1506"/>
      <c r="P54" s="1506"/>
      <c r="Q54" s="1506"/>
      <c r="R54" s="1506"/>
      <c r="S54" s="1506"/>
      <c r="T54" s="1506"/>
    </row>
    <row r="55" spans="1:20" ht="18" customHeight="1" hidden="1">
      <c r="A55" s="1505" t="s">
        <v>15</v>
      </c>
      <c r="B55" s="1505"/>
      <c r="C55" s="1505"/>
      <c r="D55" s="1505"/>
      <c r="E55" s="1505"/>
      <c r="F55" s="1505"/>
      <c r="G55" s="1505"/>
      <c r="H55" s="1505"/>
      <c r="I55" s="1506"/>
      <c r="J55" s="1506"/>
      <c r="K55" s="1506"/>
      <c r="L55" s="1506"/>
      <c r="M55" s="1506"/>
      <c r="N55" s="1506"/>
      <c r="O55" s="1506"/>
      <c r="P55" s="1506"/>
      <c r="Q55" s="1506"/>
      <c r="R55" s="1506"/>
      <c r="S55" s="1506"/>
      <c r="T55" s="1506"/>
    </row>
    <row r="56" spans="1:20" ht="30.75" customHeight="1" hidden="1">
      <c r="A56" s="1545" t="s">
        <v>16</v>
      </c>
      <c r="B56" s="1545"/>
      <c r="C56" s="1545"/>
      <c r="D56" s="1545"/>
      <c r="E56" s="1545"/>
      <c r="F56" s="1545"/>
      <c r="G56" s="1545"/>
      <c r="H56" s="1545"/>
      <c r="I56" s="1546"/>
      <c r="J56" s="1546"/>
      <c r="K56" s="1546"/>
      <c r="L56" s="1546"/>
      <c r="M56" s="1546"/>
      <c r="N56" s="1546"/>
      <c r="O56" s="1546"/>
      <c r="P56" s="1546"/>
      <c r="Q56" s="1546"/>
      <c r="R56" s="1546"/>
      <c r="S56" s="1546"/>
      <c r="T56" s="1546"/>
    </row>
    <row r="57" spans="1:20" ht="28.5" customHeight="1" hidden="1">
      <c r="A57" s="1544" t="s">
        <v>9</v>
      </c>
      <c r="B57" s="1544"/>
      <c r="C57" s="1544"/>
      <c r="D57" s="1544"/>
      <c r="E57" s="1544"/>
      <c r="F57" s="1544"/>
      <c r="G57" s="1544"/>
      <c r="H57" s="1544"/>
      <c r="I57" s="1544"/>
      <c r="J57" s="1544"/>
      <c r="K57" s="1544"/>
      <c r="L57" s="1544"/>
      <c r="M57" s="1544"/>
      <c r="N57" s="1544"/>
      <c r="O57" s="1544"/>
      <c r="P57" s="1544"/>
      <c r="Q57" s="1544"/>
      <c r="R57" s="1544"/>
      <c r="S57" s="1544"/>
      <c r="T57" s="1544"/>
    </row>
    <row r="58" spans="1:20" ht="24" customHeight="1">
      <c r="A58" s="1542"/>
      <c r="B58" s="1542"/>
      <c r="C58" s="1542"/>
      <c r="D58" s="1542"/>
      <c r="E58" s="1542"/>
      <c r="F58" s="1542"/>
      <c r="G58" s="1542"/>
      <c r="H58" s="1542"/>
      <c r="I58" s="1542"/>
      <c r="J58" s="1542"/>
      <c r="K58" s="1542"/>
      <c r="L58" s="1542"/>
      <c r="M58" s="1542"/>
      <c r="N58" s="1542"/>
      <c r="O58" s="1542"/>
      <c r="P58" s="1542"/>
      <c r="Q58" s="1542"/>
      <c r="R58" s="1542"/>
      <c r="S58" s="1542"/>
      <c r="T58" s="1542"/>
    </row>
    <row r="59" spans="1:20" ht="34.5" customHeight="1">
      <c r="A59" s="938" t="s">
        <v>586</v>
      </c>
      <c r="B59" s="430"/>
      <c r="C59" s="430"/>
      <c r="D59" s="430"/>
      <c r="E59" s="430"/>
      <c r="F59" s="430"/>
      <c r="G59" s="1541" t="s">
        <v>587</v>
      </c>
      <c r="H59" s="1541"/>
      <c r="I59" s="1541"/>
      <c r="J59" s="1541"/>
      <c r="K59" s="1541"/>
      <c r="L59" s="1125"/>
      <c r="M59" s="1125"/>
      <c r="N59" s="1125"/>
      <c r="O59" s="430"/>
      <c r="P59" s="1125"/>
      <c r="Q59" s="939"/>
      <c r="R59" s="938" t="s">
        <v>83</v>
      </c>
      <c r="S59" s="1125"/>
      <c r="T59" s="939"/>
    </row>
    <row r="60" spans="1:20" ht="18.75" customHeight="1">
      <c r="A60" s="430"/>
      <c r="B60" s="430"/>
      <c r="C60" s="430"/>
      <c r="D60" s="430"/>
      <c r="E60" s="430"/>
      <c r="F60" s="430"/>
      <c r="G60" s="430"/>
      <c r="H60" s="430"/>
      <c r="I60" s="430"/>
      <c r="J60" s="430"/>
      <c r="K60" s="939"/>
      <c r="L60" s="1125"/>
      <c r="M60" s="1125"/>
      <c r="N60" s="1125"/>
      <c r="O60" s="1125"/>
      <c r="P60" s="1125"/>
      <c r="Q60" s="939"/>
      <c r="R60" s="939"/>
      <c r="S60" s="939"/>
      <c r="T60" s="939"/>
    </row>
    <row r="61" spans="5:20" ht="15">
      <c r="E61" s="1315"/>
      <c r="I61" s="1318"/>
      <c r="J61" s="1318"/>
      <c r="K61" s="1318"/>
      <c r="L61" s="1318"/>
      <c r="M61" s="1318"/>
      <c r="N61" s="1318"/>
      <c r="O61" s="1318"/>
      <c r="P61" s="1318"/>
      <c r="Q61" s="1318"/>
      <c r="R61" s="1318"/>
      <c r="S61" s="1318"/>
      <c r="T61" s="1318"/>
    </row>
    <row r="62" spans="5:20" ht="15">
      <c r="E62" s="1315"/>
      <c r="I62" s="1318"/>
      <c r="J62" s="1318"/>
      <c r="K62" s="1318"/>
      <c r="L62" s="1318"/>
      <c r="M62" s="1318"/>
      <c r="N62" s="1318"/>
      <c r="O62" s="1318"/>
      <c r="P62" s="1318"/>
      <c r="Q62" s="1318"/>
      <c r="R62" s="1318"/>
      <c r="S62" s="1318"/>
      <c r="T62" s="1318"/>
    </row>
    <row r="63" ht="15">
      <c r="T63" s="1318"/>
    </row>
  </sheetData>
  <sheetProtection/>
  <mergeCells count="43">
    <mergeCell ref="A51:T51"/>
    <mergeCell ref="A56:T56"/>
    <mergeCell ref="F8:F10"/>
    <mergeCell ref="D5:D10"/>
    <mergeCell ref="M6:P6"/>
    <mergeCell ref="L8:L10"/>
    <mergeCell ref="G59:K59"/>
    <mergeCell ref="T8:T10"/>
    <mergeCell ref="A58:T58"/>
    <mergeCell ref="A48:T48"/>
    <mergeCell ref="A53:T53"/>
    <mergeCell ref="A52:T52"/>
    <mergeCell ref="A57:T57"/>
    <mergeCell ref="A54:T54"/>
    <mergeCell ref="A49:T49"/>
    <mergeCell ref="Q6:T6"/>
    <mergeCell ref="Q8:Q10"/>
    <mergeCell ref="I8:I10"/>
    <mergeCell ref="A2:T2"/>
    <mergeCell ref="M8:M10"/>
    <mergeCell ref="S8:S10"/>
    <mergeCell ref="A3:T3"/>
    <mergeCell ref="I5:T5"/>
    <mergeCell ref="N8:N10"/>
    <mergeCell ref="I7:L7"/>
    <mergeCell ref="K8:K10"/>
    <mergeCell ref="A55:T55"/>
    <mergeCell ref="B5:B10"/>
    <mergeCell ref="A5:A11"/>
    <mergeCell ref="A50:T50"/>
    <mergeCell ref="P8:P10"/>
    <mergeCell ref="O8:O10"/>
    <mergeCell ref="R8:R10"/>
    <mergeCell ref="I6:L6"/>
    <mergeCell ref="M7:P7"/>
    <mergeCell ref="Q7:T7"/>
    <mergeCell ref="S1:T1"/>
    <mergeCell ref="C5:C10"/>
    <mergeCell ref="E8:E10"/>
    <mergeCell ref="E5:H7"/>
    <mergeCell ref="G8:G10"/>
    <mergeCell ref="H8:H10"/>
    <mergeCell ref="J8:J10"/>
  </mergeCells>
  <printOptions horizontalCentered="1" verticalCentered="1"/>
  <pageMargins left="0.1968503937007874" right="0.1968503937007874" top="0.8267716535433072" bottom="0.6299212598425197" header="0.5905511811023623" footer="0.3937007874015748"/>
  <pageSetup fitToHeight="1" fitToWidth="1" horizontalDpi="600" verticalDpi="600" orientation="landscape" paperSize="9" scale="39" r:id="rId1"/>
  <headerFooter alignWithMargins="0">
    <oddFooter>&amp;C&amp;18&amp;P+53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75"/>
  <sheetViews>
    <sheetView showGridLines="0" tabSelected="1" zoomScale="70" zoomScaleNormal="70" zoomScalePageLayoutView="0" workbookViewId="0" topLeftCell="A16">
      <selection activeCell="F20" sqref="F20"/>
    </sheetView>
  </sheetViews>
  <sheetFormatPr defaultColWidth="9.00390625" defaultRowHeight="12.75"/>
  <cols>
    <col min="1" max="1" width="50.375" style="43" customWidth="1"/>
    <col min="2" max="4" width="20.75390625" style="43" customWidth="1"/>
    <col min="5" max="5" width="21.25390625" style="43" customWidth="1"/>
    <col min="6" max="6" width="29.75390625" style="43" customWidth="1"/>
    <col min="7" max="7" width="15.25390625" style="43" customWidth="1"/>
    <col min="8" max="16384" width="9.125" style="43" customWidth="1"/>
  </cols>
  <sheetData>
    <row r="1" spans="1:4" ht="24" customHeight="1" thickBot="1">
      <c r="A1" s="481" t="s">
        <v>571</v>
      </c>
      <c r="B1" s="334"/>
      <c r="C1" s="334"/>
      <c r="D1" s="334"/>
    </row>
    <row r="2" spans="1:7" ht="29.25" customHeight="1">
      <c r="A2" s="1551" t="s">
        <v>572</v>
      </c>
      <c r="B2" s="1564"/>
      <c r="C2" s="1564"/>
      <c r="D2" s="1564"/>
      <c r="E2" s="1564"/>
      <c r="F2" s="1564"/>
      <c r="G2" s="1565"/>
    </row>
    <row r="3" spans="1:7" ht="28.5" customHeight="1" thickBot="1">
      <c r="A3" s="335"/>
      <c r="B3" s="336"/>
      <c r="C3" s="336"/>
      <c r="D3" s="336"/>
      <c r="E3" s="336"/>
      <c r="F3" s="336"/>
      <c r="G3" s="337" t="s">
        <v>524</v>
      </c>
    </row>
    <row r="4" spans="1:7" ht="18" customHeight="1">
      <c r="A4" s="1566" t="s">
        <v>573</v>
      </c>
      <c r="B4" s="1568" t="s">
        <v>526</v>
      </c>
      <c r="C4" s="1569"/>
      <c r="D4" s="1570" t="s">
        <v>527</v>
      </c>
      <c r="E4" s="1572" t="s">
        <v>574</v>
      </c>
      <c r="F4" s="1573"/>
      <c r="G4" s="1562" t="s">
        <v>528</v>
      </c>
    </row>
    <row r="5" spans="1:7" ht="69.75" customHeight="1" thickBot="1">
      <c r="A5" s="1567"/>
      <c r="B5" s="513" t="s">
        <v>132</v>
      </c>
      <c r="C5" s="514" t="s">
        <v>138</v>
      </c>
      <c r="D5" s="1571"/>
      <c r="E5" s="338" t="s">
        <v>575</v>
      </c>
      <c r="F5" s="339" t="s">
        <v>576</v>
      </c>
      <c r="G5" s="1563"/>
    </row>
    <row r="6" spans="1:7" s="340" customFormat="1" ht="19.5" customHeight="1" thickBot="1">
      <c r="A6" s="1548" t="s">
        <v>536</v>
      </c>
      <c r="B6" s="1580"/>
      <c r="C6" s="1580"/>
      <c r="D6" s="1580"/>
      <c r="E6" s="1580"/>
      <c r="F6" s="1580"/>
      <c r="G6" s="1550"/>
    </row>
    <row r="7" spans="1:7" ht="19.5" customHeight="1">
      <c r="A7" s="341"/>
      <c r="B7" s="342"/>
      <c r="C7" s="343"/>
      <c r="D7" s="344"/>
      <c r="E7" s="345"/>
      <c r="F7" s="346"/>
      <c r="G7" s="347"/>
    </row>
    <row r="8" spans="1:7" ht="19.5" customHeight="1">
      <c r="A8" s="348"/>
      <c r="B8" s="342"/>
      <c r="C8" s="343"/>
      <c r="D8" s="343"/>
      <c r="E8" s="349"/>
      <c r="F8" s="350"/>
      <c r="G8" s="351"/>
    </row>
    <row r="9" spans="1:7" ht="19.5" customHeight="1">
      <c r="A9" s="352"/>
      <c r="B9" s="353"/>
      <c r="C9" s="354"/>
      <c r="D9" s="354"/>
      <c r="E9" s="349"/>
      <c r="F9" s="350"/>
      <c r="G9" s="351"/>
    </row>
    <row r="10" spans="1:7" ht="19.5" customHeight="1" thickBot="1">
      <c r="A10" s="355"/>
      <c r="B10" s="356"/>
      <c r="C10" s="357"/>
      <c r="D10" s="358"/>
      <c r="E10" s="359"/>
      <c r="F10" s="360"/>
      <c r="G10" s="361"/>
    </row>
    <row r="11" spans="1:8" s="161" customFormat="1" ht="15.75" thickBot="1">
      <c r="A11" s="1548" t="s">
        <v>541</v>
      </c>
      <c r="B11" s="1580"/>
      <c r="C11" s="1580"/>
      <c r="D11" s="1580"/>
      <c r="E11" s="1580"/>
      <c r="F11" s="1580"/>
      <c r="G11" s="1581"/>
      <c r="H11" s="340"/>
    </row>
    <row r="12" spans="1:7" ht="19.5" customHeight="1">
      <c r="A12" s="493" t="s">
        <v>542</v>
      </c>
      <c r="B12" s="494">
        <v>11015</v>
      </c>
      <c r="C12" s="495">
        <v>12035.55</v>
      </c>
      <c r="D12" s="495">
        <v>225724.36</v>
      </c>
      <c r="E12" s="496"/>
      <c r="F12" s="497"/>
      <c r="G12" s="498">
        <f aca="true" t="shared" si="0" ref="G12:G20">D12/C12</f>
        <v>18.7548</v>
      </c>
    </row>
    <row r="13" spans="1:7" ht="19.5" customHeight="1">
      <c r="A13" s="499" t="s">
        <v>543</v>
      </c>
      <c r="B13" s="500">
        <v>250181</v>
      </c>
      <c r="C13" s="501">
        <v>990097.15</v>
      </c>
      <c r="D13" s="501">
        <v>163210.68</v>
      </c>
      <c r="E13" s="502"/>
      <c r="F13" s="503"/>
      <c r="G13" s="504">
        <f t="shared" si="0"/>
        <v>0.1648</v>
      </c>
    </row>
    <row r="14" spans="1:7" ht="19.5" customHeight="1">
      <c r="A14" s="505" t="s">
        <v>544</v>
      </c>
      <c r="B14" s="506">
        <v>0</v>
      </c>
      <c r="C14" s="507">
        <v>0</v>
      </c>
      <c r="D14" s="507">
        <v>4586.62</v>
      </c>
      <c r="E14" s="502"/>
      <c r="F14" s="503"/>
      <c r="G14" s="504" t="e">
        <f t="shared" si="0"/>
        <v>#DIV/0!</v>
      </c>
    </row>
    <row r="15" spans="1:7" ht="19.5" customHeight="1">
      <c r="A15" s="505" t="s">
        <v>545</v>
      </c>
      <c r="B15" s="506">
        <v>2537</v>
      </c>
      <c r="C15" s="507">
        <v>2537</v>
      </c>
      <c r="D15" s="507">
        <v>8915.06</v>
      </c>
      <c r="E15" s="502"/>
      <c r="F15" s="503"/>
      <c r="G15" s="504">
        <f t="shared" si="0"/>
        <v>3.514</v>
      </c>
    </row>
    <row r="16" spans="1:7" ht="19.5" customHeight="1">
      <c r="A16" s="505" t="s">
        <v>546</v>
      </c>
      <c r="B16" s="506">
        <v>48377</v>
      </c>
      <c r="C16" s="507">
        <v>61190.25</v>
      </c>
      <c r="D16" s="507">
        <v>31655.14</v>
      </c>
      <c r="E16" s="502"/>
      <c r="F16" s="503"/>
      <c r="G16" s="504">
        <f t="shared" si="0"/>
        <v>0.5173</v>
      </c>
    </row>
    <row r="17" spans="1:7" ht="19.5" customHeight="1">
      <c r="A17" s="505" t="s">
        <v>577</v>
      </c>
      <c r="B17" s="506">
        <v>225246</v>
      </c>
      <c r="C17" s="507">
        <v>225246</v>
      </c>
      <c r="D17" s="507">
        <v>215873.1</v>
      </c>
      <c r="E17" s="502">
        <v>34253.25</v>
      </c>
      <c r="F17" s="503"/>
      <c r="G17" s="504">
        <f t="shared" si="0"/>
        <v>0.9584</v>
      </c>
    </row>
    <row r="18" spans="1:7" ht="19.5" customHeight="1">
      <c r="A18" s="505" t="s">
        <v>548</v>
      </c>
      <c r="B18" s="506">
        <v>1262</v>
      </c>
      <c r="C18" s="507">
        <v>1262</v>
      </c>
      <c r="D18" s="507">
        <v>4425.2</v>
      </c>
      <c r="E18" s="502">
        <v>646.22</v>
      </c>
      <c r="F18" s="503"/>
      <c r="G18" s="504">
        <f t="shared" si="0"/>
        <v>3.5065</v>
      </c>
    </row>
    <row r="19" spans="1:7" ht="19.5" customHeight="1">
      <c r="A19" s="505" t="s">
        <v>578</v>
      </c>
      <c r="B19" s="506">
        <v>2000</v>
      </c>
      <c r="C19" s="507">
        <v>2000</v>
      </c>
      <c r="D19" s="507">
        <v>1542.92</v>
      </c>
      <c r="E19" s="502"/>
      <c r="F19" s="503"/>
      <c r="G19" s="504">
        <f t="shared" si="0"/>
        <v>0.7715</v>
      </c>
    </row>
    <row r="20" spans="1:7" ht="19.5" customHeight="1">
      <c r="A20" s="508" t="s">
        <v>550</v>
      </c>
      <c r="B20" s="509">
        <v>0</v>
      </c>
      <c r="C20" s="510">
        <v>0</v>
      </c>
      <c r="D20" s="510">
        <v>46.25</v>
      </c>
      <c r="E20" s="511">
        <v>46.25</v>
      </c>
      <c r="F20" s="512"/>
      <c r="G20" s="504" t="e">
        <f t="shared" si="0"/>
        <v>#DIV/0!</v>
      </c>
    </row>
    <row r="21" spans="1:7" ht="19.5" customHeight="1" thickBot="1">
      <c r="A21" s="362"/>
      <c r="B21" s="363"/>
      <c r="C21" s="364"/>
      <c r="D21" s="364"/>
      <c r="E21" s="365"/>
      <c r="F21" s="366"/>
      <c r="G21" s="367"/>
    </row>
    <row r="22" spans="1:7" s="161" customFormat="1" ht="19.5" customHeight="1" thickBot="1">
      <c r="A22" s="1582" t="s">
        <v>552</v>
      </c>
      <c r="B22" s="1583"/>
      <c r="C22" s="1583"/>
      <c r="D22" s="1583"/>
      <c r="E22" s="1583"/>
      <c r="F22" s="1583"/>
      <c r="G22" s="1584"/>
    </row>
    <row r="23" spans="1:7" ht="19.5" customHeight="1">
      <c r="A23" s="348"/>
      <c r="B23" s="342"/>
      <c r="C23" s="343"/>
      <c r="D23" s="344"/>
      <c r="E23" s="345"/>
      <c r="F23" s="368"/>
      <c r="G23" s="347"/>
    </row>
    <row r="24" spans="1:7" ht="19.5" customHeight="1" thickBot="1">
      <c r="A24" s="369"/>
      <c r="B24" s="370"/>
      <c r="C24" s="371"/>
      <c r="D24" s="358"/>
      <c r="E24" s="359"/>
      <c r="F24" s="372"/>
      <c r="G24" s="361"/>
    </row>
    <row r="25" spans="1:7" ht="3.75" customHeight="1" thickBot="1">
      <c r="A25" s="373"/>
      <c r="B25" s="374"/>
      <c r="C25" s="374"/>
      <c r="D25" s="374"/>
      <c r="E25" s="374"/>
      <c r="F25" s="374"/>
      <c r="G25" s="375"/>
    </row>
    <row r="26" spans="1:7" s="521" customFormat="1" ht="19.5" customHeight="1">
      <c r="A26" s="523" t="s">
        <v>579</v>
      </c>
      <c r="B26" s="524">
        <f>SUM(B12:B21)</f>
        <v>540618</v>
      </c>
      <c r="C26" s="525">
        <f>SUM(C12:C21)</f>
        <v>1294367.95</v>
      </c>
      <c r="D26" s="525">
        <f>SUM(D12:D21)</f>
        <v>655979.33</v>
      </c>
      <c r="E26" s="525">
        <f>SUM(E12:E21)</f>
        <v>34945.72</v>
      </c>
      <c r="F26" s="525">
        <f>SUM(F12:F21)</f>
        <v>0</v>
      </c>
      <c r="G26" s="526">
        <f>D26/C26</f>
        <v>0.5068</v>
      </c>
    </row>
    <row r="27" spans="1:7" ht="17.25" customHeight="1" hidden="1">
      <c r="A27" s="1585"/>
      <c r="B27" s="1586"/>
      <c r="C27" s="1586"/>
      <c r="D27" s="1587"/>
      <c r="E27" s="377"/>
      <c r="F27" s="376"/>
      <c r="G27" s="378"/>
    </row>
    <row r="28" spans="1:7" ht="19.5" customHeight="1">
      <c r="A28" s="379" t="s">
        <v>580</v>
      </c>
      <c r="B28" s="380"/>
      <c r="C28" s="381"/>
      <c r="D28" s="382"/>
      <c r="E28" s="383"/>
      <c r="F28" s="384"/>
      <c r="G28" s="385"/>
    </row>
    <row r="29" spans="1:7" ht="19.5" customHeight="1">
      <c r="A29" s="352" t="s">
        <v>581</v>
      </c>
      <c r="B29" s="386"/>
      <c r="C29" s="387"/>
      <c r="D29" s="382"/>
      <c r="E29" s="383"/>
      <c r="F29" s="388"/>
      <c r="G29" s="351"/>
    </row>
    <row r="30" spans="1:7" ht="19.5" customHeight="1">
      <c r="A30" s="352" t="s">
        <v>582</v>
      </c>
      <c r="B30" s="389">
        <f>SUM(B12:B16)</f>
        <v>312110</v>
      </c>
      <c r="C30" s="390">
        <f>SUM(C12:C16)</f>
        <v>1065859.95</v>
      </c>
      <c r="D30" s="390">
        <f>SUM(D12:D16)</f>
        <v>434091.86</v>
      </c>
      <c r="E30" s="390">
        <f>SUM(E12:E16)</f>
        <v>0</v>
      </c>
      <c r="F30" s="390">
        <f>SUM(F12:F16)</f>
        <v>0</v>
      </c>
      <c r="G30" s="313">
        <f>D30/C30</f>
        <v>0.4073</v>
      </c>
    </row>
    <row r="31" spans="1:7" ht="19.5" customHeight="1">
      <c r="A31" s="352" t="s">
        <v>583</v>
      </c>
      <c r="B31" s="391"/>
      <c r="C31" s="392"/>
      <c r="D31" s="382"/>
      <c r="E31" s="383"/>
      <c r="F31" s="383"/>
      <c r="G31" s="351"/>
    </row>
    <row r="32" spans="1:7" ht="19.5" customHeight="1">
      <c r="A32" s="352" t="s">
        <v>604</v>
      </c>
      <c r="B32" s="393"/>
      <c r="C32" s="394"/>
      <c r="D32" s="395"/>
      <c r="E32" s="383"/>
      <c r="F32" s="383"/>
      <c r="G32" s="351"/>
    </row>
    <row r="33" spans="1:7" ht="19.5" customHeight="1">
      <c r="A33" s="352" t="s">
        <v>549</v>
      </c>
      <c r="B33" s="396">
        <f>B17+B18</f>
        <v>226508</v>
      </c>
      <c r="C33" s="397">
        <f>C17+C18</f>
        <v>226508</v>
      </c>
      <c r="D33" s="397">
        <f>D17+D18</f>
        <v>220298.3</v>
      </c>
      <c r="E33" s="397">
        <f>E17+E18</f>
        <v>34899.47</v>
      </c>
      <c r="F33" s="397">
        <f>F17+F18</f>
        <v>0</v>
      </c>
      <c r="G33" s="313">
        <f>D33/C33</f>
        <v>0.9726</v>
      </c>
    </row>
    <row r="34" spans="1:7" ht="19.5" customHeight="1">
      <c r="A34" s="352"/>
      <c r="B34" s="393"/>
      <c r="C34" s="394"/>
      <c r="D34" s="395"/>
      <c r="E34" s="383"/>
      <c r="F34" s="383"/>
      <c r="G34" s="351"/>
    </row>
    <row r="35" spans="1:7" ht="19.5" customHeight="1" thickBot="1">
      <c r="A35" s="398" t="s">
        <v>605</v>
      </c>
      <c r="B35" s="399">
        <f>B19+B20</f>
        <v>2000</v>
      </c>
      <c r="C35" s="400">
        <f>C19+C20</f>
        <v>2000</v>
      </c>
      <c r="D35" s="401">
        <f>D19+D20</f>
        <v>1589.17</v>
      </c>
      <c r="E35" s="400">
        <f>E19+E20</f>
        <v>46.25</v>
      </c>
      <c r="F35" s="400">
        <f>F19+F20</f>
        <v>0</v>
      </c>
      <c r="G35" s="367">
        <f>D35/C35</f>
        <v>0.7946</v>
      </c>
    </row>
    <row r="36" spans="1:6" ht="15.75" thickBot="1">
      <c r="A36" s="402"/>
      <c r="B36" s="403"/>
      <c r="C36" s="403"/>
      <c r="D36" s="403"/>
      <c r="E36" s="264"/>
      <c r="F36" s="264"/>
    </row>
    <row r="37" spans="1:7" ht="25.5" customHeight="1">
      <c r="A37" s="1588" t="s">
        <v>606</v>
      </c>
      <c r="B37" s="1589"/>
      <c r="C37" s="1589"/>
      <c r="D37" s="1589"/>
      <c r="E37" s="1589"/>
      <c r="F37" s="1589"/>
      <c r="G37" s="1590"/>
    </row>
    <row r="38" spans="1:7" ht="15.75" thickBot="1">
      <c r="A38" s="404"/>
      <c r="B38" s="405"/>
      <c r="C38" s="405"/>
      <c r="D38" s="405"/>
      <c r="E38" s="405"/>
      <c r="F38" s="405"/>
      <c r="G38" s="406" t="s">
        <v>524</v>
      </c>
    </row>
    <row r="39" spans="1:16" ht="19.5" customHeight="1">
      <c r="A39" s="1575" t="s">
        <v>607</v>
      </c>
      <c r="B39" s="1577" t="s">
        <v>526</v>
      </c>
      <c r="C39" s="1578"/>
      <c r="D39" s="1559" t="s">
        <v>527</v>
      </c>
      <c r="E39" s="1561" t="s">
        <v>574</v>
      </c>
      <c r="F39" s="1558"/>
      <c r="G39" s="1562" t="s">
        <v>528</v>
      </c>
      <c r="H39" s="1574"/>
      <c r="I39" s="1574"/>
      <c r="J39" s="1574"/>
      <c r="K39" s="1574"/>
      <c r="L39" s="1574"/>
      <c r="M39" s="1574"/>
      <c r="N39" s="1574"/>
      <c r="O39" s="1574"/>
      <c r="P39" s="1574"/>
    </row>
    <row r="40" spans="1:16" ht="66.75" customHeight="1">
      <c r="A40" s="1576"/>
      <c r="B40" s="407" t="s">
        <v>132</v>
      </c>
      <c r="C40" s="408" t="s">
        <v>138</v>
      </c>
      <c r="D40" s="1579"/>
      <c r="E40" s="338" t="s">
        <v>575</v>
      </c>
      <c r="F40" s="339" t="s">
        <v>576</v>
      </c>
      <c r="G40" s="1563"/>
      <c r="H40" s="1574"/>
      <c r="I40" s="1574"/>
      <c r="J40" s="1574"/>
      <c r="K40" s="1574"/>
      <c r="L40" s="1574"/>
      <c r="M40" s="1574"/>
      <c r="N40" s="1574"/>
      <c r="O40" s="1574"/>
      <c r="P40" s="1574"/>
    </row>
    <row r="41" spans="1:16" ht="14.25" customHeight="1" thickBot="1">
      <c r="A41" s="1556"/>
      <c r="B41" s="327">
        <v>1</v>
      </c>
      <c r="C41" s="305">
        <v>2</v>
      </c>
      <c r="D41" s="333">
        <v>3</v>
      </c>
      <c r="E41" s="333">
        <v>4</v>
      </c>
      <c r="F41" s="305">
        <v>5</v>
      </c>
      <c r="G41" s="409" t="s">
        <v>608</v>
      </c>
      <c r="H41" s="410"/>
      <c r="I41" s="410"/>
      <c r="J41" s="410"/>
      <c r="K41" s="410"/>
      <c r="L41" s="410"/>
      <c r="M41" s="410"/>
      <c r="N41" s="410"/>
      <c r="O41" s="410"/>
      <c r="P41" s="410"/>
    </row>
    <row r="42" spans="1:16" ht="19.5" customHeight="1" thickBot="1">
      <c r="A42" s="1548" t="s">
        <v>536</v>
      </c>
      <c r="B42" s="1549"/>
      <c r="C42" s="1549"/>
      <c r="D42" s="1549"/>
      <c r="E42" s="1549"/>
      <c r="F42" s="1549"/>
      <c r="G42" s="1550"/>
      <c r="H42" s="411"/>
      <c r="I42" s="411"/>
      <c r="J42" s="411"/>
      <c r="K42" s="411"/>
      <c r="L42" s="411"/>
      <c r="M42" s="411"/>
      <c r="N42" s="411"/>
      <c r="O42" s="411"/>
      <c r="P42" s="411"/>
    </row>
    <row r="43" spans="1:16" ht="19.5" customHeight="1">
      <c r="A43" s="412" t="s">
        <v>568</v>
      </c>
      <c r="B43" s="413"/>
      <c r="C43" s="345"/>
      <c r="D43" s="344"/>
      <c r="E43" s="345"/>
      <c r="F43" s="345"/>
      <c r="G43" s="414"/>
      <c r="H43" s="415"/>
      <c r="I43" s="415"/>
      <c r="J43" s="415"/>
      <c r="K43" s="415"/>
      <c r="L43" s="415"/>
      <c r="M43" s="415"/>
      <c r="N43" s="416"/>
      <c r="O43" s="416"/>
      <c r="P43" s="416"/>
    </row>
    <row r="44" spans="1:16" ht="19.5" customHeight="1">
      <c r="A44" s="417" t="s">
        <v>609</v>
      </c>
      <c r="B44" s="418"/>
      <c r="C44" s="419"/>
      <c r="D44" s="420"/>
      <c r="E44" s="419"/>
      <c r="F44" s="419"/>
      <c r="G44" s="421"/>
      <c r="H44" s="415"/>
      <c r="I44" s="415"/>
      <c r="J44" s="415"/>
      <c r="K44" s="415"/>
      <c r="L44" s="415"/>
      <c r="M44" s="415"/>
      <c r="N44" s="416"/>
      <c r="O44" s="416"/>
      <c r="P44" s="416"/>
    </row>
    <row r="45" spans="1:16" ht="19.5" customHeight="1" thickBot="1">
      <c r="A45" s="422" t="s">
        <v>610</v>
      </c>
      <c r="B45" s="423"/>
      <c r="C45" s="424"/>
      <c r="D45" s="425"/>
      <c r="E45" s="426"/>
      <c r="F45" s="424"/>
      <c r="G45" s="427"/>
      <c r="H45" s="428"/>
      <c r="I45" s="428"/>
      <c r="J45" s="428"/>
      <c r="K45" s="428"/>
      <c r="L45" s="428"/>
      <c r="M45" s="428"/>
      <c r="N45" s="429"/>
      <c r="O45" s="429"/>
      <c r="P45" s="429"/>
    </row>
    <row r="46" spans="1:16" ht="19.5" customHeight="1" thickBot="1">
      <c r="A46" s="1548" t="s">
        <v>541</v>
      </c>
      <c r="B46" s="1549"/>
      <c r="C46" s="1549"/>
      <c r="D46" s="1549"/>
      <c r="E46" s="1549"/>
      <c r="F46" s="1549"/>
      <c r="G46" s="1550"/>
      <c r="H46" s="411"/>
      <c r="I46" s="411"/>
      <c r="J46" s="411"/>
      <c r="K46" s="411"/>
      <c r="L46" s="411"/>
      <c r="M46" s="411"/>
      <c r="N46" s="411"/>
      <c r="O46" s="411"/>
      <c r="P46" s="411"/>
    </row>
    <row r="47" spans="1:16" ht="19.5" customHeight="1">
      <c r="A47" s="431" t="s">
        <v>568</v>
      </c>
      <c r="B47" s="432"/>
      <c r="C47" s="433"/>
      <c r="D47" s="434"/>
      <c r="E47" s="433"/>
      <c r="F47" s="433"/>
      <c r="G47" s="435"/>
      <c r="H47" s="411"/>
      <c r="I47" s="411"/>
      <c r="J47" s="411"/>
      <c r="K47" s="411"/>
      <c r="L47" s="411"/>
      <c r="M47" s="411"/>
      <c r="N47" s="411"/>
      <c r="O47" s="411"/>
      <c r="P47" s="411"/>
    </row>
    <row r="48" spans="1:16" ht="19.5" customHeight="1">
      <c r="A48" s="436" t="s">
        <v>569</v>
      </c>
      <c r="B48" s="437"/>
      <c r="C48" s="438"/>
      <c r="D48" s="439"/>
      <c r="E48" s="438"/>
      <c r="F48" s="438"/>
      <c r="G48" s="440"/>
      <c r="H48" s="411"/>
      <c r="I48" s="411"/>
      <c r="J48" s="411"/>
      <c r="K48" s="411"/>
      <c r="L48" s="411"/>
      <c r="M48" s="411"/>
      <c r="N48" s="411"/>
      <c r="O48" s="411"/>
      <c r="P48" s="411"/>
    </row>
    <row r="49" spans="1:16" ht="19.5" customHeight="1">
      <c r="A49" s="436" t="s">
        <v>570</v>
      </c>
      <c r="B49" s="437"/>
      <c r="C49" s="438"/>
      <c r="D49" s="439"/>
      <c r="E49" s="438"/>
      <c r="F49" s="438"/>
      <c r="G49" s="440"/>
      <c r="H49" s="411"/>
      <c r="I49" s="411"/>
      <c r="J49" s="411"/>
      <c r="K49" s="411"/>
      <c r="L49" s="411"/>
      <c r="M49" s="411"/>
      <c r="N49" s="411"/>
      <c r="O49" s="411"/>
      <c r="P49" s="411"/>
    </row>
    <row r="50" spans="1:16" ht="19.5" customHeight="1" thickBot="1">
      <c r="A50" s="398" t="s">
        <v>610</v>
      </c>
      <c r="B50" s="441"/>
      <c r="C50" s="442"/>
      <c r="D50" s="443"/>
      <c r="E50" s="442"/>
      <c r="F50" s="442"/>
      <c r="G50" s="444"/>
      <c r="H50" s="415"/>
      <c r="I50" s="415"/>
      <c r="J50" s="415"/>
      <c r="K50" s="415"/>
      <c r="L50" s="415"/>
      <c r="M50" s="415"/>
      <c r="N50" s="416"/>
      <c r="O50" s="416"/>
      <c r="P50" s="416"/>
    </row>
    <row r="51" spans="1:16" ht="19.5" customHeight="1" thickBot="1">
      <c r="A51" s="1548" t="s">
        <v>552</v>
      </c>
      <c r="B51" s="1549"/>
      <c r="C51" s="1549"/>
      <c r="D51" s="1549"/>
      <c r="E51" s="1549"/>
      <c r="F51" s="1549"/>
      <c r="G51" s="1550"/>
      <c r="H51" s="411"/>
      <c r="I51" s="411"/>
      <c r="J51" s="411"/>
      <c r="K51" s="411"/>
      <c r="L51" s="411"/>
      <c r="M51" s="411"/>
      <c r="N51" s="411"/>
      <c r="O51" s="411"/>
      <c r="P51" s="411"/>
    </row>
    <row r="52" spans="1:16" ht="19.5" customHeight="1">
      <c r="A52" s="412"/>
      <c r="B52" s="413"/>
      <c r="C52" s="345"/>
      <c r="D52" s="344"/>
      <c r="E52" s="345"/>
      <c r="F52" s="345"/>
      <c r="G52" s="414"/>
      <c r="H52" s="415"/>
      <c r="I52" s="415"/>
      <c r="J52" s="415"/>
      <c r="K52" s="415"/>
      <c r="L52" s="415"/>
      <c r="M52" s="415"/>
      <c r="N52" s="416"/>
      <c r="O52" s="416"/>
      <c r="P52" s="416"/>
    </row>
    <row r="53" spans="1:16" ht="19.5" customHeight="1" thickBot="1">
      <c r="A53" s="398" t="s">
        <v>610</v>
      </c>
      <c r="B53" s="441"/>
      <c r="C53" s="442"/>
      <c r="D53" s="443"/>
      <c r="E53" s="442"/>
      <c r="F53" s="442"/>
      <c r="G53" s="444"/>
      <c r="H53" s="415"/>
      <c r="I53" s="415"/>
      <c r="J53" s="415"/>
      <c r="K53" s="415"/>
      <c r="L53" s="415"/>
      <c r="M53" s="415"/>
      <c r="N53" s="416"/>
      <c r="O53" s="416"/>
      <c r="P53" s="416"/>
    </row>
    <row r="54" spans="1:16" ht="3.75" customHeight="1" thickBot="1">
      <c r="A54" s="446"/>
      <c r="B54" s="447"/>
      <c r="C54" s="447"/>
      <c r="D54" s="447"/>
      <c r="E54" s="447"/>
      <c r="F54" s="447"/>
      <c r="G54" s="448"/>
      <c r="H54" s="449"/>
      <c r="I54" s="449"/>
      <c r="J54" s="449"/>
      <c r="K54" s="449"/>
      <c r="L54" s="449"/>
      <c r="M54" s="449"/>
      <c r="N54" s="449"/>
      <c r="O54" s="449"/>
      <c r="P54" s="449"/>
    </row>
    <row r="55" spans="1:16" ht="19.5" customHeight="1" thickBot="1">
      <c r="A55" s="450" t="s">
        <v>611</v>
      </c>
      <c r="B55" s="451"/>
      <c r="C55" s="442"/>
      <c r="D55" s="443"/>
      <c r="E55" s="452"/>
      <c r="F55" s="442"/>
      <c r="G55" s="444"/>
      <c r="H55" s="415"/>
      <c r="I55" s="415"/>
      <c r="J55" s="415"/>
      <c r="K55" s="415"/>
      <c r="L55" s="415"/>
      <c r="M55" s="415"/>
      <c r="N55" s="416"/>
      <c r="O55" s="416"/>
      <c r="P55" s="416"/>
    </row>
    <row r="56" ht="14.25" customHeight="1" thickBot="1"/>
    <row r="57" spans="1:7" ht="28.5" customHeight="1">
      <c r="A57" s="1551" t="s">
        <v>612</v>
      </c>
      <c r="B57" s="1552"/>
      <c r="C57" s="1552"/>
      <c r="D57" s="1552"/>
      <c r="E57" s="1552"/>
      <c r="F57" s="1552"/>
      <c r="G57" s="1553"/>
    </row>
    <row r="58" spans="1:7" ht="15.75" thickBot="1">
      <c r="A58" s="404"/>
      <c r="B58" s="405"/>
      <c r="C58" s="405"/>
      <c r="D58" s="405"/>
      <c r="E58" s="405"/>
      <c r="F58" s="405"/>
      <c r="G58" s="406" t="s">
        <v>524</v>
      </c>
    </row>
    <row r="59" spans="1:16" ht="19.5" customHeight="1">
      <c r="A59" s="1554" t="s">
        <v>613</v>
      </c>
      <c r="B59" s="1557" t="s">
        <v>526</v>
      </c>
      <c r="C59" s="1558"/>
      <c r="D59" s="1559" t="s">
        <v>527</v>
      </c>
      <c r="E59" s="1561" t="s">
        <v>574</v>
      </c>
      <c r="F59" s="1558"/>
      <c r="G59" s="1562" t="s">
        <v>528</v>
      </c>
      <c r="H59" s="1574"/>
      <c r="I59" s="1574"/>
      <c r="J59" s="1574"/>
      <c r="K59" s="1574"/>
      <c r="L59" s="1574"/>
      <c r="M59" s="1574"/>
      <c r="N59" s="1574"/>
      <c r="O59" s="1574"/>
      <c r="P59" s="1574"/>
    </row>
    <row r="60" spans="1:16" ht="64.5" customHeight="1">
      <c r="A60" s="1555"/>
      <c r="B60" s="453" t="s">
        <v>132</v>
      </c>
      <c r="C60" s="454" t="s">
        <v>138</v>
      </c>
      <c r="D60" s="1560"/>
      <c r="E60" s="338" t="s">
        <v>575</v>
      </c>
      <c r="F60" s="339" t="s">
        <v>576</v>
      </c>
      <c r="G60" s="1563"/>
      <c r="H60" s="1574"/>
      <c r="I60" s="1574"/>
      <c r="J60" s="1574"/>
      <c r="K60" s="1574"/>
      <c r="L60" s="1574"/>
      <c r="M60" s="1574"/>
      <c r="N60" s="1574"/>
      <c r="O60" s="1574"/>
      <c r="P60" s="1574"/>
    </row>
    <row r="61" spans="1:16" ht="14.25" customHeight="1" thickBot="1">
      <c r="A61" s="1556"/>
      <c r="B61" s="455">
        <v>1</v>
      </c>
      <c r="C61" s="456">
        <v>2</v>
      </c>
      <c r="D61" s="333">
        <v>3</v>
      </c>
      <c r="E61" s="333">
        <v>4</v>
      </c>
      <c r="F61" s="305">
        <v>5</v>
      </c>
      <c r="G61" s="409" t="s">
        <v>608</v>
      </c>
      <c r="H61" s="410"/>
      <c r="I61" s="410"/>
      <c r="J61" s="410"/>
      <c r="K61" s="410"/>
      <c r="L61" s="410"/>
      <c r="M61" s="410"/>
      <c r="N61" s="410"/>
      <c r="O61" s="410"/>
      <c r="P61" s="410"/>
    </row>
    <row r="62" spans="1:16" ht="19.5" customHeight="1" thickBot="1">
      <c r="A62" s="1548" t="s">
        <v>536</v>
      </c>
      <c r="B62" s="1549"/>
      <c r="C62" s="1549"/>
      <c r="D62" s="1549"/>
      <c r="E62" s="1549"/>
      <c r="F62" s="1549"/>
      <c r="G62" s="1550"/>
      <c r="H62" s="411"/>
      <c r="I62" s="411"/>
      <c r="J62" s="411"/>
      <c r="K62" s="411"/>
      <c r="L62" s="411"/>
      <c r="M62" s="411"/>
      <c r="N62" s="411"/>
      <c r="O62" s="411"/>
      <c r="P62" s="411"/>
    </row>
    <row r="63" spans="1:16" ht="19.5" customHeight="1">
      <c r="A63" s="457"/>
      <c r="B63" s="458"/>
      <c r="C63" s="459"/>
      <c r="D63" s="459"/>
      <c r="E63" s="460"/>
      <c r="F63" s="459"/>
      <c r="G63" s="461"/>
      <c r="H63" s="411"/>
      <c r="I63" s="411"/>
      <c r="J63" s="411"/>
      <c r="K63" s="411"/>
      <c r="L63" s="411"/>
      <c r="M63" s="411"/>
      <c r="N63" s="411"/>
      <c r="O63" s="411"/>
      <c r="P63" s="411"/>
    </row>
    <row r="64" spans="1:16" ht="25.5" customHeight="1" thickBot="1">
      <c r="A64" s="398" t="s">
        <v>610</v>
      </c>
      <c r="B64" s="441"/>
      <c r="C64" s="442"/>
      <c r="D64" s="443"/>
      <c r="E64" s="442"/>
      <c r="F64" s="442"/>
      <c r="G64" s="444"/>
      <c r="H64" s="415"/>
      <c r="I64" s="415"/>
      <c r="J64" s="415"/>
      <c r="K64" s="415"/>
      <c r="L64" s="415"/>
      <c r="M64" s="415"/>
      <c r="N64" s="416"/>
      <c r="O64" s="416"/>
      <c r="P64" s="416"/>
    </row>
    <row r="65" spans="1:16" ht="19.5" customHeight="1" thickBot="1">
      <c r="A65" s="1548" t="s">
        <v>541</v>
      </c>
      <c r="B65" s="1549"/>
      <c r="C65" s="1549"/>
      <c r="D65" s="1549"/>
      <c r="E65" s="1549"/>
      <c r="F65" s="1549"/>
      <c r="G65" s="1550"/>
      <c r="H65" s="411"/>
      <c r="I65" s="411"/>
      <c r="J65" s="411"/>
      <c r="K65" s="411"/>
      <c r="L65" s="411"/>
      <c r="M65" s="411"/>
      <c r="N65" s="411"/>
      <c r="O65" s="411"/>
      <c r="P65" s="411"/>
    </row>
    <row r="66" spans="1:16" ht="19.5" customHeight="1">
      <c r="A66" s="369" t="s">
        <v>565</v>
      </c>
      <c r="B66" s="370">
        <v>0</v>
      </c>
      <c r="C66" s="462">
        <v>0</v>
      </c>
      <c r="D66" s="463">
        <v>341.43</v>
      </c>
      <c r="E66" s="462"/>
      <c r="F66" s="462"/>
      <c r="G66" s="313" t="e">
        <f>D66/C66</f>
        <v>#DIV/0!</v>
      </c>
      <c r="H66" s="415"/>
      <c r="I66" s="415"/>
      <c r="J66" s="415"/>
      <c r="K66" s="415"/>
      <c r="L66" s="415"/>
      <c r="M66" s="415"/>
      <c r="N66" s="416"/>
      <c r="O66" s="416"/>
      <c r="P66" s="416"/>
    </row>
    <row r="67" spans="1:16" ht="19.5" customHeight="1">
      <c r="A67" s="355" t="s">
        <v>566</v>
      </c>
      <c r="B67" s="356">
        <v>0</v>
      </c>
      <c r="C67" s="445">
        <v>0</v>
      </c>
      <c r="D67" s="464">
        <v>0</v>
      </c>
      <c r="E67" s="445"/>
      <c r="F67" s="445"/>
      <c r="G67" s="465" t="e">
        <f>D67/C67</f>
        <v>#DIV/0!</v>
      </c>
      <c r="H67" s="415"/>
      <c r="I67" s="415"/>
      <c r="J67" s="415"/>
      <c r="K67" s="415"/>
      <c r="L67" s="415"/>
      <c r="M67" s="415"/>
      <c r="N67" s="416"/>
      <c r="O67" s="416"/>
      <c r="P67" s="416"/>
    </row>
    <row r="68" spans="1:16" s="521" customFormat="1" ht="25.5" customHeight="1" thickBot="1">
      <c r="A68" s="516" t="s">
        <v>610</v>
      </c>
      <c r="B68" s="517">
        <f>SUM(B66:B67)</f>
        <v>0</v>
      </c>
      <c r="C68" s="518">
        <f>SUM(C66:C67)</f>
        <v>0</v>
      </c>
      <c r="D68" s="518">
        <f>SUM(D66:D67)</f>
        <v>341.43</v>
      </c>
      <c r="E68" s="518">
        <f>SUM(E66:E67)</f>
        <v>0</v>
      </c>
      <c r="F68" s="518">
        <f>SUM(F66:F67)</f>
        <v>0</v>
      </c>
      <c r="G68" s="522" t="e">
        <f>D68/C68</f>
        <v>#DIV/0!</v>
      </c>
      <c r="H68" s="519"/>
      <c r="I68" s="519"/>
      <c r="J68" s="519"/>
      <c r="K68" s="519"/>
      <c r="L68" s="519"/>
      <c r="M68" s="519"/>
      <c r="N68" s="520"/>
      <c r="O68" s="520"/>
      <c r="P68" s="520"/>
    </row>
    <row r="69" spans="1:16" ht="19.5" customHeight="1" thickBot="1">
      <c r="A69" s="1548" t="s">
        <v>552</v>
      </c>
      <c r="B69" s="1549"/>
      <c r="C69" s="1549"/>
      <c r="D69" s="1549"/>
      <c r="E69" s="1549"/>
      <c r="F69" s="1549"/>
      <c r="G69" s="1550"/>
      <c r="H69" s="411"/>
      <c r="I69" s="411"/>
      <c r="J69" s="411"/>
      <c r="K69" s="411"/>
      <c r="L69" s="411"/>
      <c r="M69" s="411"/>
      <c r="N69" s="411"/>
      <c r="O69" s="411"/>
      <c r="P69" s="411"/>
    </row>
    <row r="70" spans="1:16" ht="19.5" customHeight="1">
      <c r="A70" s="369"/>
      <c r="B70" s="370"/>
      <c r="C70" s="462"/>
      <c r="D70" s="371"/>
      <c r="E70" s="462"/>
      <c r="F70" s="462"/>
      <c r="G70" s="466"/>
      <c r="H70" s="415"/>
      <c r="I70" s="415"/>
      <c r="J70" s="415"/>
      <c r="K70" s="415"/>
      <c r="L70" s="415"/>
      <c r="M70" s="415"/>
      <c r="N70" s="416"/>
      <c r="O70" s="416"/>
      <c r="P70" s="416"/>
    </row>
    <row r="71" spans="1:16" ht="25.5" customHeight="1" thickBot="1">
      <c r="A71" s="398" t="s">
        <v>610</v>
      </c>
      <c r="B71" s="441"/>
      <c r="C71" s="442"/>
      <c r="D71" s="443"/>
      <c r="E71" s="442"/>
      <c r="F71" s="442"/>
      <c r="G71" s="444"/>
      <c r="H71" s="415"/>
      <c r="I71" s="415"/>
      <c r="J71" s="415"/>
      <c r="K71" s="415"/>
      <c r="L71" s="415"/>
      <c r="M71" s="415"/>
      <c r="N71" s="416"/>
      <c r="O71" s="416"/>
      <c r="P71" s="416"/>
    </row>
    <row r="72" spans="1:16" ht="4.5" customHeight="1" thickBot="1">
      <c r="A72" s="398"/>
      <c r="B72" s="441"/>
      <c r="C72" s="442"/>
      <c r="D72" s="443"/>
      <c r="E72" s="442"/>
      <c r="F72" s="442"/>
      <c r="G72" s="444"/>
      <c r="H72" s="415"/>
      <c r="I72" s="415"/>
      <c r="J72" s="415"/>
      <c r="K72" s="415"/>
      <c r="L72" s="415"/>
      <c r="M72" s="415"/>
      <c r="N72" s="416"/>
      <c r="O72" s="416"/>
      <c r="P72" s="416"/>
    </row>
    <row r="73" spans="1:16" ht="25.5" customHeight="1" thickBot="1">
      <c r="A73" s="467" t="s">
        <v>614</v>
      </c>
      <c r="B73" s="441"/>
      <c r="C73" s="442"/>
      <c r="D73" s="443"/>
      <c r="E73" s="442"/>
      <c r="F73" s="442"/>
      <c r="G73" s="444"/>
      <c r="H73" s="415"/>
      <c r="I73" s="415"/>
      <c r="J73" s="415"/>
      <c r="K73" s="415"/>
      <c r="L73" s="415"/>
      <c r="M73" s="415"/>
      <c r="N73" s="416"/>
      <c r="O73" s="416"/>
      <c r="P73" s="416"/>
    </row>
    <row r="74" spans="1:7" s="492" customFormat="1" ht="32.25" customHeight="1">
      <c r="A74" s="492" t="s">
        <v>598</v>
      </c>
      <c r="C74" s="515" t="s">
        <v>599</v>
      </c>
      <c r="F74" s="1547" t="s">
        <v>83</v>
      </c>
      <c r="G74" s="1547"/>
    </row>
    <row r="75" ht="19.5" customHeight="1">
      <c r="E75" s="430"/>
    </row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</sheetData>
  <sheetProtection/>
  <mergeCells count="35">
    <mergeCell ref="H39:J40"/>
    <mergeCell ref="K39:M40"/>
    <mergeCell ref="A6:G6"/>
    <mergeCell ref="A11:G11"/>
    <mergeCell ref="A22:G22"/>
    <mergeCell ref="A27:D27"/>
    <mergeCell ref="A37:G37"/>
    <mergeCell ref="N39:P40"/>
    <mergeCell ref="A42:G42"/>
    <mergeCell ref="H59:J60"/>
    <mergeCell ref="K59:M60"/>
    <mergeCell ref="N59:P60"/>
    <mergeCell ref="G39:G40"/>
    <mergeCell ref="A39:A41"/>
    <mergeCell ref="B39:C39"/>
    <mergeCell ref="D39:D40"/>
    <mergeCell ref="E39:F39"/>
    <mergeCell ref="E59:F59"/>
    <mergeCell ref="G59:G60"/>
    <mergeCell ref="A2:G2"/>
    <mergeCell ref="A4:A5"/>
    <mergeCell ref="B4:C4"/>
    <mergeCell ref="D4:D5"/>
    <mergeCell ref="E4:F4"/>
    <mergeCell ref="G4:G5"/>
    <mergeCell ref="F74:G74"/>
    <mergeCell ref="A65:G65"/>
    <mergeCell ref="A62:G62"/>
    <mergeCell ref="A69:G69"/>
    <mergeCell ref="A46:G46"/>
    <mergeCell ref="A51:G51"/>
    <mergeCell ref="A57:G57"/>
    <mergeCell ref="A59:A61"/>
    <mergeCell ref="B59:C59"/>
    <mergeCell ref="D59:D60"/>
  </mergeCells>
  <printOptions horizontalCentered="1"/>
  <pageMargins left="0.984251968503937" right="0.984251968503937" top="0.984251968503937" bottom="0.984251968503937" header="0.7086614173228347" footer="0.5118110236220472"/>
  <pageSetup horizontalDpi="600" verticalDpi="600" orientation="portrait" paperSize="9" scale="45" r:id="rId1"/>
  <headerFooter alignWithMargins="0">
    <oddHeader>&amp;L&amp;"Arial CE,Tučné"&amp;14          Kapitola: 314 - Ministerstvo vnitra&amp;R&amp;"Arial CE,Tučné"&amp;15Tabulka č. 10</oddHeader>
    <oddFooter>&amp;C&amp;16&amp;P+54
</oddFooter>
  </headerFooter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2"/>
  <sheetViews>
    <sheetView tabSelected="1" zoomScalePageLayoutView="0" workbookViewId="0" topLeftCell="A27">
      <selection activeCell="F20" sqref="F20"/>
    </sheetView>
  </sheetViews>
  <sheetFormatPr defaultColWidth="9.00390625" defaultRowHeight="12.75"/>
  <cols>
    <col min="1" max="1" width="15.625" style="0" customWidth="1"/>
    <col min="2" max="2" width="88.125" style="0" customWidth="1"/>
    <col min="3" max="3" width="11.25390625" style="0" customWidth="1"/>
  </cols>
  <sheetData>
    <row r="1" ht="16.5" customHeight="1">
      <c r="B1" s="9" t="s">
        <v>95</v>
      </c>
    </row>
    <row r="2" ht="16.5" customHeight="1"/>
    <row r="3" ht="16.5" customHeight="1">
      <c r="A3" s="4" t="s">
        <v>110</v>
      </c>
    </row>
    <row r="4" spans="1:3" ht="16.5" customHeight="1" thickBot="1">
      <c r="A4" s="4"/>
      <c r="C4" s="8" t="s">
        <v>96</v>
      </c>
    </row>
    <row r="5" spans="1:3" ht="30" customHeight="1">
      <c r="A5" s="10" t="s">
        <v>111</v>
      </c>
      <c r="B5" s="18" t="s">
        <v>113</v>
      </c>
      <c r="C5" s="11">
        <v>4</v>
      </c>
    </row>
    <row r="6" spans="1:3" ht="30" customHeight="1" thickBot="1">
      <c r="A6" s="45" t="s">
        <v>112</v>
      </c>
      <c r="B6" s="36" t="s">
        <v>126</v>
      </c>
      <c r="C6" s="46">
        <v>6</v>
      </c>
    </row>
    <row r="7" ht="16.5" customHeight="1">
      <c r="C7" s="5"/>
    </row>
    <row r="8" spans="1:3" ht="16.5" customHeight="1">
      <c r="A8" s="4" t="s">
        <v>114</v>
      </c>
      <c r="C8" s="5"/>
    </row>
    <row r="9" spans="1:3" ht="16.5" customHeight="1" thickBot="1">
      <c r="A9" s="4"/>
      <c r="C9" s="5"/>
    </row>
    <row r="10" spans="1:3" ht="20.25" customHeight="1">
      <c r="A10" s="30" t="s">
        <v>97</v>
      </c>
      <c r="B10" s="23" t="s">
        <v>115</v>
      </c>
      <c r="C10" s="11">
        <v>35</v>
      </c>
    </row>
    <row r="11" spans="1:3" ht="20.25" customHeight="1">
      <c r="A11" s="31" t="s">
        <v>98</v>
      </c>
      <c r="B11" s="20" t="s">
        <v>116</v>
      </c>
      <c r="C11" s="15">
        <v>41</v>
      </c>
    </row>
    <row r="12" spans="1:3" ht="20.25" customHeight="1">
      <c r="A12" s="32" t="s">
        <v>99</v>
      </c>
      <c r="B12" s="24" t="s">
        <v>117</v>
      </c>
      <c r="C12" s="16">
        <v>42</v>
      </c>
    </row>
    <row r="13" spans="1:3" ht="20.25" customHeight="1">
      <c r="A13" s="33" t="s">
        <v>100</v>
      </c>
      <c r="B13" s="25" t="s">
        <v>127</v>
      </c>
      <c r="C13" s="26">
        <v>44</v>
      </c>
    </row>
    <row r="14" spans="1:3" ht="45" customHeight="1">
      <c r="A14" s="34" t="s">
        <v>101</v>
      </c>
      <c r="B14" s="19" t="s">
        <v>128</v>
      </c>
      <c r="C14" s="14">
        <v>47</v>
      </c>
    </row>
    <row r="15" spans="1:3" ht="30.75" customHeight="1">
      <c r="A15" s="31" t="s">
        <v>102</v>
      </c>
      <c r="B15" s="27" t="s">
        <v>129</v>
      </c>
      <c r="C15" s="14">
        <v>48</v>
      </c>
    </row>
    <row r="16" spans="1:3" ht="20.25" customHeight="1">
      <c r="A16" s="12" t="s">
        <v>103</v>
      </c>
      <c r="B16" s="28" t="s">
        <v>85</v>
      </c>
      <c r="C16" s="15">
        <v>49</v>
      </c>
    </row>
    <row r="17" spans="1:3" ht="30.75" customHeight="1">
      <c r="A17" s="12" t="s">
        <v>104</v>
      </c>
      <c r="B17" s="28" t="s">
        <v>130</v>
      </c>
      <c r="C17" s="14">
        <v>52</v>
      </c>
    </row>
    <row r="18" spans="1:3" ht="34.5" customHeight="1">
      <c r="A18" s="12" t="s">
        <v>131</v>
      </c>
      <c r="B18" s="28" t="s">
        <v>69</v>
      </c>
      <c r="C18" s="14">
        <v>54</v>
      </c>
    </row>
    <row r="19" spans="1:3" ht="34.5" customHeight="1">
      <c r="A19" s="34" t="s">
        <v>105</v>
      </c>
      <c r="B19" s="19" t="s">
        <v>70</v>
      </c>
      <c r="C19" s="14">
        <v>55</v>
      </c>
    </row>
    <row r="23" ht="12.75">
      <c r="B23" s="35"/>
    </row>
    <row r="26" ht="15.75">
      <c r="A26" s="4" t="s">
        <v>118</v>
      </c>
    </row>
    <row r="27" spans="1:3" ht="16.5" thickBot="1">
      <c r="A27" s="4"/>
      <c r="C27" s="17"/>
    </row>
    <row r="28" spans="1:3" ht="20.25" customHeight="1">
      <c r="A28" s="30" t="s">
        <v>121</v>
      </c>
      <c r="B28" s="23" t="s">
        <v>71</v>
      </c>
      <c r="C28" s="102">
        <v>56</v>
      </c>
    </row>
    <row r="29" spans="1:3" ht="20.25" customHeight="1">
      <c r="A29" s="34" t="s">
        <v>106</v>
      </c>
      <c r="B29" s="19" t="s">
        <v>72</v>
      </c>
      <c r="C29" s="13">
        <v>57</v>
      </c>
    </row>
    <row r="30" spans="1:3" ht="27" customHeight="1">
      <c r="A30" s="32" t="s">
        <v>107</v>
      </c>
      <c r="B30" s="19" t="s">
        <v>501</v>
      </c>
      <c r="C30" s="13">
        <v>58</v>
      </c>
    </row>
    <row r="31" spans="1:3" ht="20.25" customHeight="1">
      <c r="A31" s="34" t="s">
        <v>519</v>
      </c>
      <c r="B31" s="19" t="s">
        <v>73</v>
      </c>
      <c r="C31" s="103">
        <v>63</v>
      </c>
    </row>
    <row r="32" spans="1:3" ht="20.25" customHeight="1">
      <c r="A32" s="34" t="s">
        <v>520</v>
      </c>
      <c r="B32" s="19" t="s">
        <v>125</v>
      </c>
      <c r="C32" s="13">
        <v>138</v>
      </c>
    </row>
    <row r="33" spans="1:3" ht="20.25" customHeight="1">
      <c r="A33" s="34" t="s">
        <v>108</v>
      </c>
      <c r="B33" s="19" t="s">
        <v>74</v>
      </c>
      <c r="C33" s="13">
        <v>142</v>
      </c>
    </row>
    <row r="34" spans="1:3" ht="20.25" customHeight="1">
      <c r="A34" s="34" t="s">
        <v>119</v>
      </c>
      <c r="B34" s="19" t="s">
        <v>75</v>
      </c>
      <c r="C34" s="13">
        <v>143</v>
      </c>
    </row>
    <row r="35" spans="1:3" ht="20.25" customHeight="1">
      <c r="A35" s="34" t="s">
        <v>124</v>
      </c>
      <c r="B35" s="19" t="s">
        <v>76</v>
      </c>
      <c r="C35" s="13">
        <v>144</v>
      </c>
    </row>
    <row r="36" spans="1:3" ht="20.25" customHeight="1">
      <c r="A36" s="34" t="s">
        <v>120</v>
      </c>
      <c r="B36" s="29" t="s">
        <v>77</v>
      </c>
      <c r="C36" s="13">
        <v>145</v>
      </c>
    </row>
    <row r="37" spans="1:3" ht="20.25" customHeight="1">
      <c r="A37" s="34" t="s">
        <v>122</v>
      </c>
      <c r="B37" s="19" t="s">
        <v>78</v>
      </c>
      <c r="C37" s="13">
        <v>146</v>
      </c>
    </row>
    <row r="38" spans="1:3" ht="30.75" customHeight="1">
      <c r="A38" s="34" t="s">
        <v>123</v>
      </c>
      <c r="B38" s="19" t="s">
        <v>79</v>
      </c>
      <c r="C38" s="13">
        <v>147</v>
      </c>
    </row>
    <row r="39" spans="1:3" ht="20.25" customHeight="1" thickBot="1">
      <c r="A39" s="44" t="s">
        <v>109</v>
      </c>
      <c r="B39" s="21" t="s">
        <v>80</v>
      </c>
      <c r="C39" s="22">
        <v>148</v>
      </c>
    </row>
    <row r="40" ht="12.75">
      <c r="A40" s="35"/>
    </row>
    <row r="41" ht="12.75">
      <c r="A41" s="35"/>
    </row>
    <row r="42" ht="12.75">
      <c r="A42" s="35"/>
    </row>
  </sheetData>
  <sheetProtection/>
  <printOptions horizontalCentered="1"/>
  <pageMargins left="1.1811023622047245" right="0.7874015748031497" top="0.984251968503937" bottom="0.984251968503937" header="0.5118110236220472" footer="0.5118110236220472"/>
  <pageSetup fitToHeight="2" fitToWidth="1" horizontalDpi="300" verticalDpi="3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78"/>
  <sheetViews>
    <sheetView showGridLines="0" tabSelected="1" view="pageBreakPreview" zoomScaleSheetLayoutView="100" zoomScalePageLayoutView="0" workbookViewId="0" topLeftCell="A17">
      <selection activeCell="F20" sqref="F20"/>
    </sheetView>
  </sheetViews>
  <sheetFormatPr defaultColWidth="9.00390625" defaultRowHeight="12.75"/>
  <cols>
    <col min="1" max="1" width="41.625" style="1213" customWidth="1"/>
    <col min="2" max="2" width="16.625" style="1213" bestFit="1" customWidth="1"/>
    <col min="3" max="5" width="15.75390625" style="1213" customWidth="1"/>
    <col min="6" max="6" width="10.75390625" style="1213" customWidth="1"/>
    <col min="7" max="7" width="15.375" style="1213" customWidth="1"/>
    <col min="8" max="10" width="15.75390625" style="41" customWidth="1"/>
    <col min="11" max="11" width="10.75390625" style="41" hidden="1" customWidth="1"/>
    <col min="12" max="12" width="12.125" style="41" hidden="1" customWidth="1"/>
    <col min="13" max="13" width="18.625" style="1212" customWidth="1"/>
    <col min="14" max="14" width="16.125" style="1212" customWidth="1"/>
    <col min="15" max="15" width="14.375" style="1212" bestFit="1" customWidth="1"/>
    <col min="16" max="16" width="13.375" style="1212" bestFit="1" customWidth="1"/>
    <col min="17" max="24" width="9.125" style="1212" customWidth="1"/>
    <col min="25" max="16384" width="9.125" style="1213" customWidth="1"/>
  </cols>
  <sheetData>
    <row r="1" spans="1:14" s="1208" customFormat="1" ht="13.5" customHeight="1">
      <c r="A1" s="1207"/>
      <c r="F1" s="1"/>
      <c r="G1" s="1357"/>
      <c r="H1" s="1209"/>
      <c r="I1" s="1209"/>
      <c r="J1" s="1209"/>
      <c r="K1" s="1209"/>
      <c r="L1" s="1209"/>
      <c r="M1" s="1209"/>
      <c r="N1" s="1209"/>
    </row>
    <row r="2" spans="1:24" ht="44.25" customHeight="1">
      <c r="A2" s="1210" t="s">
        <v>505</v>
      </c>
      <c r="B2" s="1211"/>
      <c r="C2" s="1211"/>
      <c r="D2" s="1211"/>
      <c r="E2" s="1211"/>
      <c r="F2" s="1211"/>
      <c r="G2" s="1211"/>
      <c r="H2" s="1212"/>
      <c r="I2" s="1212"/>
      <c r="J2" s="1212"/>
      <c r="K2" s="1212"/>
      <c r="L2" s="1212"/>
      <c r="O2" s="1213"/>
      <c r="P2" s="1213"/>
      <c r="Q2" s="1213"/>
      <c r="R2" s="1213"/>
      <c r="S2" s="1213"/>
      <c r="T2" s="1213"/>
      <c r="U2" s="1213"/>
      <c r="V2" s="1213"/>
      <c r="W2" s="1213"/>
      <c r="X2" s="1213"/>
    </row>
    <row r="3" spans="1:24" ht="12.75" customHeight="1">
      <c r="A3" s="1214" t="str">
        <f>"Období: "&amp;'[5]Druhova'!B1</f>
        <v>Období: 012.2013</v>
      </c>
      <c r="B3" s="1211"/>
      <c r="C3" s="1211"/>
      <c r="D3" s="1211"/>
      <c r="E3" s="1211"/>
      <c r="F3" s="1211"/>
      <c r="G3" s="1211"/>
      <c r="H3" s="1212"/>
      <c r="I3" s="1212"/>
      <c r="J3" s="1212"/>
      <c r="K3" s="1212"/>
      <c r="L3" s="1212"/>
      <c r="O3" s="1213"/>
      <c r="P3" s="1213"/>
      <c r="Q3" s="1213"/>
      <c r="R3" s="1213"/>
      <c r="S3" s="1213"/>
      <c r="T3" s="1213"/>
      <c r="U3" s="1213"/>
      <c r="V3" s="1213"/>
      <c r="W3" s="1213"/>
      <c r="X3" s="1213"/>
    </row>
    <row r="4" spans="1:24" ht="16.5" customHeight="1" thickBot="1">
      <c r="A4" s="1214" t="str">
        <f>CONCATENATE("KAPITOLA:",'[5]Hlavicka'!I3)</f>
        <v>KAPITOLA:314 Ministerstvo vnitra</v>
      </c>
      <c r="B4" s="1215"/>
      <c r="C4" s="1215"/>
      <c r="D4" s="1215"/>
      <c r="E4" s="1215"/>
      <c r="F4" s="1215"/>
      <c r="G4" s="1216" t="str">
        <f>'[5]Druhova'!B2</f>
        <v>v tis.Kč</v>
      </c>
      <c r="H4" s="1212"/>
      <c r="I4" s="1212"/>
      <c r="J4" s="1212"/>
      <c r="K4" s="1212"/>
      <c r="L4" s="1212"/>
      <c r="O4" s="1213"/>
      <c r="P4" s="1213"/>
      <c r="Q4" s="1213"/>
      <c r="R4" s="1213"/>
      <c r="S4" s="1213"/>
      <c r="T4" s="1213"/>
      <c r="U4" s="1213"/>
      <c r="V4" s="1213"/>
      <c r="W4" s="1213"/>
      <c r="X4" s="1213"/>
    </row>
    <row r="5" spans="1:24" ht="15" customHeight="1">
      <c r="A5" s="1217"/>
      <c r="B5" s="1218"/>
      <c r="C5" s="1219" t="str">
        <f>CONCATENATE("R O Z P O Č E T   ",'[5]Druhova'!B1)</f>
        <v>R O Z P O Č E T   012.2013</v>
      </c>
      <c r="D5" s="1220"/>
      <c r="E5" s="1218"/>
      <c r="F5" s="1221" t="s">
        <v>164</v>
      </c>
      <c r="G5" s="1222" t="s">
        <v>165</v>
      </c>
      <c r="H5" s="1212"/>
      <c r="I5" s="1212"/>
      <c r="J5" s="1212"/>
      <c r="K5" s="1212"/>
      <c r="L5" s="1212"/>
      <c r="O5" s="1213"/>
      <c r="P5" s="1213"/>
      <c r="Q5" s="1213"/>
      <c r="R5" s="1213"/>
      <c r="S5" s="1213"/>
      <c r="T5" s="1213"/>
      <c r="U5" s="1213"/>
      <c r="V5" s="1213"/>
      <c r="W5" s="1213"/>
      <c r="X5" s="1213"/>
    </row>
    <row r="6" spans="1:24" ht="12.75">
      <c r="A6" s="1223" t="s">
        <v>166</v>
      </c>
      <c r="B6" s="1224" t="str">
        <f>CONCATENATE("Skutečnost ",'[5]Druhova'!C1)</f>
        <v>Skutečnost 012.2012</v>
      </c>
      <c r="C6" s="1225" t="s">
        <v>167</v>
      </c>
      <c r="D6" s="1226" t="s">
        <v>168</v>
      </c>
      <c r="E6" s="1224" t="str">
        <f>CONCATENATE("Skutečnost ",'[5]Druhova'!B1)</f>
        <v>Skutečnost 012.2013</v>
      </c>
      <c r="F6" s="1227" t="s">
        <v>169</v>
      </c>
      <c r="G6" s="1228" t="str">
        <f>'[5]Druhova'!B3</f>
        <v>Sk012.2013/Sk012.2012</v>
      </c>
      <c r="H6" s="1212"/>
      <c r="I6" s="1212"/>
      <c r="J6" s="1212"/>
      <c r="K6" s="1212"/>
      <c r="L6" s="1212"/>
      <c r="O6" s="1213"/>
      <c r="P6" s="1213"/>
      <c r="Q6" s="1213"/>
      <c r="R6" s="1213"/>
      <c r="S6" s="1213"/>
      <c r="T6" s="1213"/>
      <c r="U6" s="1213"/>
      <c r="V6" s="1213"/>
      <c r="W6" s="1213"/>
      <c r="X6" s="1213"/>
    </row>
    <row r="7" spans="1:24" ht="12.75" customHeight="1">
      <c r="A7" s="1229"/>
      <c r="B7" s="1230"/>
      <c r="C7" s="1231" t="s">
        <v>170</v>
      </c>
      <c r="D7" s="1232" t="s">
        <v>138</v>
      </c>
      <c r="E7" s="1230"/>
      <c r="F7" s="1233" t="s">
        <v>171</v>
      </c>
      <c r="G7" s="1234" t="s">
        <v>172</v>
      </c>
      <c r="H7" s="1212"/>
      <c r="I7" s="1212"/>
      <c r="J7" s="1212"/>
      <c r="K7" s="1212"/>
      <c r="L7" s="1212"/>
      <c r="O7" s="1213"/>
      <c r="P7" s="1213"/>
      <c r="Q7" s="1213"/>
      <c r="R7" s="1213"/>
      <c r="S7" s="1213"/>
      <c r="T7" s="1213"/>
      <c r="U7" s="1213"/>
      <c r="V7" s="1213"/>
      <c r="W7" s="1213"/>
      <c r="X7" s="1213"/>
    </row>
    <row r="8" spans="1:24" ht="12.75" customHeight="1" thickBot="1">
      <c r="A8" s="1235"/>
      <c r="B8" s="1236">
        <v>0</v>
      </c>
      <c r="C8" s="1236">
        <v>1</v>
      </c>
      <c r="D8" s="1237">
        <v>2</v>
      </c>
      <c r="E8" s="1236">
        <v>3</v>
      </c>
      <c r="F8" s="1238">
        <v>4</v>
      </c>
      <c r="G8" s="1239">
        <v>5</v>
      </c>
      <c r="H8" s="1212"/>
      <c r="I8" s="1212"/>
      <c r="J8" s="1212"/>
      <c r="K8" s="1212"/>
      <c r="L8" s="1212"/>
      <c r="O8" s="1213"/>
      <c r="P8" s="1213"/>
      <c r="Q8" s="1213"/>
      <c r="R8" s="1213"/>
      <c r="S8" s="1213"/>
      <c r="T8" s="1213"/>
      <c r="U8" s="1213"/>
      <c r="V8" s="1213"/>
      <c r="W8" s="1213"/>
      <c r="X8" s="1213"/>
    </row>
    <row r="9" spans="1:14" s="1245" customFormat="1" ht="16.5" customHeight="1">
      <c r="A9" s="1240" t="s">
        <v>173</v>
      </c>
      <c r="B9" s="1241"/>
      <c r="C9" s="1242"/>
      <c r="D9" s="1242"/>
      <c r="E9" s="1242"/>
      <c r="F9" s="1241"/>
      <c r="G9" s="1243" t="str">
        <f>IF(B9&gt;0,E9/B9*100," ")</f>
        <v> </v>
      </c>
      <c r="H9" s="1244"/>
      <c r="I9" s="1244"/>
      <c r="J9" s="1244"/>
      <c r="K9" s="1244"/>
      <c r="L9" s="1244"/>
      <c r="M9" s="1244"/>
      <c r="N9" s="1244"/>
    </row>
    <row r="10" spans="1:24" ht="12.75">
      <c r="A10" s="1246" t="s">
        <v>174</v>
      </c>
      <c r="B10" s="1247">
        <f>'[5]Druhova'!G6</f>
        <v>0</v>
      </c>
      <c r="C10" s="1247">
        <f>'[5]Druhova'!B6</f>
        <v>0</v>
      </c>
      <c r="D10" s="1247">
        <f>'[5]Druhova'!C6</f>
        <v>0</v>
      </c>
      <c r="E10" s="1247">
        <f>'[5]Druhova'!D6</f>
        <v>0</v>
      </c>
      <c r="F10" s="1247">
        <f aca="true" t="shared" si="0" ref="F10:F73">IF(D10=0,"",E10/D10*100)</f>
      </c>
      <c r="G10" s="1248">
        <f aca="true" t="shared" si="1" ref="G10:G73">IF(B10=0,"",E10/B10*100)</f>
      </c>
      <c r="H10" s="1212"/>
      <c r="I10" s="1212"/>
      <c r="J10" s="1212"/>
      <c r="K10" s="1212"/>
      <c r="L10" s="1212"/>
      <c r="O10" s="1213"/>
      <c r="P10" s="1213"/>
      <c r="Q10" s="1213"/>
      <c r="R10" s="1213"/>
      <c r="S10" s="1213"/>
      <c r="T10" s="1213"/>
      <c r="U10" s="1213"/>
      <c r="V10" s="1213"/>
      <c r="W10" s="1213"/>
      <c r="X10" s="1213"/>
    </row>
    <row r="11" spans="1:24" ht="22.5" customHeight="1">
      <c r="A11" s="1246" t="s">
        <v>175</v>
      </c>
      <c r="B11" s="1247">
        <f>'[5]Druhova'!G7</f>
        <v>0</v>
      </c>
      <c r="C11" s="1247">
        <f>'[5]Druhova'!B7</f>
        <v>0</v>
      </c>
      <c r="D11" s="1247">
        <f>'[5]Druhova'!C7</f>
        <v>0</v>
      </c>
      <c r="E11" s="1247">
        <f>'[5]Druhova'!D7</f>
        <v>0</v>
      </c>
      <c r="F11" s="1247">
        <f t="shared" si="0"/>
      </c>
      <c r="G11" s="1248">
        <f t="shared" si="1"/>
      </c>
      <c r="H11" s="1212"/>
      <c r="I11" s="1212"/>
      <c r="J11" s="1212"/>
      <c r="K11" s="1212"/>
      <c r="L11" s="1212"/>
      <c r="O11" s="1213"/>
      <c r="P11" s="1213"/>
      <c r="Q11" s="1213"/>
      <c r="R11" s="1213"/>
      <c r="S11" s="1213"/>
      <c r="T11" s="1213"/>
      <c r="U11" s="1213"/>
      <c r="V11" s="1213"/>
      <c r="W11" s="1213"/>
      <c r="X11" s="1213"/>
    </row>
    <row r="12" spans="1:24" ht="22.5" customHeight="1">
      <c r="A12" s="1246" t="s">
        <v>176</v>
      </c>
      <c r="B12" s="1247">
        <f>'[5]Druhova'!G8</f>
        <v>0</v>
      </c>
      <c r="C12" s="1247">
        <f>'[5]Druhova'!B8</f>
        <v>0</v>
      </c>
      <c r="D12" s="1247">
        <f>'[5]Druhova'!C8</f>
        <v>0</v>
      </c>
      <c r="E12" s="1247">
        <f>'[5]Druhova'!D8</f>
        <v>0</v>
      </c>
      <c r="F12" s="1247">
        <f t="shared" si="0"/>
      </c>
      <c r="G12" s="1248">
        <f t="shared" si="1"/>
      </c>
      <c r="H12" s="1212"/>
      <c r="I12" s="1212"/>
      <c r="J12" s="1212"/>
      <c r="K12" s="1212"/>
      <c r="L12" s="1212"/>
      <c r="O12" s="1213"/>
      <c r="P12" s="1213"/>
      <c r="Q12" s="1213"/>
      <c r="R12" s="1213"/>
      <c r="S12" s="1213"/>
      <c r="T12" s="1213"/>
      <c r="U12" s="1213"/>
      <c r="V12" s="1213"/>
      <c r="W12" s="1213"/>
      <c r="X12" s="1213"/>
    </row>
    <row r="13" spans="1:24" ht="22.5" customHeight="1">
      <c r="A13" s="1246" t="s">
        <v>177</v>
      </c>
      <c r="B13" s="1247">
        <f>'[5]Druhova'!G9</f>
        <v>0</v>
      </c>
      <c r="C13" s="1247">
        <f>'[5]Druhova'!B9</f>
        <v>0</v>
      </c>
      <c r="D13" s="1247">
        <f>'[5]Druhova'!C9</f>
        <v>0</v>
      </c>
      <c r="E13" s="1247">
        <f>'[5]Druhova'!D9</f>
        <v>0</v>
      </c>
      <c r="F13" s="1247">
        <f t="shared" si="0"/>
      </c>
      <c r="G13" s="1248">
        <f t="shared" si="1"/>
      </c>
      <c r="H13" s="1212"/>
      <c r="I13" s="1212"/>
      <c r="J13" s="1212"/>
      <c r="K13" s="1212"/>
      <c r="L13" s="1212"/>
      <c r="O13" s="1213"/>
      <c r="P13" s="1213"/>
      <c r="Q13" s="1213"/>
      <c r="R13" s="1213"/>
      <c r="S13" s="1213"/>
      <c r="T13" s="1213"/>
      <c r="U13" s="1213"/>
      <c r="V13" s="1213"/>
      <c r="W13" s="1213"/>
      <c r="X13" s="1213"/>
    </row>
    <row r="14" spans="1:24" ht="12.75">
      <c r="A14" s="1246" t="s">
        <v>178</v>
      </c>
      <c r="B14" s="1247">
        <f>'[5]Druhova'!G10</f>
        <v>0</v>
      </c>
      <c r="C14" s="1247">
        <f>'[5]Druhova'!B10</f>
        <v>0</v>
      </c>
      <c r="D14" s="1247">
        <f>'[5]Druhova'!C10</f>
        <v>0</v>
      </c>
      <c r="E14" s="1247">
        <f>'[5]Druhova'!D10</f>
        <v>0</v>
      </c>
      <c r="F14" s="1247">
        <f t="shared" si="0"/>
      </c>
      <c r="G14" s="1248">
        <f t="shared" si="1"/>
      </c>
      <c r="H14" s="1212"/>
      <c r="I14" s="1212"/>
      <c r="J14" s="1212"/>
      <c r="K14" s="1212"/>
      <c r="L14" s="1212"/>
      <c r="O14" s="1213"/>
      <c r="P14" s="1213"/>
      <c r="Q14" s="1213"/>
      <c r="R14" s="1213"/>
      <c r="S14" s="1213"/>
      <c r="T14" s="1213"/>
      <c r="U14" s="1213"/>
      <c r="V14" s="1213"/>
      <c r="W14" s="1213"/>
      <c r="X14" s="1213"/>
    </row>
    <row r="15" spans="1:14" s="1245" customFormat="1" ht="12.75">
      <c r="A15" s="1249" t="s">
        <v>179</v>
      </c>
      <c r="B15" s="1250">
        <f>'[5]Druhova'!G11</f>
        <v>0</v>
      </c>
      <c r="C15" s="1250">
        <f>'[5]Druhova'!B11</f>
        <v>0</v>
      </c>
      <c r="D15" s="1250">
        <f>'[5]Druhova'!C11</f>
        <v>0</v>
      </c>
      <c r="E15" s="1250">
        <f>'[5]Druhova'!D11</f>
        <v>0</v>
      </c>
      <c r="F15" s="1250">
        <f t="shared" si="0"/>
      </c>
      <c r="G15" s="1251">
        <f t="shared" si="1"/>
      </c>
      <c r="H15" s="1244"/>
      <c r="I15" s="1244"/>
      <c r="J15" s="1244"/>
      <c r="K15" s="1244"/>
      <c r="L15" s="1244"/>
      <c r="M15" s="1244"/>
      <c r="N15" s="1244"/>
    </row>
    <row r="16" spans="1:24" ht="12.75">
      <c r="A16" s="1246" t="s">
        <v>180</v>
      </c>
      <c r="B16" s="1247">
        <f>'[5]Druhova'!G12</f>
        <v>0</v>
      </c>
      <c r="C16" s="1247">
        <f>'[5]Druhova'!B12</f>
        <v>0</v>
      </c>
      <c r="D16" s="1247">
        <f>'[5]Druhova'!C12</f>
        <v>0</v>
      </c>
      <c r="E16" s="1247">
        <f>'[5]Druhova'!D12</f>
        <v>0</v>
      </c>
      <c r="F16" s="1247">
        <f t="shared" si="0"/>
      </c>
      <c r="G16" s="1248">
        <f t="shared" si="1"/>
      </c>
      <c r="H16" s="1212"/>
      <c r="I16" s="1212"/>
      <c r="J16" s="1212"/>
      <c r="K16" s="1212"/>
      <c r="L16" s="1212"/>
      <c r="O16" s="1213"/>
      <c r="P16" s="1213"/>
      <c r="Q16" s="1213"/>
      <c r="R16" s="1213"/>
      <c r="S16" s="1213"/>
      <c r="T16" s="1213"/>
      <c r="U16" s="1213"/>
      <c r="V16" s="1213"/>
      <c r="W16" s="1213"/>
      <c r="X16" s="1213"/>
    </row>
    <row r="17" spans="1:24" ht="16.5" customHeight="1">
      <c r="A17" s="1246" t="s">
        <v>181</v>
      </c>
      <c r="B17" s="1247">
        <f>'[5]Druhova'!G13</f>
        <v>0</v>
      </c>
      <c r="C17" s="1247">
        <f>'[5]Druhova'!B13</f>
        <v>0</v>
      </c>
      <c r="D17" s="1247">
        <f>'[5]Druhova'!C13</f>
        <v>0</v>
      </c>
      <c r="E17" s="1247">
        <f>'[5]Druhova'!D13</f>
        <v>0</v>
      </c>
      <c r="F17" s="1247">
        <f t="shared" si="0"/>
      </c>
      <c r="G17" s="1248">
        <f t="shared" si="1"/>
      </c>
      <c r="H17" s="1212"/>
      <c r="I17" s="1212"/>
      <c r="J17" s="1212"/>
      <c r="K17" s="1212"/>
      <c r="L17" s="1212"/>
      <c r="O17" s="1213"/>
      <c r="P17" s="1213"/>
      <c r="Q17" s="1213"/>
      <c r="R17" s="1213"/>
      <c r="S17" s="1213"/>
      <c r="T17" s="1213"/>
      <c r="U17" s="1213"/>
      <c r="V17" s="1213"/>
      <c r="W17" s="1213"/>
      <c r="X17" s="1213"/>
    </row>
    <row r="18" spans="1:24" ht="16.5" customHeight="1">
      <c r="A18" s="1246" t="s">
        <v>182</v>
      </c>
      <c r="B18" s="1247">
        <f>'[5]Druhova'!G14</f>
        <v>0</v>
      </c>
      <c r="C18" s="1247">
        <f>'[5]Druhova'!B14</f>
        <v>0</v>
      </c>
      <c r="D18" s="1247">
        <f>'[5]Druhova'!C14</f>
        <v>0</v>
      </c>
      <c r="E18" s="1247">
        <f>'[5]Druhova'!D14</f>
        <v>0</v>
      </c>
      <c r="F18" s="1247">
        <f t="shared" si="0"/>
      </c>
      <c r="G18" s="1248">
        <f t="shared" si="1"/>
      </c>
      <c r="H18" s="1212"/>
      <c r="I18" s="1212"/>
      <c r="J18" s="1212"/>
      <c r="K18" s="1212"/>
      <c r="L18" s="1212"/>
      <c r="O18" s="1213"/>
      <c r="P18" s="1213"/>
      <c r="Q18" s="1213"/>
      <c r="R18" s="1213"/>
      <c r="S18" s="1213"/>
      <c r="T18" s="1213"/>
      <c r="U18" s="1213"/>
      <c r="V18" s="1213"/>
      <c r="W18" s="1213"/>
      <c r="X18" s="1213"/>
    </row>
    <row r="19" spans="1:24" ht="16.5" customHeight="1">
      <c r="A19" s="1252" t="s">
        <v>183</v>
      </c>
      <c r="B19" s="1250">
        <f>'[5]Druhova'!G15</f>
        <v>0</v>
      </c>
      <c r="C19" s="1250">
        <f>'[5]Druhova'!B15</f>
        <v>0</v>
      </c>
      <c r="D19" s="1250">
        <f>'[5]Druhova'!C15</f>
        <v>0</v>
      </c>
      <c r="E19" s="1250">
        <f>'[5]Druhova'!D15</f>
        <v>0</v>
      </c>
      <c r="F19" s="1250">
        <f t="shared" si="0"/>
      </c>
      <c r="G19" s="1251">
        <f t="shared" si="1"/>
      </c>
      <c r="H19" s="1212"/>
      <c r="I19" s="1212"/>
      <c r="J19" s="1212"/>
      <c r="K19" s="1212"/>
      <c r="L19" s="1212"/>
      <c r="O19" s="1213"/>
      <c r="P19" s="1213"/>
      <c r="Q19" s="1213"/>
      <c r="R19" s="1213"/>
      <c r="S19" s="1213"/>
      <c r="T19" s="1213"/>
      <c r="U19" s="1213"/>
      <c r="V19" s="1213"/>
      <c r="W19" s="1213"/>
      <c r="X19" s="1213"/>
    </row>
    <row r="20" spans="1:24" ht="12.75">
      <c r="A20" s="1246" t="s">
        <v>184</v>
      </c>
      <c r="B20" s="1247">
        <f>'[5]Druhova'!G16</f>
        <v>0</v>
      </c>
      <c r="C20" s="1247">
        <f>'[5]Druhova'!B16</f>
        <v>0</v>
      </c>
      <c r="D20" s="1247">
        <f>'[5]Druhova'!C16</f>
        <v>0</v>
      </c>
      <c r="E20" s="1247">
        <f>'[5]Druhova'!D16</f>
        <v>0</v>
      </c>
      <c r="F20" s="1247">
        <f t="shared" si="0"/>
      </c>
      <c r="G20" s="1248">
        <f t="shared" si="1"/>
      </c>
      <c r="H20" s="1212"/>
      <c r="I20" s="1212"/>
      <c r="J20" s="1212"/>
      <c r="K20" s="1212"/>
      <c r="L20" s="1212"/>
      <c r="O20" s="1213"/>
      <c r="P20" s="1213"/>
      <c r="Q20" s="1213"/>
      <c r="R20" s="1213"/>
      <c r="S20" s="1213"/>
      <c r="T20" s="1213"/>
      <c r="U20" s="1213"/>
      <c r="V20" s="1213"/>
      <c r="W20" s="1213"/>
      <c r="X20" s="1213"/>
    </row>
    <row r="21" spans="1:24" ht="12.75">
      <c r="A21" s="1246" t="s">
        <v>185</v>
      </c>
      <c r="B21" s="1247">
        <f>'[5]Druhova'!G17</f>
        <v>0</v>
      </c>
      <c r="C21" s="1247">
        <f>'[5]Druhova'!B17</f>
        <v>0</v>
      </c>
      <c r="D21" s="1247">
        <f>'[5]Druhova'!C17</f>
        <v>0</v>
      </c>
      <c r="E21" s="1247">
        <f>'[5]Druhova'!D17</f>
        <v>0</v>
      </c>
      <c r="F21" s="1247">
        <f t="shared" si="0"/>
      </c>
      <c r="G21" s="1248">
        <f t="shared" si="1"/>
      </c>
      <c r="H21" s="1212"/>
      <c r="I21" s="1212"/>
      <c r="J21" s="1212"/>
      <c r="K21" s="1212"/>
      <c r="L21" s="1212"/>
      <c r="O21" s="1213"/>
      <c r="P21" s="1213"/>
      <c r="Q21" s="1213"/>
      <c r="R21" s="1213"/>
      <c r="S21" s="1213"/>
      <c r="T21" s="1213"/>
      <c r="U21" s="1213"/>
      <c r="V21" s="1213"/>
      <c r="W21" s="1213"/>
      <c r="X21" s="1213"/>
    </row>
    <row r="22" spans="1:24" ht="12.75">
      <c r="A22" s="1246" t="s">
        <v>186</v>
      </c>
      <c r="B22" s="1247">
        <f>'[5]Druhova'!G18</f>
        <v>0</v>
      </c>
      <c r="C22" s="1247">
        <f>'[5]Druhova'!B18</f>
        <v>0</v>
      </c>
      <c r="D22" s="1247">
        <f>'[5]Druhova'!C18</f>
        <v>0</v>
      </c>
      <c r="E22" s="1247">
        <f>'[5]Druhova'!D18</f>
        <v>0</v>
      </c>
      <c r="F22" s="1247">
        <f t="shared" si="0"/>
      </c>
      <c r="G22" s="1248">
        <f t="shared" si="1"/>
      </c>
      <c r="H22" s="1212"/>
      <c r="I22" s="1212"/>
      <c r="J22" s="1212"/>
      <c r="K22" s="1212"/>
      <c r="L22" s="1212"/>
      <c r="O22" s="1213"/>
      <c r="P22" s="1213"/>
      <c r="Q22" s="1213"/>
      <c r="R22" s="1213"/>
      <c r="S22" s="1213"/>
      <c r="T22" s="1213"/>
      <c r="U22" s="1213"/>
      <c r="V22" s="1213"/>
      <c r="W22" s="1213"/>
      <c r="X22" s="1213"/>
    </row>
    <row r="23" spans="1:24" ht="12.75">
      <c r="A23" s="1246" t="s">
        <v>187</v>
      </c>
      <c r="B23" s="1247">
        <f>'[5]Druhova'!G19</f>
        <v>0</v>
      </c>
      <c r="C23" s="1247">
        <f>'[5]Druhova'!B19</f>
        <v>0</v>
      </c>
      <c r="D23" s="1247">
        <f>'[5]Druhova'!C19</f>
        <v>0</v>
      </c>
      <c r="E23" s="1247">
        <f>'[5]Druhova'!D19</f>
        <v>0</v>
      </c>
      <c r="F23" s="1247">
        <f t="shared" si="0"/>
      </c>
      <c r="G23" s="1248">
        <f t="shared" si="1"/>
      </c>
      <c r="H23" s="1212"/>
      <c r="I23" s="1212"/>
      <c r="J23" s="1212"/>
      <c r="K23" s="1212"/>
      <c r="L23" s="1212"/>
      <c r="O23" s="1213"/>
      <c r="P23" s="1213"/>
      <c r="Q23" s="1213"/>
      <c r="R23" s="1213"/>
      <c r="S23" s="1213"/>
      <c r="T23" s="1213"/>
      <c r="U23" s="1213"/>
      <c r="V23" s="1213"/>
      <c r="W23" s="1213"/>
      <c r="X23" s="1213"/>
    </row>
    <row r="24" spans="1:24" ht="12.75">
      <c r="A24" s="1246" t="s">
        <v>188</v>
      </c>
      <c r="B24" s="1247">
        <f>'[5]Druhova'!G20</f>
        <v>14341.92</v>
      </c>
      <c r="C24" s="1247">
        <f>'[5]Druhova'!B20</f>
        <v>13000</v>
      </c>
      <c r="D24" s="1247">
        <f>'[5]Druhova'!C20</f>
        <v>13000</v>
      </c>
      <c r="E24" s="1247">
        <f>'[5]Druhova'!D20</f>
        <v>17302.1</v>
      </c>
      <c r="F24" s="1247">
        <f t="shared" si="0"/>
        <v>133.09</v>
      </c>
      <c r="G24" s="1248">
        <f t="shared" si="1"/>
        <v>120.64</v>
      </c>
      <c r="H24" s="1212"/>
      <c r="I24" s="1212"/>
      <c r="J24" s="1212"/>
      <c r="K24" s="1212"/>
      <c r="L24" s="1212"/>
      <c r="O24" s="1213"/>
      <c r="P24" s="1213"/>
      <c r="Q24" s="1213"/>
      <c r="R24" s="1213"/>
      <c r="S24" s="1213"/>
      <c r="T24" s="1213"/>
      <c r="U24" s="1213"/>
      <c r="V24" s="1213"/>
      <c r="W24" s="1213"/>
      <c r="X24" s="1213"/>
    </row>
    <row r="25" spans="1:24" ht="12.75">
      <c r="A25" s="1246" t="s">
        <v>189</v>
      </c>
      <c r="B25" s="1247">
        <f>'[5]Druhova'!G21</f>
        <v>0</v>
      </c>
      <c r="C25" s="1247">
        <f>'[5]Druhova'!B21</f>
        <v>0</v>
      </c>
      <c r="D25" s="1247">
        <f>'[5]Druhova'!C21</f>
        <v>0</v>
      </c>
      <c r="E25" s="1247">
        <f>'[5]Druhova'!D21</f>
        <v>0</v>
      </c>
      <c r="F25" s="1247">
        <f t="shared" si="0"/>
      </c>
      <c r="G25" s="1248">
        <f t="shared" si="1"/>
      </c>
      <c r="H25" s="1212"/>
      <c r="I25" s="1212"/>
      <c r="J25" s="1212"/>
      <c r="K25" s="1212"/>
      <c r="L25" s="1212"/>
      <c r="O25" s="1213"/>
      <c r="P25" s="1213"/>
      <c r="Q25" s="1213"/>
      <c r="R25" s="1213"/>
      <c r="S25" s="1213"/>
      <c r="T25" s="1213"/>
      <c r="U25" s="1213"/>
      <c r="V25" s="1213"/>
      <c r="W25" s="1213"/>
      <c r="X25" s="1213"/>
    </row>
    <row r="26" spans="1:14" s="1245" customFormat="1" ht="17.25" customHeight="1">
      <c r="A26" s="1249" t="s">
        <v>190</v>
      </c>
      <c r="B26" s="1250">
        <f>'[5]Druhova'!G22</f>
        <v>14341.92</v>
      </c>
      <c r="C26" s="1250">
        <f>'[5]Druhova'!B22</f>
        <v>13000</v>
      </c>
      <c r="D26" s="1250">
        <f>'[5]Druhova'!C22</f>
        <v>13000</v>
      </c>
      <c r="E26" s="1250">
        <f>'[5]Druhova'!D22</f>
        <v>17302.1</v>
      </c>
      <c r="F26" s="1250">
        <f t="shared" si="0"/>
        <v>133.09</v>
      </c>
      <c r="G26" s="1251">
        <f t="shared" si="1"/>
        <v>120.64</v>
      </c>
      <c r="H26" s="1244"/>
      <c r="I26" s="1244"/>
      <c r="J26" s="1244"/>
      <c r="K26" s="1244"/>
      <c r="L26" s="1244"/>
      <c r="M26" s="1244"/>
      <c r="N26" s="1244"/>
    </row>
    <row r="27" spans="1:24" ht="12.75">
      <c r="A27" s="1246" t="s">
        <v>191</v>
      </c>
      <c r="B27" s="1247">
        <f>'[5]Druhova'!G23</f>
        <v>0</v>
      </c>
      <c r="C27" s="1247">
        <f>'[5]Druhova'!B23</f>
        <v>0</v>
      </c>
      <c r="D27" s="1247">
        <f>'[5]Druhova'!C23</f>
        <v>0</v>
      </c>
      <c r="E27" s="1247">
        <f>'[5]Druhova'!D23</f>
        <v>0</v>
      </c>
      <c r="F27" s="1247">
        <f t="shared" si="0"/>
      </c>
      <c r="G27" s="1248">
        <f t="shared" si="1"/>
      </c>
      <c r="H27" s="1212"/>
      <c r="I27" s="1212"/>
      <c r="J27" s="1212"/>
      <c r="K27" s="1212"/>
      <c r="L27" s="1212"/>
      <c r="O27" s="1213"/>
      <c r="P27" s="1213"/>
      <c r="Q27" s="1213"/>
      <c r="R27" s="1213"/>
      <c r="S27" s="1213"/>
      <c r="T27" s="1213"/>
      <c r="U27" s="1213"/>
      <c r="V27" s="1213"/>
      <c r="W27" s="1213"/>
      <c r="X27" s="1213"/>
    </row>
    <row r="28" spans="1:24" ht="12.75">
      <c r="A28" s="1246" t="s">
        <v>192</v>
      </c>
      <c r="B28" s="1247">
        <f>'[5]Druhova'!G24</f>
        <v>0</v>
      </c>
      <c r="C28" s="1247">
        <f>'[5]Druhova'!B24</f>
        <v>0</v>
      </c>
      <c r="D28" s="1247">
        <f>'[5]Druhova'!C24</f>
        <v>0</v>
      </c>
      <c r="E28" s="1247">
        <f>'[5]Druhova'!D24</f>
        <v>0</v>
      </c>
      <c r="F28" s="1247">
        <f t="shared" si="0"/>
      </c>
      <c r="G28" s="1248">
        <f t="shared" si="1"/>
      </c>
      <c r="H28" s="1212"/>
      <c r="I28" s="1212"/>
      <c r="J28" s="1212"/>
      <c r="K28" s="1212"/>
      <c r="L28" s="1212"/>
      <c r="O28" s="1213"/>
      <c r="P28" s="1213"/>
      <c r="Q28" s="1213"/>
      <c r="R28" s="1213"/>
      <c r="S28" s="1213"/>
      <c r="T28" s="1213"/>
      <c r="U28" s="1213"/>
      <c r="V28" s="1213"/>
      <c r="W28" s="1213"/>
      <c r="X28" s="1213"/>
    </row>
    <row r="29" spans="1:14" s="1245" customFormat="1" ht="12.75">
      <c r="A29" s="1246" t="s">
        <v>193</v>
      </c>
      <c r="B29" s="1247">
        <f>'[5]Druhova'!G25</f>
        <v>0</v>
      </c>
      <c r="C29" s="1247">
        <f>'[5]Druhova'!B25</f>
        <v>0</v>
      </c>
      <c r="D29" s="1247">
        <f>'[5]Druhova'!C25</f>
        <v>0</v>
      </c>
      <c r="E29" s="1247">
        <f>'[5]Druhova'!D25</f>
        <v>0</v>
      </c>
      <c r="F29" s="1247">
        <f t="shared" si="0"/>
      </c>
      <c r="G29" s="1248">
        <f t="shared" si="1"/>
      </c>
      <c r="H29" s="1244"/>
      <c r="I29" s="1244"/>
      <c r="J29" s="1244"/>
      <c r="K29" s="1244"/>
      <c r="L29" s="1244"/>
      <c r="M29" s="1244"/>
      <c r="N29" s="1244"/>
    </row>
    <row r="30" spans="1:24" ht="17.25" customHeight="1">
      <c r="A30" s="1249" t="s">
        <v>191</v>
      </c>
      <c r="B30" s="1250">
        <f>'[5]Druhova'!G26</f>
        <v>0</v>
      </c>
      <c r="C30" s="1250">
        <f>'[5]Druhova'!B26</f>
        <v>0</v>
      </c>
      <c r="D30" s="1250">
        <f>'[5]Druhova'!C26</f>
        <v>0</v>
      </c>
      <c r="E30" s="1250">
        <f>'[5]Druhova'!D26</f>
        <v>0</v>
      </c>
      <c r="F30" s="1250">
        <f t="shared" si="0"/>
      </c>
      <c r="G30" s="1251">
        <f t="shared" si="1"/>
      </c>
      <c r="H30" s="1212"/>
      <c r="I30" s="1212"/>
      <c r="J30" s="1212"/>
      <c r="K30" s="1212"/>
      <c r="L30" s="1212"/>
      <c r="O30" s="1213"/>
      <c r="P30" s="1213"/>
      <c r="Q30" s="1213"/>
      <c r="R30" s="1213"/>
      <c r="S30" s="1213"/>
      <c r="T30" s="1213"/>
      <c r="U30" s="1213"/>
      <c r="V30" s="1213"/>
      <c r="W30" s="1213"/>
      <c r="X30" s="1213"/>
    </row>
    <row r="31" spans="1:24" ht="12.75">
      <c r="A31" s="1246" t="s">
        <v>194</v>
      </c>
      <c r="B31" s="1247">
        <f>'[5]Druhova'!G27</f>
        <v>0</v>
      </c>
      <c r="C31" s="1247">
        <f>'[5]Druhova'!B27</f>
        <v>0</v>
      </c>
      <c r="D31" s="1247">
        <f>'[5]Druhova'!C27</f>
        <v>0</v>
      </c>
      <c r="E31" s="1247">
        <f>'[5]Druhova'!D27</f>
        <v>0</v>
      </c>
      <c r="F31" s="1247">
        <f t="shared" si="0"/>
      </c>
      <c r="G31" s="1248">
        <f t="shared" si="1"/>
      </c>
      <c r="H31" s="1212"/>
      <c r="I31" s="1212"/>
      <c r="J31" s="1212"/>
      <c r="K31" s="1212"/>
      <c r="L31" s="1212"/>
      <c r="O31" s="1213"/>
      <c r="P31" s="1213"/>
      <c r="Q31" s="1213"/>
      <c r="R31" s="1213"/>
      <c r="S31" s="1213"/>
      <c r="T31" s="1213"/>
      <c r="U31" s="1213"/>
      <c r="V31" s="1213"/>
      <c r="W31" s="1213"/>
      <c r="X31" s="1213"/>
    </row>
    <row r="32" spans="1:24" ht="12.75">
      <c r="A32" s="1246" t="s">
        <v>195</v>
      </c>
      <c r="B32" s="1247">
        <f>'[5]Druhova'!G28</f>
        <v>0</v>
      </c>
      <c r="C32" s="1247">
        <f>'[5]Druhova'!B28</f>
        <v>0</v>
      </c>
      <c r="D32" s="1247">
        <f>'[5]Druhova'!C28</f>
        <v>0</v>
      </c>
      <c r="E32" s="1247">
        <f>'[5]Druhova'!D28</f>
        <v>0</v>
      </c>
      <c r="F32" s="1247">
        <f t="shared" si="0"/>
      </c>
      <c r="G32" s="1248">
        <f t="shared" si="1"/>
      </c>
      <c r="H32" s="1212"/>
      <c r="I32" s="1212"/>
      <c r="J32" s="1212"/>
      <c r="K32" s="1212"/>
      <c r="L32" s="1212"/>
      <c r="O32" s="1213"/>
      <c r="P32" s="1213"/>
      <c r="Q32" s="1213"/>
      <c r="R32" s="1213"/>
      <c r="S32" s="1213"/>
      <c r="T32" s="1213"/>
      <c r="U32" s="1213"/>
      <c r="V32" s="1213"/>
      <c r="W32" s="1213"/>
      <c r="X32" s="1213"/>
    </row>
    <row r="33" spans="1:14" s="1245" customFormat="1" ht="13.5" customHeight="1">
      <c r="A33" s="1246" t="s">
        <v>196</v>
      </c>
      <c r="B33" s="1247">
        <f>'[5]Druhova'!G29</f>
        <v>0</v>
      </c>
      <c r="C33" s="1247">
        <f>'[5]Druhova'!B29</f>
        <v>0</v>
      </c>
      <c r="D33" s="1247">
        <f>'[5]Druhova'!C29</f>
        <v>0</v>
      </c>
      <c r="E33" s="1247">
        <f>'[5]Druhova'!D29</f>
        <v>0</v>
      </c>
      <c r="F33" s="1247">
        <f t="shared" si="0"/>
      </c>
      <c r="G33" s="1248">
        <f t="shared" si="1"/>
      </c>
      <c r="H33" s="1244"/>
      <c r="I33" s="1244"/>
      <c r="J33" s="1244"/>
      <c r="K33" s="1244"/>
      <c r="L33" s="1244"/>
      <c r="M33" s="1244"/>
      <c r="N33" s="1244"/>
    </row>
    <row r="34" spans="1:24" ht="17.25" customHeight="1">
      <c r="A34" s="1249" t="s">
        <v>197</v>
      </c>
      <c r="B34" s="1250">
        <f>'[5]Druhova'!G30</f>
        <v>0</v>
      </c>
      <c r="C34" s="1250">
        <f>'[5]Druhova'!B30</f>
        <v>0</v>
      </c>
      <c r="D34" s="1250">
        <f>'[5]Druhova'!C30</f>
        <v>0</v>
      </c>
      <c r="E34" s="1250">
        <f>'[5]Druhova'!D30</f>
        <v>0</v>
      </c>
      <c r="F34" s="1250">
        <f t="shared" si="0"/>
      </c>
      <c r="G34" s="1251">
        <f t="shared" si="1"/>
      </c>
      <c r="H34" s="1212"/>
      <c r="I34" s="1212"/>
      <c r="J34" s="1212"/>
      <c r="K34" s="1212"/>
      <c r="L34" s="1212"/>
      <c r="O34" s="1213"/>
      <c r="P34" s="1213"/>
      <c r="Q34" s="1213"/>
      <c r="R34" s="1213"/>
      <c r="S34" s="1213"/>
      <c r="T34" s="1213"/>
      <c r="U34" s="1213"/>
      <c r="V34" s="1213"/>
      <c r="W34" s="1213"/>
      <c r="X34" s="1213"/>
    </row>
    <row r="35" spans="1:24" ht="22.5">
      <c r="A35" s="1246" t="s">
        <v>198</v>
      </c>
      <c r="B35" s="1247">
        <f>'[5]Druhova'!G31</f>
        <v>5591896.84</v>
      </c>
      <c r="C35" s="1247">
        <f>'[5]Druhova'!B31</f>
        <v>5608927</v>
      </c>
      <c r="D35" s="1247">
        <f>'[5]Druhova'!C31</f>
        <v>5608927</v>
      </c>
      <c r="E35" s="1247">
        <f>'[5]Druhova'!D31</f>
        <v>5608826.16</v>
      </c>
      <c r="F35" s="1247">
        <f t="shared" si="0"/>
        <v>100</v>
      </c>
      <c r="G35" s="1248">
        <f t="shared" si="1"/>
        <v>100.3</v>
      </c>
      <c r="H35" s="1212"/>
      <c r="I35" s="1212"/>
      <c r="J35" s="1212"/>
      <c r="K35" s="1212"/>
      <c r="L35" s="1212"/>
      <c r="O35" s="1213"/>
      <c r="P35" s="1213"/>
      <c r="Q35" s="1213"/>
      <c r="R35" s="1213"/>
      <c r="S35" s="1213"/>
      <c r="T35" s="1213"/>
      <c r="U35" s="1213"/>
      <c r="V35" s="1213"/>
      <c r="W35" s="1213"/>
      <c r="X35" s="1213"/>
    </row>
    <row r="36" spans="1:24" ht="22.5">
      <c r="A36" s="1246" t="s">
        <v>199</v>
      </c>
      <c r="B36" s="1247">
        <f>'[5]Druhova_CAST7'!M8</f>
        <v>5095865.72</v>
      </c>
      <c r="C36" s="1247">
        <f>'[5]Druhova_CAST7'!D8</f>
        <v>5008052</v>
      </c>
      <c r="D36" s="1247">
        <f>'[5]Druhova_CAST7'!E8</f>
        <v>5008052</v>
      </c>
      <c r="E36" s="1247">
        <f>'[5]Druhova_CAST7'!F8</f>
        <v>5101246.82</v>
      </c>
      <c r="F36" s="1247">
        <f t="shared" si="0"/>
        <v>101.86</v>
      </c>
      <c r="G36" s="1248">
        <f t="shared" si="1"/>
        <v>100.11</v>
      </c>
      <c r="H36" s="1212"/>
      <c r="I36" s="1212"/>
      <c r="J36" s="1212"/>
      <c r="K36" s="1213"/>
      <c r="L36" s="1213"/>
      <c r="M36" s="1213"/>
      <c r="N36" s="1213"/>
      <c r="O36" s="1213"/>
      <c r="P36" s="1213"/>
      <c r="Q36" s="1213"/>
      <c r="R36" s="1213"/>
      <c r="S36" s="1213"/>
      <c r="T36" s="1213"/>
      <c r="U36" s="1213"/>
      <c r="V36" s="1213"/>
      <c r="W36" s="1213"/>
      <c r="X36" s="1213"/>
    </row>
    <row r="37" spans="1:24" ht="12.75">
      <c r="A37" s="1246" t="s">
        <v>200</v>
      </c>
      <c r="B37" s="1247">
        <f>'[5]Druhova'!G33</f>
        <v>0</v>
      </c>
      <c r="C37" s="1247">
        <f>'[5]Druhova'!B33</f>
        <v>0</v>
      </c>
      <c r="D37" s="1247">
        <f>'[5]Druhova'!C33</f>
        <v>0</v>
      </c>
      <c r="E37" s="1247">
        <f>'[5]Druhova'!D33</f>
        <v>0</v>
      </c>
      <c r="F37" s="1247">
        <f t="shared" si="0"/>
      </c>
      <c r="G37" s="1248">
        <f t="shared" si="1"/>
      </c>
      <c r="H37" s="1212"/>
      <c r="I37" s="1212"/>
      <c r="J37" s="1212"/>
      <c r="K37" s="1212"/>
      <c r="L37" s="1212"/>
      <c r="O37" s="1213"/>
      <c r="P37" s="1213"/>
      <c r="Q37" s="1213"/>
      <c r="R37" s="1213"/>
      <c r="S37" s="1213"/>
      <c r="T37" s="1213"/>
      <c r="U37" s="1213"/>
      <c r="V37" s="1213"/>
      <c r="W37" s="1213"/>
      <c r="X37" s="1213"/>
    </row>
    <row r="38" spans="1:24" ht="12.75">
      <c r="A38" s="1246" t="s">
        <v>201</v>
      </c>
      <c r="B38" s="1247">
        <f>'[5]Druhova'!G34</f>
        <v>0</v>
      </c>
      <c r="C38" s="1247">
        <f>'[5]Druhova'!B34</f>
        <v>0</v>
      </c>
      <c r="D38" s="1247">
        <f>'[5]Druhova'!C34</f>
        <v>0</v>
      </c>
      <c r="E38" s="1247">
        <f>'[5]Druhova'!D34</f>
        <v>0</v>
      </c>
      <c r="F38" s="1247">
        <f t="shared" si="0"/>
      </c>
      <c r="G38" s="1248">
        <f t="shared" si="1"/>
      </c>
      <c r="H38" s="1212"/>
      <c r="I38" s="1212"/>
      <c r="J38" s="1212"/>
      <c r="K38" s="1212"/>
      <c r="L38" s="1212"/>
      <c r="O38" s="1213"/>
      <c r="P38" s="1213"/>
      <c r="Q38" s="1213"/>
      <c r="R38" s="1213"/>
      <c r="S38" s="1213"/>
      <c r="T38" s="1213"/>
      <c r="U38" s="1213"/>
      <c r="V38" s="1213"/>
      <c r="W38" s="1213"/>
      <c r="X38" s="1213"/>
    </row>
    <row r="39" spans="1:14" s="1245" customFormat="1" ht="12.75">
      <c r="A39" s="1246" t="s">
        <v>202</v>
      </c>
      <c r="B39" s="1247">
        <f>'[5]Druhova'!G35</f>
        <v>0</v>
      </c>
      <c r="C39" s="1247">
        <f>'[5]Druhova'!B35</f>
        <v>0</v>
      </c>
      <c r="D39" s="1247">
        <f>'[5]Druhova'!C35</f>
        <v>0</v>
      </c>
      <c r="E39" s="1247">
        <f>'[5]Druhova'!D35</f>
        <v>0</v>
      </c>
      <c r="F39" s="1247">
        <f t="shared" si="0"/>
      </c>
      <c r="G39" s="1248">
        <f t="shared" si="1"/>
      </c>
      <c r="H39" s="1244"/>
      <c r="I39" s="1244"/>
      <c r="J39" s="1244"/>
      <c r="K39" s="1244"/>
      <c r="L39" s="1244"/>
      <c r="M39" s="1244"/>
      <c r="N39" s="1244"/>
    </row>
    <row r="40" spans="1:24" ht="12.75">
      <c r="A40" s="1249" t="s">
        <v>203</v>
      </c>
      <c r="B40" s="1250">
        <f>'[5]Druhova'!G36</f>
        <v>5591896.84</v>
      </c>
      <c r="C40" s="1250">
        <f>'[5]Druhova'!B36</f>
        <v>5608927</v>
      </c>
      <c r="D40" s="1250">
        <f>'[5]Druhova'!C36</f>
        <v>5608927</v>
      </c>
      <c r="E40" s="1250">
        <f>'[5]Druhova'!D36</f>
        <v>5608826.16</v>
      </c>
      <c r="F40" s="1250">
        <f t="shared" si="0"/>
        <v>100</v>
      </c>
      <c r="G40" s="1251">
        <f t="shared" si="1"/>
        <v>100.3</v>
      </c>
      <c r="H40" s="1212"/>
      <c r="I40" s="1212"/>
      <c r="J40" s="1212"/>
      <c r="K40" s="1212"/>
      <c r="L40" s="1212"/>
      <c r="O40" s="1213"/>
      <c r="P40" s="1213"/>
      <c r="Q40" s="1213"/>
      <c r="R40" s="1213"/>
      <c r="S40" s="1213"/>
      <c r="T40" s="1213"/>
      <c r="U40" s="1213"/>
      <c r="V40" s="1213"/>
      <c r="W40" s="1213"/>
      <c r="X40" s="1213"/>
    </row>
    <row r="41" spans="1:14" s="1245" customFormat="1" ht="12.75">
      <c r="A41" s="1246" t="s">
        <v>207</v>
      </c>
      <c r="B41" s="1247">
        <f>'[5]Druhova'!G37</f>
        <v>0</v>
      </c>
      <c r="C41" s="1247">
        <f>'[5]Druhova'!B37</f>
        <v>0</v>
      </c>
      <c r="D41" s="1247">
        <f>'[5]Druhova'!C37</f>
        <v>0</v>
      </c>
      <c r="E41" s="1247">
        <f>'[5]Druhova'!D37</f>
        <v>0</v>
      </c>
      <c r="F41" s="1247">
        <f t="shared" si="0"/>
      </c>
      <c r="G41" s="1248">
        <f t="shared" si="1"/>
      </c>
      <c r="H41" s="1244"/>
      <c r="I41" s="1244"/>
      <c r="J41" s="1244"/>
      <c r="K41" s="1244"/>
      <c r="L41" s="1244"/>
      <c r="M41" s="1244"/>
      <c r="N41" s="1244"/>
    </row>
    <row r="42" spans="1:14" s="1245" customFormat="1" ht="13.5" thickBot="1">
      <c r="A42" s="1249" t="s">
        <v>207</v>
      </c>
      <c r="B42" s="1253">
        <f>'[5]Druhova'!G38</f>
        <v>0</v>
      </c>
      <c r="C42" s="1254">
        <f>'[5]Druhova'!B38</f>
        <v>0</v>
      </c>
      <c r="D42" s="1254">
        <f>'[5]Druhova'!C38</f>
        <v>0</v>
      </c>
      <c r="E42" s="1254">
        <f>'[5]Druhova'!D38</f>
        <v>0</v>
      </c>
      <c r="F42" s="1254">
        <f t="shared" si="0"/>
      </c>
      <c r="G42" s="1255">
        <f t="shared" si="1"/>
      </c>
      <c r="H42" s="1244"/>
      <c r="I42" s="1244"/>
      <c r="J42" s="1244"/>
      <c r="K42" s="1244"/>
      <c r="L42" s="1244"/>
      <c r="M42" s="1244"/>
      <c r="N42" s="1244"/>
    </row>
    <row r="43" spans="1:14" s="1312" customFormat="1" ht="34.5" customHeight="1" thickBot="1">
      <c r="A43" s="1256" t="s">
        <v>506</v>
      </c>
      <c r="B43" s="1308">
        <f>'[5]Druhova'!G39</f>
        <v>5606238.76</v>
      </c>
      <c r="C43" s="1309">
        <f>'[5]Druhova'!B39</f>
        <v>5621927</v>
      </c>
      <c r="D43" s="1309">
        <f>'[5]Druhova'!C39</f>
        <v>5621927</v>
      </c>
      <c r="E43" s="1309">
        <f>'[5]Druhova'!D39</f>
        <v>5626128.25</v>
      </c>
      <c r="F43" s="1309">
        <f t="shared" si="0"/>
        <v>100.07</v>
      </c>
      <c r="G43" s="1310">
        <f t="shared" si="1"/>
        <v>100.35</v>
      </c>
      <c r="H43" s="1311"/>
      <c r="I43" s="1311"/>
      <c r="J43" s="1311"/>
      <c r="K43" s="1311"/>
      <c r="L43" s="1311"/>
      <c r="M43" s="1311"/>
      <c r="N43" s="1311"/>
    </row>
    <row r="44" spans="1:24" ht="30" customHeight="1" thickBot="1">
      <c r="A44" s="1260" t="s">
        <v>507</v>
      </c>
      <c r="B44" s="1261">
        <f>'[5]Druhova'!G40</f>
        <v>14341.92</v>
      </c>
      <c r="C44" s="1262">
        <f>'[5]Druhova'!B40</f>
        <v>13000</v>
      </c>
      <c r="D44" s="1262">
        <f>'[5]Druhova'!C40</f>
        <v>13000</v>
      </c>
      <c r="E44" s="1262">
        <f>'[5]Druhova'!D40</f>
        <v>17302.1</v>
      </c>
      <c r="F44" s="1262">
        <f t="shared" si="0"/>
        <v>133.09</v>
      </c>
      <c r="G44" s="1263">
        <f t="shared" si="1"/>
        <v>120.64</v>
      </c>
      <c r="H44" s="1212"/>
      <c r="I44" s="1212"/>
      <c r="J44" s="1212"/>
      <c r="K44" s="1212"/>
      <c r="L44" s="1212"/>
      <c r="O44" s="1213"/>
      <c r="P44" s="1213"/>
      <c r="Q44" s="1213"/>
      <c r="R44" s="1213"/>
      <c r="S44" s="1213"/>
      <c r="T44" s="1213"/>
      <c r="U44" s="1213"/>
      <c r="V44" s="1213"/>
      <c r="W44" s="1213"/>
      <c r="X44" s="1213"/>
    </row>
    <row r="45" spans="1:24" ht="18" customHeight="1">
      <c r="A45" s="1264" t="s">
        <v>208</v>
      </c>
      <c r="B45" s="1247">
        <f>'[5]Druhova'!G41</f>
        <v>88482.01</v>
      </c>
      <c r="C45" s="1247">
        <f>'[5]Druhova'!B41</f>
        <v>58007</v>
      </c>
      <c r="D45" s="1247">
        <f>'[5]Druhova'!C41</f>
        <v>81177.42</v>
      </c>
      <c r="E45" s="1247">
        <f>'[5]Druhova'!D41</f>
        <v>88905.06</v>
      </c>
      <c r="F45" s="1247">
        <f t="shared" si="0"/>
        <v>109.52</v>
      </c>
      <c r="G45" s="1248">
        <f t="shared" si="1"/>
        <v>100.48</v>
      </c>
      <c r="H45" s="1212"/>
      <c r="I45" s="1212"/>
      <c r="J45" s="1212"/>
      <c r="K45" s="1212"/>
      <c r="L45" s="1212"/>
      <c r="O45" s="1213"/>
      <c r="P45" s="1213"/>
      <c r="Q45" s="1213"/>
      <c r="R45" s="1213"/>
      <c r="S45" s="1213"/>
      <c r="T45" s="1213"/>
      <c r="U45" s="1213"/>
      <c r="V45" s="1213"/>
      <c r="W45" s="1213"/>
      <c r="X45" s="1213"/>
    </row>
    <row r="46" spans="1:24" ht="16.5" customHeight="1">
      <c r="A46" s="1264" t="s">
        <v>209</v>
      </c>
      <c r="B46" s="1247">
        <f>'[5]Druhova'!G42</f>
        <v>79088.56</v>
      </c>
      <c r="C46" s="1247">
        <f>'[5]Druhova'!B42</f>
        <v>22910</v>
      </c>
      <c r="D46" s="1247">
        <f>'[5]Druhova'!C42</f>
        <v>24420</v>
      </c>
      <c r="E46" s="1247">
        <f>'[5]Druhova'!D42</f>
        <v>30244.93</v>
      </c>
      <c r="F46" s="1247">
        <f t="shared" si="0"/>
        <v>123.85</v>
      </c>
      <c r="G46" s="1248">
        <f t="shared" si="1"/>
        <v>38.24</v>
      </c>
      <c r="H46" s="1212"/>
      <c r="I46" s="1212"/>
      <c r="J46" s="1212"/>
      <c r="K46" s="1212"/>
      <c r="L46" s="1212"/>
      <c r="O46" s="1213"/>
      <c r="P46" s="1213"/>
      <c r="Q46" s="1213"/>
      <c r="R46" s="1213"/>
      <c r="S46" s="1213"/>
      <c r="T46" s="1213"/>
      <c r="U46" s="1213"/>
      <c r="V46" s="1213"/>
      <c r="W46" s="1213"/>
      <c r="X46" s="1213"/>
    </row>
    <row r="47" spans="1:24" ht="12.75" customHeight="1">
      <c r="A47" s="1264" t="s">
        <v>210</v>
      </c>
      <c r="B47" s="1247">
        <f>'[5]Druhova'!G43</f>
        <v>0</v>
      </c>
      <c r="C47" s="1247">
        <f>'[5]Druhova'!B43</f>
        <v>0</v>
      </c>
      <c r="D47" s="1247">
        <f>'[5]Druhova'!C43</f>
        <v>0</v>
      </c>
      <c r="E47" s="1247">
        <f>'[5]Druhova'!D43</f>
        <v>0</v>
      </c>
      <c r="F47" s="1247">
        <f t="shared" si="0"/>
      </c>
      <c r="G47" s="1248">
        <f t="shared" si="1"/>
      </c>
      <c r="H47" s="1212"/>
      <c r="I47" s="1212"/>
      <c r="J47" s="1212"/>
      <c r="K47" s="1212"/>
      <c r="L47" s="1212"/>
      <c r="O47" s="1213"/>
      <c r="P47" s="1213"/>
      <c r="Q47" s="1213"/>
      <c r="R47" s="1213"/>
      <c r="S47" s="1213"/>
      <c r="T47" s="1213"/>
      <c r="U47" s="1213"/>
      <c r="V47" s="1213"/>
      <c r="W47" s="1213"/>
      <c r="X47" s="1213"/>
    </row>
    <row r="48" spans="1:24" ht="16.5" customHeight="1">
      <c r="A48" s="1264" t="s">
        <v>211</v>
      </c>
      <c r="B48" s="1247">
        <f>'[5]Druhova'!G44</f>
        <v>79088.56</v>
      </c>
      <c r="C48" s="1247">
        <f>'[5]Druhova'!B44</f>
        <v>22910</v>
      </c>
      <c r="D48" s="1247">
        <f>'[5]Druhova'!C44</f>
        <v>24420</v>
      </c>
      <c r="E48" s="1247">
        <f>'[5]Druhova'!D44</f>
        <v>30238.68</v>
      </c>
      <c r="F48" s="1247">
        <f t="shared" si="0"/>
        <v>123.83</v>
      </c>
      <c r="G48" s="1248">
        <f t="shared" si="1"/>
        <v>38.23</v>
      </c>
      <c r="H48" s="1212"/>
      <c r="I48" s="1212"/>
      <c r="J48" s="1212"/>
      <c r="K48" s="1212"/>
      <c r="L48" s="1212"/>
      <c r="O48" s="1213"/>
      <c r="P48" s="1213"/>
      <c r="Q48" s="1213"/>
      <c r="R48" s="1213"/>
      <c r="S48" s="1213"/>
      <c r="T48" s="1213"/>
      <c r="U48" s="1213"/>
      <c r="V48" s="1213"/>
      <c r="W48" s="1213"/>
      <c r="X48" s="1213"/>
    </row>
    <row r="49" spans="1:24" ht="16.5" customHeight="1">
      <c r="A49" s="1264" t="s">
        <v>212</v>
      </c>
      <c r="B49" s="1247">
        <f>'[5]Druhova'!G45</f>
        <v>35037.97</v>
      </c>
      <c r="C49" s="1247">
        <f>'[5]Druhova'!B45</f>
        <v>24612</v>
      </c>
      <c r="D49" s="1247">
        <f>'[5]Druhova'!C45</f>
        <v>29307.02</v>
      </c>
      <c r="E49" s="1247">
        <f>'[5]Druhova'!D45</f>
        <v>31428.81</v>
      </c>
      <c r="F49" s="1247">
        <f t="shared" si="0"/>
        <v>107.24</v>
      </c>
      <c r="G49" s="1248">
        <f t="shared" si="1"/>
        <v>89.7</v>
      </c>
      <c r="H49" s="1212"/>
      <c r="I49" s="1212"/>
      <c r="J49" s="1212"/>
      <c r="K49" s="1212"/>
      <c r="L49" s="1212"/>
      <c r="O49" s="1213"/>
      <c r="P49" s="1213"/>
      <c r="Q49" s="1213"/>
      <c r="R49" s="1213"/>
      <c r="S49" s="1213"/>
      <c r="T49" s="1213"/>
      <c r="U49" s="1213"/>
      <c r="V49" s="1213"/>
      <c r="W49" s="1213"/>
      <c r="X49" s="1213"/>
    </row>
    <row r="50" spans="1:24" ht="16.5" customHeight="1">
      <c r="A50" s="1264" t="s">
        <v>213</v>
      </c>
      <c r="B50" s="1247">
        <f>'[5]Druhova'!G46</f>
        <v>620.29</v>
      </c>
      <c r="C50" s="1247">
        <f>'[5]Druhova'!B46</f>
        <v>531</v>
      </c>
      <c r="D50" s="1247">
        <f>'[5]Druhova'!C46</f>
        <v>233.46</v>
      </c>
      <c r="E50" s="1247">
        <f>'[5]Druhova'!D46</f>
        <v>60.31</v>
      </c>
      <c r="F50" s="1247">
        <f t="shared" si="0"/>
        <v>25.83</v>
      </c>
      <c r="G50" s="1248">
        <f t="shared" si="1"/>
        <v>9.72</v>
      </c>
      <c r="H50" s="1212"/>
      <c r="I50" s="1212"/>
      <c r="J50" s="1212"/>
      <c r="K50" s="1212"/>
      <c r="L50" s="1212"/>
      <c r="O50" s="1213"/>
      <c r="P50" s="1213"/>
      <c r="Q50" s="1213"/>
      <c r="R50" s="1213"/>
      <c r="S50" s="1213"/>
      <c r="T50" s="1213"/>
      <c r="U50" s="1213"/>
      <c r="V50" s="1213"/>
      <c r="W50" s="1213"/>
      <c r="X50" s="1213"/>
    </row>
    <row r="51" spans="1:14" s="1245" customFormat="1" ht="12" customHeight="1">
      <c r="A51" s="1264" t="s">
        <v>214</v>
      </c>
      <c r="B51" s="1247">
        <f>'[5]Druhova'!G47</f>
        <v>0</v>
      </c>
      <c r="C51" s="1247">
        <f>'[5]Druhova'!B47</f>
        <v>0</v>
      </c>
      <c r="D51" s="1247">
        <f>'[5]Druhova'!C47</f>
        <v>0</v>
      </c>
      <c r="E51" s="1247">
        <f>'[5]Druhova'!D47</f>
        <v>0</v>
      </c>
      <c r="F51" s="1247">
        <f t="shared" si="0"/>
      </c>
      <c r="G51" s="1248">
        <f t="shared" si="1"/>
      </c>
      <c r="H51" s="1244"/>
      <c r="I51" s="1244"/>
      <c r="J51" s="1244"/>
      <c r="K51" s="1244"/>
      <c r="L51" s="1244"/>
      <c r="M51" s="1244"/>
      <c r="N51" s="1244"/>
    </row>
    <row r="52" spans="1:24" ht="23.25" customHeight="1">
      <c r="A52" s="1265" t="s">
        <v>215</v>
      </c>
      <c r="B52" s="1250">
        <f>'[5]Druhova'!G48</f>
        <v>203228.82</v>
      </c>
      <c r="C52" s="1250">
        <f>'[5]Druhova'!B48</f>
        <v>106060</v>
      </c>
      <c r="D52" s="1250">
        <f>'[5]Druhova'!C48</f>
        <v>135137.89</v>
      </c>
      <c r="E52" s="1250">
        <f>'[5]Druhova'!D48</f>
        <v>150639.11</v>
      </c>
      <c r="F52" s="1250">
        <f t="shared" si="0"/>
        <v>111.47</v>
      </c>
      <c r="G52" s="1251">
        <f t="shared" si="1"/>
        <v>74.12</v>
      </c>
      <c r="H52" s="1212"/>
      <c r="I52" s="1212"/>
      <c r="J52" s="1212"/>
      <c r="K52" s="1212"/>
      <c r="L52" s="1212"/>
      <c r="O52" s="1213"/>
      <c r="P52" s="1213"/>
      <c r="Q52" s="1213"/>
      <c r="R52" s="1213"/>
      <c r="S52" s="1213"/>
      <c r="T52" s="1213"/>
      <c r="U52" s="1213"/>
      <c r="V52" s="1213"/>
      <c r="W52" s="1213"/>
      <c r="X52" s="1213"/>
    </row>
    <row r="53" spans="1:24" ht="12.75">
      <c r="A53" s="1264" t="s">
        <v>216</v>
      </c>
      <c r="B53" s="1247">
        <f>'[5]Druhova'!G49</f>
        <v>34683.73</v>
      </c>
      <c r="C53" s="1247">
        <f>'[5]Druhova'!B49</f>
        <v>671</v>
      </c>
      <c r="D53" s="1247">
        <f>'[5]Druhova'!C49</f>
        <v>15242.09</v>
      </c>
      <c r="E53" s="1247">
        <f>'[5]Druhova'!D49</f>
        <v>27073.49</v>
      </c>
      <c r="F53" s="1247">
        <f t="shared" si="0"/>
        <v>177.62</v>
      </c>
      <c r="G53" s="1248">
        <f t="shared" si="1"/>
        <v>78.06</v>
      </c>
      <c r="H53" s="1212"/>
      <c r="I53" s="1212"/>
      <c r="J53" s="1212"/>
      <c r="K53" s="1212"/>
      <c r="L53" s="1212"/>
      <c r="O53" s="1213"/>
      <c r="P53" s="1213"/>
      <c r="Q53" s="1213"/>
      <c r="R53" s="1213"/>
      <c r="S53" s="1213"/>
      <c r="T53" s="1213"/>
      <c r="U53" s="1213"/>
      <c r="V53" s="1213"/>
      <c r="W53" s="1213"/>
      <c r="X53" s="1213"/>
    </row>
    <row r="54" spans="1:14" s="1245" customFormat="1" ht="22.5" customHeight="1">
      <c r="A54" s="1264" t="s">
        <v>217</v>
      </c>
      <c r="B54" s="1247">
        <f>'[5]Druhova'!G50</f>
        <v>21782.72</v>
      </c>
      <c r="C54" s="1247">
        <f>'[5]Druhova'!B50</f>
        <v>23370</v>
      </c>
      <c r="D54" s="1247">
        <f>'[5]Druhova'!C50</f>
        <v>14181.94</v>
      </c>
      <c r="E54" s="1247">
        <f>'[5]Druhova'!D50</f>
        <v>17692.96</v>
      </c>
      <c r="F54" s="1247">
        <f t="shared" si="0"/>
        <v>124.76</v>
      </c>
      <c r="G54" s="1248">
        <f t="shared" si="1"/>
        <v>81.22</v>
      </c>
      <c r="H54" s="1244"/>
      <c r="I54" s="1244"/>
      <c r="J54" s="1244"/>
      <c r="K54" s="1244"/>
      <c r="L54" s="1244"/>
      <c r="M54" s="1244"/>
      <c r="N54" s="1244"/>
    </row>
    <row r="55" spans="1:24" ht="17.25" customHeight="1">
      <c r="A55" s="1265" t="s">
        <v>218</v>
      </c>
      <c r="B55" s="1250">
        <f>'[5]Druhova'!G51</f>
        <v>56466.45</v>
      </c>
      <c r="C55" s="1250">
        <f>'[5]Druhova'!B51</f>
        <v>24041</v>
      </c>
      <c r="D55" s="1250">
        <f>'[5]Druhova'!C51</f>
        <v>29424.03</v>
      </c>
      <c r="E55" s="1250">
        <f>'[5]Druhova'!D51</f>
        <v>44766.46</v>
      </c>
      <c r="F55" s="1250">
        <f t="shared" si="0"/>
        <v>152.14</v>
      </c>
      <c r="G55" s="1251">
        <f t="shared" si="1"/>
        <v>79.28</v>
      </c>
      <c r="H55" s="1212"/>
      <c r="I55" s="1212"/>
      <c r="J55" s="1212"/>
      <c r="K55" s="1212"/>
      <c r="L55" s="1212"/>
      <c r="O55" s="1213"/>
      <c r="P55" s="1213"/>
      <c r="Q55" s="1213"/>
      <c r="R55" s="1213"/>
      <c r="S55" s="1213"/>
      <c r="T55" s="1213"/>
      <c r="U55" s="1213"/>
      <c r="V55" s="1213"/>
      <c r="W55" s="1213"/>
      <c r="X55" s="1213"/>
    </row>
    <row r="56" spans="1:24" ht="24" customHeight="1">
      <c r="A56" s="1264" t="s">
        <v>219</v>
      </c>
      <c r="B56" s="1247">
        <f>'[5]Druhova'!G52</f>
        <v>2042.55</v>
      </c>
      <c r="C56" s="1247">
        <f>'[5]Druhova'!B52</f>
        <v>3333</v>
      </c>
      <c r="D56" s="1247">
        <f>'[5]Druhova'!C52</f>
        <v>1562.24</v>
      </c>
      <c r="E56" s="1247">
        <f>'[5]Druhova'!D52</f>
        <v>1500.55</v>
      </c>
      <c r="F56" s="1247">
        <f t="shared" si="0"/>
        <v>96.05</v>
      </c>
      <c r="G56" s="1248">
        <f t="shared" si="1"/>
        <v>73.46</v>
      </c>
      <c r="H56" s="1212"/>
      <c r="I56" s="1212"/>
      <c r="J56" s="1212"/>
      <c r="K56" s="1212"/>
      <c r="L56" s="1212"/>
      <c r="O56" s="1213"/>
      <c r="P56" s="1213"/>
      <c r="Q56" s="1213"/>
      <c r="R56" s="1213"/>
      <c r="S56" s="1213"/>
      <c r="T56" s="1213"/>
      <c r="U56" s="1213"/>
      <c r="V56" s="1213"/>
      <c r="W56" s="1213"/>
      <c r="X56" s="1213"/>
    </row>
    <row r="57" spans="1:24" ht="15.75" customHeight="1">
      <c r="A57" s="1264" t="s">
        <v>220</v>
      </c>
      <c r="B57" s="1247">
        <f>'[5]Druhova'!G53</f>
        <v>332608.76</v>
      </c>
      <c r="C57" s="1247">
        <f>'[5]Druhova'!B53</f>
        <v>185884</v>
      </c>
      <c r="D57" s="1247">
        <f>'[5]Druhova'!C53</f>
        <v>208975.54</v>
      </c>
      <c r="E57" s="1247">
        <f>'[5]Druhova'!D53</f>
        <v>340819.61</v>
      </c>
      <c r="F57" s="1247">
        <f t="shared" si="0"/>
        <v>163.09</v>
      </c>
      <c r="G57" s="1248">
        <f t="shared" si="1"/>
        <v>102.47</v>
      </c>
      <c r="H57" s="1212"/>
      <c r="I57" s="1212"/>
      <c r="J57" s="1212"/>
      <c r="K57" s="1212"/>
      <c r="L57" s="1212"/>
      <c r="O57" s="1213"/>
      <c r="P57" s="1213"/>
      <c r="Q57" s="1213"/>
      <c r="R57" s="1213"/>
      <c r="S57" s="1213"/>
      <c r="T57" s="1213"/>
      <c r="U57" s="1213"/>
      <c r="V57" s="1213"/>
      <c r="W57" s="1213"/>
      <c r="X57" s="1213"/>
    </row>
    <row r="58" spans="1:24" ht="15.75" customHeight="1">
      <c r="A58" s="1264" t="s">
        <v>221</v>
      </c>
      <c r="B58" s="1247">
        <f>'[5]Druhova'!G54</f>
        <v>0</v>
      </c>
      <c r="C58" s="1247">
        <f>'[5]Druhova'!B54</f>
        <v>0</v>
      </c>
      <c r="D58" s="1247">
        <f>'[5]Druhova'!C54</f>
        <v>0</v>
      </c>
      <c r="E58" s="1247">
        <f>'[5]Druhova'!D54</f>
        <v>0</v>
      </c>
      <c r="F58" s="1247">
        <f t="shared" si="0"/>
      </c>
      <c r="G58" s="1248">
        <f t="shared" si="1"/>
      </c>
      <c r="H58" s="1212"/>
      <c r="I58" s="1212"/>
      <c r="J58" s="1212"/>
      <c r="K58" s="1212"/>
      <c r="L58" s="1212"/>
      <c r="O58" s="1213"/>
      <c r="P58" s="1213"/>
      <c r="Q58" s="1213"/>
      <c r="R58" s="1213"/>
      <c r="S58" s="1213"/>
      <c r="T58" s="1213"/>
      <c r="U58" s="1213"/>
      <c r="V58" s="1213"/>
      <c r="W58" s="1213"/>
      <c r="X58" s="1213"/>
    </row>
    <row r="59" spans="1:24" ht="15.75" customHeight="1">
      <c r="A59" s="1264" t="s">
        <v>222</v>
      </c>
      <c r="B59" s="1247">
        <f>'[5]Druhova'!G55</f>
        <v>0</v>
      </c>
      <c r="C59" s="1247">
        <f>'[5]Druhova'!B55</f>
        <v>0</v>
      </c>
      <c r="D59" s="1247">
        <f>'[5]Druhova'!C55</f>
        <v>0</v>
      </c>
      <c r="E59" s="1247">
        <f>'[5]Druhova'!D55</f>
        <v>0</v>
      </c>
      <c r="F59" s="1247">
        <f t="shared" si="0"/>
      </c>
      <c r="G59" s="1248">
        <f t="shared" si="1"/>
      </c>
      <c r="H59" s="1212"/>
      <c r="I59" s="1212"/>
      <c r="J59" s="1212"/>
      <c r="K59" s="1212"/>
      <c r="L59" s="1212"/>
      <c r="O59" s="1213"/>
      <c r="P59" s="1213"/>
      <c r="Q59" s="1213"/>
      <c r="R59" s="1213"/>
      <c r="S59" s="1213"/>
      <c r="T59" s="1213"/>
      <c r="U59" s="1213"/>
      <c r="V59" s="1213"/>
      <c r="W59" s="1213"/>
      <c r="X59" s="1213"/>
    </row>
    <row r="60" spans="1:14" s="1245" customFormat="1" ht="15.75" customHeight="1">
      <c r="A60" s="1264" t="s">
        <v>223</v>
      </c>
      <c r="B60" s="1247">
        <f>'[5]Druhova'!G56</f>
        <v>0</v>
      </c>
      <c r="C60" s="1247">
        <f>'[5]Druhova'!B56</f>
        <v>0</v>
      </c>
      <c r="D60" s="1247">
        <f>'[5]Druhova'!C56</f>
        <v>0</v>
      </c>
      <c r="E60" s="1247">
        <f>'[5]Druhova'!D56</f>
        <v>0</v>
      </c>
      <c r="F60" s="1247">
        <f t="shared" si="0"/>
      </c>
      <c r="G60" s="1248">
        <f t="shared" si="1"/>
      </c>
      <c r="H60" s="1244"/>
      <c r="I60" s="1244"/>
      <c r="J60" s="1244"/>
      <c r="K60" s="1244"/>
      <c r="L60" s="1244"/>
      <c r="M60" s="1244"/>
      <c r="N60" s="1244"/>
    </row>
    <row r="61" spans="1:24" ht="23.25" customHeight="1">
      <c r="A61" s="1265" t="s">
        <v>224</v>
      </c>
      <c r="B61" s="1250">
        <f>'[5]Druhova'!G57</f>
        <v>334651.31</v>
      </c>
      <c r="C61" s="1250">
        <f>'[5]Druhova'!B57</f>
        <v>189217</v>
      </c>
      <c r="D61" s="1250">
        <f>'[5]Druhova'!C57</f>
        <v>210537.78</v>
      </c>
      <c r="E61" s="1250">
        <f>'[5]Druhova'!D57</f>
        <v>342320.15</v>
      </c>
      <c r="F61" s="1250">
        <f t="shared" si="0"/>
        <v>162.59</v>
      </c>
      <c r="G61" s="1251">
        <f t="shared" si="1"/>
        <v>102.29</v>
      </c>
      <c r="H61" s="1212"/>
      <c r="I61" s="1212"/>
      <c r="J61" s="1212"/>
      <c r="K61" s="1212"/>
      <c r="L61" s="1212"/>
      <c r="O61" s="1213"/>
      <c r="P61" s="1213"/>
      <c r="Q61" s="1213"/>
      <c r="R61" s="1213"/>
      <c r="S61" s="1213"/>
      <c r="T61" s="1213"/>
      <c r="U61" s="1213"/>
      <c r="V61" s="1213"/>
      <c r="W61" s="1213"/>
      <c r="X61" s="1213"/>
    </row>
    <row r="62" spans="1:24" ht="16.5" customHeight="1">
      <c r="A62" s="1264" t="s">
        <v>225</v>
      </c>
      <c r="B62" s="1247">
        <f>'[5]Druhova'!G58</f>
        <v>0</v>
      </c>
      <c r="C62" s="1247">
        <f>'[5]Druhova'!B58</f>
        <v>0</v>
      </c>
      <c r="D62" s="1247">
        <f>'[5]Druhova'!C58</f>
        <v>0</v>
      </c>
      <c r="E62" s="1247">
        <f>'[5]Druhova'!D58</f>
        <v>0</v>
      </c>
      <c r="F62" s="1247">
        <f t="shared" si="0"/>
      </c>
      <c r="G62" s="1248">
        <f t="shared" si="1"/>
      </c>
      <c r="H62" s="1212"/>
      <c r="I62" s="1212"/>
      <c r="J62" s="1212"/>
      <c r="K62" s="1212"/>
      <c r="L62" s="1212"/>
      <c r="O62" s="1213"/>
      <c r="P62" s="1213"/>
      <c r="Q62" s="1213"/>
      <c r="R62" s="1213"/>
      <c r="S62" s="1213"/>
      <c r="T62" s="1213"/>
      <c r="U62" s="1213"/>
      <c r="V62" s="1213"/>
      <c r="W62" s="1213"/>
      <c r="X62" s="1213"/>
    </row>
    <row r="63" spans="1:24" ht="22.5" customHeight="1">
      <c r="A63" s="1264" t="s">
        <v>226</v>
      </c>
      <c r="B63" s="1247">
        <f>'[5]Druhova'!G59</f>
        <v>0</v>
      </c>
      <c r="C63" s="1247">
        <f>'[5]Druhova'!B59</f>
        <v>0</v>
      </c>
      <c r="D63" s="1247">
        <f>'[5]Druhova'!C59</f>
        <v>0</v>
      </c>
      <c r="E63" s="1247">
        <f>'[5]Druhova'!D59</f>
        <v>0</v>
      </c>
      <c r="F63" s="1247">
        <f t="shared" si="0"/>
      </c>
      <c r="G63" s="1248">
        <f t="shared" si="1"/>
      </c>
      <c r="H63" s="1212"/>
      <c r="I63" s="1212"/>
      <c r="J63" s="1212"/>
      <c r="K63" s="1212"/>
      <c r="L63" s="1212"/>
      <c r="O63" s="1213"/>
      <c r="P63" s="1213"/>
      <c r="Q63" s="1213"/>
      <c r="R63" s="1213"/>
      <c r="S63" s="1213"/>
      <c r="T63" s="1213"/>
      <c r="U63" s="1213"/>
      <c r="V63" s="1213"/>
      <c r="W63" s="1213"/>
      <c r="X63" s="1213"/>
    </row>
    <row r="64" spans="1:24" ht="22.5" customHeight="1">
      <c r="A64" s="1264" t="s">
        <v>508</v>
      </c>
      <c r="B64" s="1247">
        <f>'[5]Druhova'!G60</f>
        <v>0</v>
      </c>
      <c r="C64" s="1247">
        <f>'[5]Druhova'!B60</f>
        <v>0</v>
      </c>
      <c r="D64" s="1247">
        <f>'[5]Druhova'!C60</f>
        <v>0</v>
      </c>
      <c r="E64" s="1247">
        <f>'[5]Druhova'!D60</f>
        <v>0</v>
      </c>
      <c r="F64" s="1247">
        <f t="shared" si="0"/>
      </c>
      <c r="G64" s="1248">
        <f t="shared" si="1"/>
      </c>
      <c r="H64" s="1212"/>
      <c r="I64" s="1212"/>
      <c r="J64" s="1212"/>
      <c r="K64" s="1212"/>
      <c r="L64" s="1212"/>
      <c r="O64" s="1213"/>
      <c r="P64" s="1213"/>
      <c r="Q64" s="1213"/>
      <c r="R64" s="1213"/>
      <c r="S64" s="1213"/>
      <c r="T64" s="1213"/>
      <c r="U64" s="1213"/>
      <c r="V64" s="1213"/>
      <c r="W64" s="1213"/>
      <c r="X64" s="1213"/>
    </row>
    <row r="65" spans="1:24" ht="22.5" customHeight="1">
      <c r="A65" s="1264" t="s">
        <v>509</v>
      </c>
      <c r="B65" s="1247">
        <f>'[5]Druhova'!G61</f>
        <v>0</v>
      </c>
      <c r="C65" s="1247">
        <f>'[5]Druhova'!B61</f>
        <v>0</v>
      </c>
      <c r="D65" s="1247">
        <f>'[5]Druhova'!C61</f>
        <v>0</v>
      </c>
      <c r="E65" s="1247">
        <f>'[5]Druhova'!D61</f>
        <v>0</v>
      </c>
      <c r="F65" s="1247">
        <f t="shared" si="0"/>
      </c>
      <c r="G65" s="1248">
        <f t="shared" si="1"/>
      </c>
      <c r="H65" s="1212"/>
      <c r="I65" s="1212"/>
      <c r="J65" s="1212"/>
      <c r="K65" s="1212"/>
      <c r="L65" s="1212"/>
      <c r="O65" s="1213"/>
      <c r="P65" s="1213"/>
      <c r="Q65" s="1213"/>
      <c r="R65" s="1213"/>
      <c r="S65" s="1213"/>
      <c r="T65" s="1213"/>
      <c r="U65" s="1213"/>
      <c r="V65" s="1213"/>
      <c r="W65" s="1213"/>
      <c r="X65" s="1213"/>
    </row>
    <row r="66" spans="1:24" ht="22.5" customHeight="1">
      <c r="A66" s="1264" t="s">
        <v>227</v>
      </c>
      <c r="B66" s="1247">
        <f>'[5]Druhova'!G62</f>
        <v>0</v>
      </c>
      <c r="C66" s="1247">
        <f>'[5]Druhova'!B62</f>
        <v>0</v>
      </c>
      <c r="D66" s="1247">
        <f>'[5]Druhova'!C62</f>
        <v>0</v>
      </c>
      <c r="E66" s="1247">
        <f>'[5]Druhova'!D62</f>
        <v>0</v>
      </c>
      <c r="F66" s="1247">
        <f t="shared" si="0"/>
      </c>
      <c r="G66" s="1248">
        <f t="shared" si="1"/>
      </c>
      <c r="H66" s="1212"/>
      <c r="I66" s="1212"/>
      <c r="J66" s="1212"/>
      <c r="K66" s="1212"/>
      <c r="L66" s="1212"/>
      <c r="O66" s="1213"/>
      <c r="P66" s="1213"/>
      <c r="Q66" s="1213"/>
      <c r="R66" s="1213"/>
      <c r="S66" s="1213"/>
      <c r="T66" s="1213"/>
      <c r="U66" s="1213"/>
      <c r="V66" s="1213"/>
      <c r="W66" s="1213"/>
      <c r="X66" s="1213"/>
    </row>
    <row r="67" spans="1:24" ht="12.75">
      <c r="A67" s="1264" t="s">
        <v>228</v>
      </c>
      <c r="B67" s="1247">
        <f>'[5]Druhova'!G63</f>
        <v>0</v>
      </c>
      <c r="C67" s="1247">
        <f>'[5]Druhova'!B63</f>
        <v>0</v>
      </c>
      <c r="D67" s="1247">
        <f>'[5]Druhova'!C63</f>
        <v>0</v>
      </c>
      <c r="E67" s="1247">
        <f>'[5]Druhova'!D63</f>
        <v>0</v>
      </c>
      <c r="F67" s="1247">
        <f t="shared" si="0"/>
      </c>
      <c r="G67" s="1248">
        <f t="shared" si="1"/>
      </c>
      <c r="H67" s="1212"/>
      <c r="I67" s="1212"/>
      <c r="J67" s="1212"/>
      <c r="K67" s="1212"/>
      <c r="L67" s="1212"/>
      <c r="O67" s="1213"/>
      <c r="P67" s="1213"/>
      <c r="Q67" s="1213"/>
      <c r="R67" s="1213"/>
      <c r="S67" s="1213"/>
      <c r="T67" s="1213"/>
      <c r="U67" s="1213"/>
      <c r="V67" s="1213"/>
      <c r="W67" s="1213"/>
      <c r="X67" s="1213"/>
    </row>
    <row r="68" spans="1:24" ht="12.75">
      <c r="A68" s="1264" t="s">
        <v>229</v>
      </c>
      <c r="B68" s="1247">
        <f>'[5]Druhova'!G64</f>
        <v>0</v>
      </c>
      <c r="C68" s="1247">
        <f>'[5]Druhova'!B64</f>
        <v>0</v>
      </c>
      <c r="D68" s="1247">
        <f>'[5]Druhova'!C64</f>
        <v>0</v>
      </c>
      <c r="E68" s="1247">
        <f>'[5]Druhova'!D64</f>
        <v>0</v>
      </c>
      <c r="F68" s="1247">
        <f t="shared" si="0"/>
      </c>
      <c r="G68" s="1248">
        <f t="shared" si="1"/>
      </c>
      <c r="H68" s="1212"/>
      <c r="I68" s="1212"/>
      <c r="J68" s="1212"/>
      <c r="K68" s="1212"/>
      <c r="L68" s="1212"/>
      <c r="O68" s="1213"/>
      <c r="P68" s="1213"/>
      <c r="Q68" s="1213"/>
      <c r="R68" s="1213"/>
      <c r="S68" s="1213"/>
      <c r="T68" s="1213"/>
      <c r="U68" s="1213"/>
      <c r="V68" s="1213"/>
      <c r="W68" s="1213"/>
      <c r="X68" s="1213"/>
    </row>
    <row r="69" spans="1:14" s="1245" customFormat="1" ht="12.75">
      <c r="A69" s="1264" t="s">
        <v>230</v>
      </c>
      <c r="B69" s="1247">
        <f>'[5]Druhova'!G65</f>
        <v>0</v>
      </c>
      <c r="C69" s="1247">
        <f>'[5]Druhova'!B65</f>
        <v>0</v>
      </c>
      <c r="D69" s="1247">
        <f>'[5]Druhova'!C65</f>
        <v>0</v>
      </c>
      <c r="E69" s="1247">
        <f>'[5]Druhova'!D65</f>
        <v>0</v>
      </c>
      <c r="F69" s="1247">
        <f t="shared" si="0"/>
      </c>
      <c r="G69" s="1248">
        <f t="shared" si="1"/>
      </c>
      <c r="H69" s="1244"/>
      <c r="I69" s="1244"/>
      <c r="J69" s="1244"/>
      <c r="K69" s="1244"/>
      <c r="L69" s="1244"/>
      <c r="M69" s="1244"/>
      <c r="N69" s="1244"/>
    </row>
    <row r="70" spans="1:14" s="1245" customFormat="1" ht="17.25" customHeight="1">
      <c r="A70" s="1266" t="s">
        <v>231</v>
      </c>
      <c r="B70" s="1267">
        <f>'[5]Druhova'!G66</f>
        <v>0</v>
      </c>
      <c r="C70" s="1268">
        <f>'[5]Druhova'!B66</f>
        <v>0</v>
      </c>
      <c r="D70" s="1268">
        <f>'[5]Druhova'!C66</f>
        <v>0</v>
      </c>
      <c r="E70" s="1268">
        <f>'[5]Druhova'!D66</f>
        <v>0</v>
      </c>
      <c r="F70" s="1268">
        <f t="shared" si="0"/>
      </c>
      <c r="G70" s="1269">
        <f t="shared" si="1"/>
      </c>
      <c r="H70" s="1244"/>
      <c r="I70" s="1244"/>
      <c r="J70" s="1244"/>
      <c r="K70" s="1244"/>
      <c r="L70" s="1244"/>
      <c r="M70" s="1244"/>
      <c r="N70" s="1244"/>
    </row>
    <row r="71" spans="1:14" s="1245" customFormat="1" ht="17.25" customHeight="1">
      <c r="A71" s="1270" t="s">
        <v>232</v>
      </c>
      <c r="B71" s="1271">
        <f>'[5]Druhova'!G67</f>
        <v>0</v>
      </c>
      <c r="C71" s="1272">
        <f>'[5]Druhova'!B67</f>
        <v>0</v>
      </c>
      <c r="D71" s="1272">
        <f>'[5]Druhova'!C67</f>
        <v>0</v>
      </c>
      <c r="E71" s="1272">
        <f>'[5]Druhova'!D67</f>
        <v>0</v>
      </c>
      <c r="F71" s="1272">
        <f t="shared" si="0"/>
      </c>
      <c r="G71" s="1273">
        <f t="shared" si="1"/>
      </c>
      <c r="H71" s="1244"/>
      <c r="I71" s="1244"/>
      <c r="J71" s="1244"/>
      <c r="K71" s="1244"/>
      <c r="L71" s="1244"/>
      <c r="M71" s="1244"/>
      <c r="N71" s="1244"/>
    </row>
    <row r="72" spans="1:14" s="1245" customFormat="1" ht="17.25" customHeight="1" thickBot="1">
      <c r="A72" s="1274" t="s">
        <v>234</v>
      </c>
      <c r="B72" s="1267">
        <f>'[5]Druhova'!G68</f>
        <v>0</v>
      </c>
      <c r="C72" s="1268">
        <f>'[5]Druhova'!B68</f>
        <v>0</v>
      </c>
      <c r="D72" s="1268">
        <f>'[5]Druhova'!C68</f>
        <v>0</v>
      </c>
      <c r="E72" s="1268">
        <f>'[5]Druhova'!D68</f>
        <v>0</v>
      </c>
      <c r="F72" s="1268">
        <f t="shared" si="0"/>
      </c>
      <c r="G72" s="1269">
        <f t="shared" si="1"/>
      </c>
      <c r="H72" s="1244"/>
      <c r="I72" s="1244"/>
      <c r="J72" s="1244"/>
      <c r="K72" s="1244"/>
      <c r="L72" s="1244"/>
      <c r="M72" s="1244"/>
      <c r="N72" s="1244"/>
    </row>
    <row r="73" spans="1:14" s="1245" customFormat="1" ht="24.75" customHeight="1" thickBot="1">
      <c r="A73" s="1256" t="s">
        <v>235</v>
      </c>
      <c r="B73" s="1257">
        <f>'[5]Druhova'!G69</f>
        <v>594346.58</v>
      </c>
      <c r="C73" s="1258">
        <f>'[5]Druhova'!B69</f>
        <v>319318</v>
      </c>
      <c r="D73" s="1258">
        <f>'[5]Druhova'!C69</f>
        <v>375099.7</v>
      </c>
      <c r="E73" s="1258">
        <f>'[5]Druhova'!D69</f>
        <v>537725.72</v>
      </c>
      <c r="F73" s="1258">
        <f t="shared" si="0"/>
        <v>143.36</v>
      </c>
      <c r="G73" s="1259">
        <f t="shared" si="1"/>
        <v>90.47</v>
      </c>
      <c r="H73" s="1244"/>
      <c r="I73" s="1244"/>
      <c r="J73" s="1244"/>
      <c r="K73" s="1244"/>
      <c r="L73" s="1244"/>
      <c r="M73" s="1244"/>
      <c r="N73" s="1244"/>
    </row>
    <row r="74" spans="1:24" ht="18" customHeight="1">
      <c r="A74" s="1264" t="s">
        <v>510</v>
      </c>
      <c r="B74" s="1247">
        <f>'[5]Druhova'!G70</f>
        <v>257847.16</v>
      </c>
      <c r="C74" s="1247">
        <f>'[5]Druhova'!B70</f>
        <v>180682</v>
      </c>
      <c r="D74" s="1247">
        <f>'[5]Druhova'!C70</f>
        <v>188900.3</v>
      </c>
      <c r="E74" s="1247">
        <f>'[5]Druhova'!D70</f>
        <v>205355.1</v>
      </c>
      <c r="F74" s="1247">
        <f aca="true" t="shared" si="2" ref="F74:F137">IF(D74=0,"",E74/D74*100)</f>
        <v>108.71</v>
      </c>
      <c r="G74" s="1248">
        <f aca="true" t="shared" si="3" ref="G74:G137">IF(B74=0,"",E74/B74*100)</f>
        <v>79.64</v>
      </c>
      <c r="H74" s="1212"/>
      <c r="I74" s="1212"/>
      <c r="J74" s="1212"/>
      <c r="K74" s="1212"/>
      <c r="L74" s="1212"/>
      <c r="O74" s="1213"/>
      <c r="P74" s="1213"/>
      <c r="Q74" s="1213"/>
      <c r="R74" s="1213"/>
      <c r="S74" s="1213"/>
      <c r="T74" s="1213"/>
      <c r="U74" s="1213"/>
      <c r="V74" s="1213"/>
      <c r="W74" s="1213"/>
      <c r="X74" s="1213"/>
    </row>
    <row r="75" spans="1:14" s="1245" customFormat="1" ht="16.5" customHeight="1">
      <c r="A75" s="1264" t="s">
        <v>511</v>
      </c>
      <c r="B75" s="1247">
        <f>'[5]Druhova'!G71</f>
        <v>94930.37</v>
      </c>
      <c r="C75" s="1247">
        <f>'[5]Druhova'!B71</f>
        <v>100000</v>
      </c>
      <c r="D75" s="1247">
        <f>'[5]Druhova'!C71</f>
        <v>36000</v>
      </c>
      <c r="E75" s="1247">
        <f>'[5]Druhova'!D71</f>
        <v>112111.63</v>
      </c>
      <c r="F75" s="1247">
        <f t="shared" si="2"/>
        <v>311.42</v>
      </c>
      <c r="G75" s="1248">
        <f t="shared" si="3"/>
        <v>118.1</v>
      </c>
      <c r="H75" s="1244"/>
      <c r="I75" s="1244"/>
      <c r="J75" s="1244"/>
      <c r="K75" s="1244"/>
      <c r="L75" s="1244"/>
      <c r="M75" s="1244"/>
      <c r="N75" s="1244"/>
    </row>
    <row r="76" spans="1:24" ht="25.5" customHeight="1">
      <c r="A76" s="1265" t="s">
        <v>236</v>
      </c>
      <c r="B76" s="1250">
        <f>'[5]Druhova'!G72</f>
        <v>352777.53</v>
      </c>
      <c r="C76" s="1250">
        <f>'[5]Druhova'!B72</f>
        <v>280682</v>
      </c>
      <c r="D76" s="1250">
        <f>'[5]Druhova'!C72</f>
        <v>224900.3</v>
      </c>
      <c r="E76" s="1250">
        <f>'[5]Druhova'!D72</f>
        <v>317466.72</v>
      </c>
      <c r="F76" s="1250">
        <f t="shared" si="2"/>
        <v>141.16</v>
      </c>
      <c r="G76" s="1251">
        <f t="shared" si="3"/>
        <v>89.99</v>
      </c>
      <c r="H76" s="1212"/>
      <c r="I76" s="1212"/>
      <c r="J76" s="1212"/>
      <c r="K76" s="1212"/>
      <c r="L76" s="1212"/>
      <c r="O76" s="1213"/>
      <c r="P76" s="1213"/>
      <c r="Q76" s="1213"/>
      <c r="R76" s="1213"/>
      <c r="S76" s="1213"/>
      <c r="T76" s="1213"/>
      <c r="U76" s="1213"/>
      <c r="V76" s="1213"/>
      <c r="W76" s="1213"/>
      <c r="X76" s="1213"/>
    </row>
    <row r="77" spans="1:14" s="1245" customFormat="1" ht="18" customHeight="1">
      <c r="A77" s="1264" t="s">
        <v>237</v>
      </c>
      <c r="B77" s="1247">
        <f>'[5]Druhova'!G73</f>
        <v>0</v>
      </c>
      <c r="C77" s="1247">
        <f>'[5]Druhova'!B73</f>
        <v>0</v>
      </c>
      <c r="D77" s="1247">
        <f>'[5]Druhova'!C73</f>
        <v>0</v>
      </c>
      <c r="E77" s="1247">
        <f>'[5]Druhova'!D73</f>
        <v>0</v>
      </c>
      <c r="F77" s="1247">
        <f t="shared" si="2"/>
      </c>
      <c r="G77" s="1248">
        <f t="shared" si="3"/>
      </c>
      <c r="H77" s="1244"/>
      <c r="I77" s="1244"/>
      <c r="J77" s="1244"/>
      <c r="K77" s="1244"/>
      <c r="L77" s="1244"/>
      <c r="M77" s="1244"/>
      <c r="N77" s="1244"/>
    </row>
    <row r="78" spans="1:14" s="1245" customFormat="1" ht="24.75" thickBot="1">
      <c r="A78" s="1265" t="s">
        <v>237</v>
      </c>
      <c r="B78" s="1253">
        <f>'[5]Druhova'!G74</f>
        <v>0</v>
      </c>
      <c r="C78" s="1254">
        <f>'[5]Druhova'!B74</f>
        <v>0</v>
      </c>
      <c r="D78" s="1254">
        <f>'[5]Druhova'!C74</f>
        <v>0</v>
      </c>
      <c r="E78" s="1254">
        <f>'[5]Druhova'!D74</f>
        <v>0</v>
      </c>
      <c r="F78" s="1254">
        <f t="shared" si="2"/>
      </c>
      <c r="G78" s="1255">
        <f t="shared" si="3"/>
      </c>
      <c r="H78" s="1244"/>
      <c r="I78" s="1244"/>
      <c r="J78" s="1244"/>
      <c r="K78" s="1244"/>
      <c r="L78" s="1244"/>
      <c r="M78" s="1244"/>
      <c r="N78" s="1244"/>
    </row>
    <row r="79" spans="1:14" s="1245" customFormat="1" ht="24.75" customHeight="1" thickBot="1">
      <c r="A79" s="1275" t="s">
        <v>238</v>
      </c>
      <c r="B79" s="1261">
        <f>'[5]Druhova'!G75</f>
        <v>352777.53</v>
      </c>
      <c r="C79" s="1262">
        <f>'[5]Druhova'!B75</f>
        <v>280682</v>
      </c>
      <c r="D79" s="1262">
        <f>'[5]Druhova'!C75</f>
        <v>224900.3</v>
      </c>
      <c r="E79" s="1262">
        <f>'[5]Druhova'!D75</f>
        <v>317466.72</v>
      </c>
      <c r="F79" s="1262">
        <f t="shared" si="2"/>
        <v>141.16</v>
      </c>
      <c r="G79" s="1263">
        <f t="shared" si="3"/>
        <v>89.99</v>
      </c>
      <c r="H79" s="1244"/>
      <c r="I79" s="1244"/>
      <c r="J79" s="1244"/>
      <c r="K79" s="1244"/>
      <c r="L79" s="1244"/>
      <c r="M79" s="1244"/>
      <c r="N79" s="1244"/>
    </row>
    <row r="80" spans="1:24" ht="22.5">
      <c r="A80" s="1264" t="s">
        <v>239</v>
      </c>
      <c r="B80" s="1247">
        <f>'[5]Druhova'!G76</f>
        <v>398028.17</v>
      </c>
      <c r="C80" s="1247">
        <f>'[5]Druhova'!B76</f>
        <v>27800</v>
      </c>
      <c r="D80" s="1247">
        <f>'[5]Druhova'!C76</f>
        <v>36849.85</v>
      </c>
      <c r="E80" s="1247">
        <f>'[5]Druhova'!D76</f>
        <v>242263.19</v>
      </c>
      <c r="F80" s="1247">
        <f t="shared" si="2"/>
        <v>657.43</v>
      </c>
      <c r="G80" s="1248">
        <f t="shared" si="3"/>
        <v>60.87</v>
      </c>
      <c r="H80" s="1212"/>
      <c r="I80" s="1212"/>
      <c r="J80" s="1212"/>
      <c r="K80" s="1212"/>
      <c r="L80" s="1212"/>
      <c r="O80" s="1213"/>
      <c r="P80" s="1213"/>
      <c r="Q80" s="1213"/>
      <c r="R80" s="1213"/>
      <c r="S80" s="1213"/>
      <c r="T80" s="1213"/>
      <c r="U80" s="1213"/>
      <c r="V80" s="1213"/>
      <c r="W80" s="1213"/>
      <c r="X80" s="1213"/>
    </row>
    <row r="81" spans="1:24" ht="16.5" customHeight="1">
      <c r="A81" s="1264" t="s">
        <v>240</v>
      </c>
      <c r="B81" s="1247">
        <f>'[5]Druhova'!G77</f>
        <v>398028.17</v>
      </c>
      <c r="C81" s="1247">
        <f>'[5]Druhova'!B77</f>
        <v>27800</v>
      </c>
      <c r="D81" s="1247">
        <f>'[5]Druhova'!C77</f>
        <v>36849.85</v>
      </c>
      <c r="E81" s="1247">
        <f>'[5]Druhova'!D77</f>
        <v>242263.19</v>
      </c>
      <c r="F81" s="1247">
        <f t="shared" si="2"/>
        <v>657.43</v>
      </c>
      <c r="G81" s="1248">
        <f t="shared" si="3"/>
        <v>60.87</v>
      </c>
      <c r="H81" s="1212"/>
      <c r="I81" s="1212"/>
      <c r="J81" s="1212"/>
      <c r="K81" s="1212"/>
      <c r="L81" s="1212"/>
      <c r="O81" s="1213"/>
      <c r="P81" s="1213"/>
      <c r="Q81" s="1213"/>
      <c r="R81" s="1213"/>
      <c r="S81" s="1213"/>
      <c r="T81" s="1213"/>
      <c r="U81" s="1213"/>
      <c r="V81" s="1213"/>
      <c r="W81" s="1213"/>
      <c r="X81" s="1213"/>
    </row>
    <row r="82" spans="1:24" ht="22.5" customHeight="1">
      <c r="A82" s="1264" t="s">
        <v>241</v>
      </c>
      <c r="B82" s="1247">
        <f>'[5]Druhova'!G78</f>
        <v>0</v>
      </c>
      <c r="C82" s="1247">
        <f>'[5]Druhova'!B78</f>
        <v>0</v>
      </c>
      <c r="D82" s="1247">
        <f>'[5]Druhova'!C78</f>
        <v>0</v>
      </c>
      <c r="E82" s="1247">
        <f>'[5]Druhova'!D78</f>
        <v>0</v>
      </c>
      <c r="F82" s="1247">
        <f t="shared" si="2"/>
      </c>
      <c r="G82" s="1248">
        <f t="shared" si="3"/>
      </c>
      <c r="H82" s="1212"/>
      <c r="I82" s="1212"/>
      <c r="J82" s="1212"/>
      <c r="K82" s="1212"/>
      <c r="L82" s="1212"/>
      <c r="O82" s="1213"/>
      <c r="P82" s="1213"/>
      <c r="Q82" s="1213"/>
      <c r="R82" s="1213"/>
      <c r="S82" s="1213"/>
      <c r="T82" s="1213"/>
      <c r="U82" s="1213"/>
      <c r="V82" s="1213"/>
      <c r="W82" s="1213"/>
      <c r="X82" s="1213"/>
    </row>
    <row r="83" spans="1:24" ht="15.75" customHeight="1">
      <c r="A83" s="1264" t="s">
        <v>242</v>
      </c>
      <c r="B83" s="1247">
        <f>'[5]Druhova'!G79</f>
        <v>82327.25</v>
      </c>
      <c r="C83" s="1247">
        <f>'[5]Druhova'!B79</f>
        <v>0</v>
      </c>
      <c r="D83" s="1247">
        <f>'[5]Druhova'!C79</f>
        <v>0</v>
      </c>
      <c r="E83" s="1247">
        <f>'[5]Druhova'!D79</f>
        <v>75032.81</v>
      </c>
      <c r="F83" s="1247">
        <f t="shared" si="2"/>
      </c>
      <c r="G83" s="1248">
        <f t="shared" si="3"/>
        <v>91.14</v>
      </c>
      <c r="H83" s="1212"/>
      <c r="I83" s="1212"/>
      <c r="J83" s="1212"/>
      <c r="K83" s="1212"/>
      <c r="L83" s="1212"/>
      <c r="O83" s="1213"/>
      <c r="P83" s="1213"/>
      <c r="Q83" s="1213"/>
      <c r="R83" s="1213"/>
      <c r="S83" s="1213"/>
      <c r="T83" s="1213"/>
      <c r="U83" s="1213"/>
      <c r="V83" s="1213"/>
      <c r="W83" s="1213"/>
      <c r="X83" s="1213"/>
    </row>
    <row r="84" spans="1:24" ht="15.75" customHeight="1">
      <c r="A84" s="1264" t="s">
        <v>243</v>
      </c>
      <c r="B84" s="1247">
        <f>'[5]Druhova'!G80</f>
        <v>59003.32</v>
      </c>
      <c r="C84" s="1247">
        <f>'[5]Druhova'!B80</f>
        <v>231045</v>
      </c>
      <c r="D84" s="1247">
        <f>'[5]Druhova'!C80</f>
        <v>231045</v>
      </c>
      <c r="E84" s="1247">
        <f>'[5]Druhova'!D80</f>
        <v>187217.12</v>
      </c>
      <c r="F84" s="1247">
        <f t="shared" si="2"/>
        <v>81.03</v>
      </c>
      <c r="G84" s="1248">
        <f t="shared" si="3"/>
        <v>317.3</v>
      </c>
      <c r="H84" s="1212"/>
      <c r="I84" s="1212"/>
      <c r="J84" s="1212"/>
      <c r="K84" s="1212"/>
      <c r="L84" s="1212"/>
      <c r="O84" s="1213"/>
      <c r="P84" s="1213"/>
      <c r="Q84" s="1213"/>
      <c r="R84" s="1213"/>
      <c r="S84" s="1213"/>
      <c r="T84" s="1213"/>
      <c r="U84" s="1213"/>
      <c r="V84" s="1213"/>
      <c r="W84" s="1213"/>
      <c r="X84" s="1213"/>
    </row>
    <row r="85" spans="1:24" ht="12.75">
      <c r="A85" s="1264" t="s">
        <v>244</v>
      </c>
      <c r="B85" s="1247">
        <f>'[5]Druhova'!G81</f>
        <v>57870.19</v>
      </c>
      <c r="C85" s="1247">
        <f>'[5]Druhova'!B81</f>
        <v>231045</v>
      </c>
      <c r="D85" s="1247">
        <f>'[5]Druhova'!C81</f>
        <v>231045</v>
      </c>
      <c r="E85" s="1247">
        <f>'[5]Druhova'!D81</f>
        <v>184617.42</v>
      </c>
      <c r="F85" s="1247">
        <f t="shared" si="2"/>
        <v>79.91</v>
      </c>
      <c r="G85" s="1248">
        <f t="shared" si="3"/>
        <v>319.02</v>
      </c>
      <c r="H85" s="1212"/>
      <c r="I85" s="1212"/>
      <c r="J85" s="1212"/>
      <c r="K85" s="1212"/>
      <c r="L85" s="1212"/>
      <c r="O85" s="1213"/>
      <c r="P85" s="1213"/>
      <c r="Q85" s="1213"/>
      <c r="R85" s="1213"/>
      <c r="S85" s="1213"/>
      <c r="T85" s="1213"/>
      <c r="U85" s="1213"/>
      <c r="V85" s="1213"/>
      <c r="W85" s="1213"/>
      <c r="X85" s="1213"/>
    </row>
    <row r="86" spans="1:14" s="1245" customFormat="1" ht="15.75" customHeight="1">
      <c r="A86" s="1264" t="s">
        <v>245</v>
      </c>
      <c r="B86" s="1247">
        <f>'[5]Druhova'!G82</f>
        <v>0</v>
      </c>
      <c r="C86" s="1247">
        <f>'[5]Druhova'!B82</f>
        <v>0</v>
      </c>
      <c r="D86" s="1247">
        <f>'[5]Druhova'!C82</f>
        <v>0</v>
      </c>
      <c r="E86" s="1247">
        <f>'[5]Druhova'!D82</f>
        <v>0</v>
      </c>
      <c r="F86" s="1247">
        <f t="shared" si="2"/>
      </c>
      <c r="G86" s="1248">
        <f t="shared" si="3"/>
      </c>
      <c r="H86" s="1244"/>
      <c r="I86" s="1244"/>
      <c r="J86" s="1244"/>
      <c r="K86" s="1244"/>
      <c r="L86" s="1244"/>
      <c r="M86" s="1244"/>
      <c r="N86" s="1244"/>
    </row>
    <row r="87" spans="1:24" ht="17.25" customHeight="1">
      <c r="A87" s="1265" t="s">
        <v>246</v>
      </c>
      <c r="B87" s="1250">
        <f>'[5]Druhova'!G83</f>
        <v>539358.73</v>
      </c>
      <c r="C87" s="1250">
        <f>'[5]Druhova'!B83</f>
        <v>258845</v>
      </c>
      <c r="D87" s="1250">
        <f>'[5]Druhova'!C83</f>
        <v>267894.85</v>
      </c>
      <c r="E87" s="1250">
        <f>'[5]Druhova'!D83</f>
        <v>504513.12</v>
      </c>
      <c r="F87" s="1250">
        <f t="shared" si="2"/>
        <v>188.33</v>
      </c>
      <c r="G87" s="1251">
        <f t="shared" si="3"/>
        <v>93.54</v>
      </c>
      <c r="H87" s="1212"/>
      <c r="I87" s="1212"/>
      <c r="J87" s="1212"/>
      <c r="K87" s="1212"/>
      <c r="L87" s="1212"/>
      <c r="O87" s="1213"/>
      <c r="P87" s="1213"/>
      <c r="Q87" s="1213"/>
      <c r="R87" s="1213"/>
      <c r="S87" s="1213"/>
      <c r="T87" s="1213"/>
      <c r="U87" s="1213"/>
      <c r="V87" s="1213"/>
      <c r="W87" s="1213"/>
      <c r="X87" s="1213"/>
    </row>
    <row r="88" spans="1:24" ht="22.5">
      <c r="A88" s="1264" t="s">
        <v>247</v>
      </c>
      <c r="B88" s="1247">
        <f>'[5]Druhova'!G84</f>
        <v>846462.28</v>
      </c>
      <c r="C88" s="1247">
        <f>'[5]Druhova'!B84</f>
        <v>281773</v>
      </c>
      <c r="D88" s="1247">
        <f>'[5]Druhova'!C84</f>
        <v>1026473.1</v>
      </c>
      <c r="E88" s="1247">
        <f>'[5]Druhova'!D84</f>
        <v>179148.78</v>
      </c>
      <c r="F88" s="1247">
        <f t="shared" si="2"/>
        <v>17.45</v>
      </c>
      <c r="G88" s="1248">
        <f t="shared" si="3"/>
        <v>21.16</v>
      </c>
      <c r="H88" s="1212"/>
      <c r="I88" s="1212"/>
      <c r="J88" s="1212"/>
      <c r="K88" s="1212"/>
      <c r="L88" s="1212"/>
      <c r="O88" s="1213"/>
      <c r="P88" s="1213"/>
      <c r="Q88" s="1213"/>
      <c r="R88" s="1213"/>
      <c r="S88" s="1213"/>
      <c r="T88" s="1213"/>
      <c r="U88" s="1213"/>
      <c r="V88" s="1213"/>
      <c r="W88" s="1213"/>
      <c r="X88" s="1213"/>
    </row>
    <row r="89" spans="1:24" ht="12.75">
      <c r="A89" s="1264" t="s">
        <v>248</v>
      </c>
      <c r="B89" s="1247">
        <f>'[5]Druhova'!G85</f>
        <v>846462.28</v>
      </c>
      <c r="C89" s="1247">
        <f>'[5]Druhova'!B85</f>
        <v>281773</v>
      </c>
      <c r="D89" s="1247">
        <f>'[5]Druhova'!C85</f>
        <v>1026473.1</v>
      </c>
      <c r="E89" s="1247">
        <f>'[5]Druhova'!D85</f>
        <v>179148.78</v>
      </c>
      <c r="F89" s="1247">
        <f t="shared" si="2"/>
        <v>17.45</v>
      </c>
      <c r="G89" s="1248">
        <f t="shared" si="3"/>
        <v>21.16</v>
      </c>
      <c r="H89" s="1212"/>
      <c r="I89" s="1212"/>
      <c r="J89" s="1212"/>
      <c r="K89" s="1212"/>
      <c r="L89" s="1212"/>
      <c r="O89" s="1213"/>
      <c r="P89" s="1213"/>
      <c r="Q89" s="1213"/>
      <c r="R89" s="1213"/>
      <c r="S89" s="1213"/>
      <c r="T89" s="1213"/>
      <c r="U89" s="1213"/>
      <c r="V89" s="1213"/>
      <c r="W89" s="1213"/>
      <c r="X89" s="1213"/>
    </row>
    <row r="90" spans="1:24" ht="22.5">
      <c r="A90" s="1264" t="s">
        <v>249</v>
      </c>
      <c r="B90" s="1247">
        <f>'[5]Druhova'!G86</f>
        <v>0</v>
      </c>
      <c r="C90" s="1247">
        <f>'[5]Druhova'!B86</f>
        <v>0</v>
      </c>
      <c r="D90" s="1247">
        <f>'[5]Druhova'!C86</f>
        <v>0</v>
      </c>
      <c r="E90" s="1247">
        <f>'[5]Druhova'!D86</f>
        <v>0</v>
      </c>
      <c r="F90" s="1247">
        <f t="shared" si="2"/>
      </c>
      <c r="G90" s="1248">
        <f t="shared" si="3"/>
      </c>
      <c r="H90" s="1212"/>
      <c r="I90" s="1212"/>
      <c r="J90" s="1212"/>
      <c r="K90" s="1212"/>
      <c r="L90" s="1212"/>
      <c r="O90" s="1213"/>
      <c r="P90" s="1213"/>
      <c r="Q90" s="1213"/>
      <c r="R90" s="1213"/>
      <c r="S90" s="1213"/>
      <c r="T90" s="1213"/>
      <c r="U90" s="1213"/>
      <c r="V90" s="1213"/>
      <c r="W90" s="1213"/>
      <c r="X90" s="1213"/>
    </row>
    <row r="91" spans="1:24" ht="15.75" customHeight="1">
      <c r="A91" s="1264" t="s">
        <v>250</v>
      </c>
      <c r="B91" s="1247">
        <f>'[5]Druhova'!G87</f>
        <v>11414.53</v>
      </c>
      <c r="C91" s="1247">
        <f>'[5]Druhova'!B87</f>
        <v>0</v>
      </c>
      <c r="D91" s="1247">
        <f>'[5]Druhova'!C87</f>
        <v>0</v>
      </c>
      <c r="E91" s="1247">
        <f>'[5]Druhova'!D87</f>
        <v>12233.92</v>
      </c>
      <c r="F91" s="1247">
        <f t="shared" si="2"/>
      </c>
      <c r="G91" s="1248">
        <f t="shared" si="3"/>
        <v>107.18</v>
      </c>
      <c r="H91" s="1212"/>
      <c r="I91" s="1212"/>
      <c r="J91" s="1212"/>
      <c r="K91" s="1212"/>
      <c r="L91" s="1212"/>
      <c r="O91" s="1213"/>
      <c r="P91" s="1213"/>
      <c r="Q91" s="1213"/>
      <c r="R91" s="1213"/>
      <c r="S91" s="1213"/>
      <c r="T91" s="1213"/>
      <c r="U91" s="1213"/>
      <c r="V91" s="1213"/>
      <c r="W91" s="1213"/>
      <c r="X91" s="1213"/>
    </row>
    <row r="92" spans="1:24" ht="15.75" customHeight="1">
      <c r="A92" s="1264" t="s">
        <v>251</v>
      </c>
      <c r="B92" s="1247">
        <f>'[5]Druhova'!G88</f>
        <v>11010.71</v>
      </c>
      <c r="C92" s="1247">
        <f>'[5]Druhova'!B88</f>
        <v>0</v>
      </c>
      <c r="D92" s="1247">
        <f>'[5]Druhova'!C88</f>
        <v>0</v>
      </c>
      <c r="E92" s="1247">
        <f>'[5]Druhova'!D88</f>
        <v>12233.92</v>
      </c>
      <c r="F92" s="1247">
        <f t="shared" si="2"/>
      </c>
      <c r="G92" s="1248">
        <f t="shared" si="3"/>
        <v>111.11</v>
      </c>
      <c r="H92" s="1212"/>
      <c r="I92" s="1212"/>
      <c r="J92" s="1212"/>
      <c r="K92" s="1212"/>
      <c r="L92" s="1212"/>
      <c r="O92" s="1213"/>
      <c r="P92" s="1213"/>
      <c r="Q92" s="1213"/>
      <c r="R92" s="1213"/>
      <c r="S92" s="1213"/>
      <c r="T92" s="1213"/>
      <c r="U92" s="1213"/>
      <c r="V92" s="1213"/>
      <c r="W92" s="1213"/>
      <c r="X92" s="1213"/>
    </row>
    <row r="93" spans="1:14" s="1245" customFormat="1" ht="15.75" customHeight="1">
      <c r="A93" s="1264" t="s">
        <v>252</v>
      </c>
      <c r="B93" s="1247">
        <f>'[5]Druhova'!G89</f>
        <v>0</v>
      </c>
      <c r="C93" s="1247">
        <f>'[5]Druhova'!B89</f>
        <v>0</v>
      </c>
      <c r="D93" s="1247">
        <f>'[5]Druhova'!C89</f>
        <v>0</v>
      </c>
      <c r="E93" s="1247">
        <f>'[5]Druhova'!D89</f>
        <v>0</v>
      </c>
      <c r="F93" s="1247">
        <f t="shared" si="2"/>
      </c>
      <c r="G93" s="1248">
        <f t="shared" si="3"/>
      </c>
      <c r="H93" s="1244"/>
      <c r="I93" s="1244"/>
      <c r="J93" s="1244"/>
      <c r="K93" s="1244"/>
      <c r="L93" s="1244"/>
      <c r="M93" s="1244"/>
      <c r="N93" s="1244"/>
    </row>
    <row r="94" spans="1:14" s="1245" customFormat="1" ht="17.25" customHeight="1" thickBot="1">
      <c r="A94" s="1265" t="s">
        <v>253</v>
      </c>
      <c r="B94" s="1253">
        <f>'[5]Druhova'!G90</f>
        <v>857876.81</v>
      </c>
      <c r="C94" s="1254">
        <f>'[5]Druhova'!B90</f>
        <v>281773</v>
      </c>
      <c r="D94" s="1254">
        <f>'[5]Druhova'!C90</f>
        <v>1026473.1</v>
      </c>
      <c r="E94" s="1254">
        <f>'[5]Druhova'!D90</f>
        <v>191382.7</v>
      </c>
      <c r="F94" s="1254">
        <f t="shared" si="2"/>
        <v>18.64</v>
      </c>
      <c r="G94" s="1255">
        <f t="shared" si="3"/>
        <v>22.31</v>
      </c>
      <c r="H94" s="1244"/>
      <c r="I94" s="1244"/>
      <c r="J94" s="1244"/>
      <c r="K94" s="1244"/>
      <c r="L94" s="1244"/>
      <c r="M94" s="1244"/>
      <c r="N94" s="1244"/>
    </row>
    <row r="95" spans="1:14" s="1312" customFormat="1" ht="24.75" customHeight="1" thickBot="1">
      <c r="A95" s="1275" t="s">
        <v>254</v>
      </c>
      <c r="B95" s="1308">
        <f>'[5]Druhova'!G91</f>
        <v>1397235.54</v>
      </c>
      <c r="C95" s="1309">
        <f>'[5]Druhova'!B91</f>
        <v>540618</v>
      </c>
      <c r="D95" s="1309">
        <f>'[5]Druhova'!C91</f>
        <v>1294367.96</v>
      </c>
      <c r="E95" s="1309">
        <f>'[5]Druhova'!D91</f>
        <v>695895.82</v>
      </c>
      <c r="F95" s="1309">
        <f t="shared" si="2"/>
        <v>53.76</v>
      </c>
      <c r="G95" s="1310">
        <f t="shared" si="3"/>
        <v>49.81</v>
      </c>
      <c r="H95" s="1311"/>
      <c r="I95" s="1311"/>
      <c r="J95" s="1311"/>
      <c r="K95" s="1311"/>
      <c r="L95" s="1311"/>
      <c r="M95" s="1311"/>
      <c r="N95" s="1311"/>
    </row>
    <row r="96" spans="1:14" s="1312" customFormat="1" ht="30" customHeight="1" thickBot="1">
      <c r="A96" s="1275" t="s">
        <v>255</v>
      </c>
      <c r="B96" s="1308">
        <f>'[5]Druhova'!G92</f>
        <v>7950598.42</v>
      </c>
      <c r="C96" s="1309">
        <f>'[5]Druhova'!B92</f>
        <v>6762545</v>
      </c>
      <c r="D96" s="1309">
        <f>'[5]Druhova'!C92</f>
        <v>7516294.96</v>
      </c>
      <c r="E96" s="1309">
        <f>'[5]Druhova'!D92</f>
        <v>7177216.51</v>
      </c>
      <c r="F96" s="1309">
        <f t="shared" si="2"/>
        <v>95.49</v>
      </c>
      <c r="G96" s="1310">
        <f t="shared" si="3"/>
        <v>90.27</v>
      </c>
      <c r="H96" s="1311"/>
      <c r="I96" s="1311"/>
      <c r="J96" s="1311"/>
      <c r="K96" s="1311"/>
      <c r="L96" s="1311"/>
      <c r="M96" s="1311"/>
      <c r="N96" s="1311"/>
    </row>
    <row r="97" spans="1:14" s="1245" customFormat="1" ht="2.25" customHeight="1" thickBot="1">
      <c r="A97" s="1276"/>
      <c r="B97" s="1277">
        <f>'[5]Druhova'!G93</f>
        <v>0</v>
      </c>
      <c r="C97" s="1277">
        <f>'[5]Druhova'!B93</f>
        <v>0</v>
      </c>
      <c r="D97" s="1277">
        <f>'[5]Druhova'!C93</f>
        <v>0</v>
      </c>
      <c r="E97" s="1277">
        <f>'[5]Druhova'!D93</f>
        <v>0</v>
      </c>
      <c r="F97" s="1277">
        <f t="shared" si="2"/>
      </c>
      <c r="G97" s="1278">
        <f t="shared" si="3"/>
      </c>
      <c r="H97" s="1244"/>
      <c r="I97" s="1244"/>
      <c r="J97" s="1244"/>
      <c r="K97" s="1244"/>
      <c r="L97" s="1244"/>
      <c r="M97" s="1244"/>
      <c r="N97" s="1244"/>
    </row>
    <row r="98" spans="1:14" s="1245" customFormat="1" ht="19.5" customHeight="1" thickBot="1">
      <c r="A98" s="1279" t="s">
        <v>256</v>
      </c>
      <c r="B98" s="1280">
        <f>'[5]Druhova'!G94</f>
        <v>7950598.42</v>
      </c>
      <c r="C98" s="1277">
        <f>'[5]Druhova'!B94</f>
        <v>6762545</v>
      </c>
      <c r="D98" s="1277">
        <f>'[5]Druhova'!C94</f>
        <v>7516294.96</v>
      </c>
      <c r="E98" s="1277">
        <f>'[5]Druhova'!D94</f>
        <v>7177216.51</v>
      </c>
      <c r="F98" s="1277">
        <f t="shared" si="2"/>
        <v>95.49</v>
      </c>
      <c r="G98" s="1278">
        <f t="shared" si="3"/>
        <v>90.27</v>
      </c>
      <c r="H98" s="1244"/>
      <c r="I98" s="1244"/>
      <c r="J98" s="1244"/>
      <c r="K98" s="1244"/>
      <c r="L98" s="1244"/>
      <c r="M98" s="1244"/>
      <c r="N98" s="1244"/>
    </row>
    <row r="99" spans="1:14" s="1245" customFormat="1" ht="16.5" customHeight="1">
      <c r="A99" s="1281" t="s">
        <v>257</v>
      </c>
      <c r="B99" s="1247">
        <f>'[5]Druhova'!G95</f>
        <v>0</v>
      </c>
      <c r="C99" s="1247">
        <f>'[5]Druhova'!B95</f>
        <v>0</v>
      </c>
      <c r="D99" s="1247">
        <f>'[5]Druhova'!C95</f>
        <v>0</v>
      </c>
      <c r="E99" s="1247">
        <f>'[5]Druhova'!D95</f>
        <v>0</v>
      </c>
      <c r="F99" s="1247">
        <f t="shared" si="2"/>
      </c>
      <c r="G99" s="1248">
        <f t="shared" si="3"/>
      </c>
      <c r="H99" s="1244"/>
      <c r="I99" s="1244"/>
      <c r="J99" s="1244"/>
      <c r="K99" s="1244"/>
      <c r="L99" s="1244"/>
      <c r="M99" s="1244"/>
      <c r="N99" s="1244"/>
    </row>
    <row r="100" spans="1:14" s="1245" customFormat="1" ht="16.5" customHeight="1">
      <c r="A100" s="1264" t="s">
        <v>258</v>
      </c>
      <c r="B100" s="1247">
        <f>'[5]Druhova'!G96</f>
        <v>22189130.32</v>
      </c>
      <c r="C100" s="1247">
        <f>'[5]Druhova'!B96</f>
        <v>21829625</v>
      </c>
      <c r="D100" s="1247">
        <f>'[5]Druhova'!C96</f>
        <v>22008394.65</v>
      </c>
      <c r="E100" s="1247">
        <f>'[5]Druhova'!D96</f>
        <v>22308918.78</v>
      </c>
      <c r="F100" s="1247">
        <f t="shared" si="2"/>
        <v>101.37</v>
      </c>
      <c r="G100" s="1248">
        <f t="shared" si="3"/>
        <v>100.54</v>
      </c>
      <c r="H100" s="1244"/>
      <c r="I100" s="1244"/>
      <c r="J100" s="1244"/>
      <c r="K100" s="1244"/>
      <c r="L100" s="1244"/>
      <c r="M100" s="1244"/>
      <c r="N100" s="1244"/>
    </row>
    <row r="101" spans="1:14" s="1245" customFormat="1" ht="22.5" customHeight="1">
      <c r="A101" s="1264" t="s">
        <v>384</v>
      </c>
      <c r="B101" s="1247">
        <f>'[5]Druhova'!G97</f>
        <v>4076779.84</v>
      </c>
      <c r="C101" s="1247">
        <f>'[5]Druhova'!B97</f>
        <v>3922975</v>
      </c>
      <c r="D101" s="1247">
        <f>'[5]Druhova'!C97</f>
        <v>4004178.13</v>
      </c>
      <c r="E101" s="1247">
        <f>'[5]Druhova'!D97</f>
        <v>4083108.21</v>
      </c>
      <c r="F101" s="1247">
        <f t="shared" si="2"/>
        <v>101.97</v>
      </c>
      <c r="G101" s="1248">
        <f t="shared" si="3"/>
        <v>100.16</v>
      </c>
      <c r="H101" s="1244"/>
      <c r="I101" s="1244"/>
      <c r="J101" s="1244"/>
      <c r="K101" s="1244"/>
      <c r="L101" s="1244"/>
      <c r="M101" s="1244"/>
      <c r="N101" s="1244"/>
    </row>
    <row r="102" spans="1:14" s="1245" customFormat="1" ht="22.5" customHeight="1">
      <c r="A102" s="1264" t="s">
        <v>259</v>
      </c>
      <c r="B102" s="1247">
        <f>'[5]Druhova'!G98</f>
        <v>18112350.47</v>
      </c>
      <c r="C102" s="1247">
        <f>'[5]Druhova'!B98</f>
        <v>17906650</v>
      </c>
      <c r="D102" s="1247">
        <f>'[5]Druhova'!C98</f>
        <v>18004216.52</v>
      </c>
      <c r="E102" s="1247">
        <f>'[5]Druhova'!D98</f>
        <v>18225810.57</v>
      </c>
      <c r="F102" s="1247">
        <f t="shared" si="2"/>
        <v>101.23</v>
      </c>
      <c r="G102" s="1248">
        <f t="shared" si="3"/>
        <v>100.63</v>
      </c>
      <c r="H102" s="1244"/>
      <c r="I102" s="1244"/>
      <c r="J102" s="1244"/>
      <c r="K102" s="1244"/>
      <c r="L102" s="1244"/>
      <c r="M102" s="1244"/>
      <c r="N102" s="1244"/>
    </row>
    <row r="103" spans="1:14" s="1245" customFormat="1" ht="22.5" customHeight="1">
      <c r="A103" s="1264" t="s">
        <v>260</v>
      </c>
      <c r="B103" s="1247">
        <f>'[5]Druhova'!G99</f>
        <v>0</v>
      </c>
      <c r="C103" s="1247">
        <f>'[5]Druhova'!B99</f>
        <v>0</v>
      </c>
      <c r="D103" s="1247">
        <f>'[5]Druhova'!C99</f>
        <v>0</v>
      </c>
      <c r="E103" s="1247">
        <f>'[5]Druhova'!D99</f>
        <v>0</v>
      </c>
      <c r="F103" s="1247">
        <f t="shared" si="2"/>
      </c>
      <c r="G103" s="1248">
        <f t="shared" si="3"/>
      </c>
      <c r="H103" s="1244"/>
      <c r="I103" s="1244"/>
      <c r="J103" s="1244"/>
      <c r="K103" s="1244"/>
      <c r="L103" s="1244"/>
      <c r="M103" s="1244"/>
      <c r="N103" s="1244"/>
    </row>
    <row r="104" spans="1:14" s="1245" customFormat="1" ht="34.5" customHeight="1">
      <c r="A104" s="1264" t="s">
        <v>261</v>
      </c>
      <c r="B104" s="1247">
        <f>'[5]Druhova'!G100</f>
        <v>0</v>
      </c>
      <c r="C104" s="1247">
        <f>'[5]Druhova'!B100</f>
        <v>0</v>
      </c>
      <c r="D104" s="1247">
        <f>'[5]Druhova'!C100</f>
        <v>0</v>
      </c>
      <c r="E104" s="1247">
        <f>'[5]Druhova'!D100</f>
        <v>0</v>
      </c>
      <c r="F104" s="1247">
        <f t="shared" si="2"/>
      </c>
      <c r="G104" s="1248">
        <f t="shared" si="3"/>
      </c>
      <c r="H104" s="1244"/>
      <c r="I104" s="1244"/>
      <c r="J104" s="1244"/>
      <c r="K104" s="1244"/>
      <c r="L104" s="1244"/>
      <c r="M104" s="1244"/>
      <c r="N104" s="1244"/>
    </row>
    <row r="105" spans="1:14" s="1245" customFormat="1" ht="16.5" customHeight="1">
      <c r="A105" s="1264" t="s">
        <v>262</v>
      </c>
      <c r="B105" s="1247">
        <f>'[5]Druhova'!G101</f>
        <v>0</v>
      </c>
      <c r="C105" s="1247">
        <f>'[5]Druhova'!B101</f>
        <v>0</v>
      </c>
      <c r="D105" s="1247">
        <f>'[5]Druhova'!C101</f>
        <v>0</v>
      </c>
      <c r="E105" s="1247">
        <f>'[5]Druhova'!D101</f>
        <v>0</v>
      </c>
      <c r="F105" s="1247">
        <f t="shared" si="2"/>
      </c>
      <c r="G105" s="1248">
        <f t="shared" si="3"/>
      </c>
      <c r="H105" s="1244"/>
      <c r="I105" s="1244"/>
      <c r="J105" s="1244"/>
      <c r="K105" s="1244"/>
      <c r="L105" s="1244"/>
      <c r="M105" s="1244"/>
      <c r="N105" s="1244"/>
    </row>
    <row r="106" spans="1:14" s="1245" customFormat="1" ht="16.5" customHeight="1">
      <c r="A106" s="1264" t="s">
        <v>263</v>
      </c>
      <c r="B106" s="1247">
        <f>'[5]Druhova'!G102</f>
        <v>350023.61</v>
      </c>
      <c r="C106" s="1247">
        <f>'[5]Druhova'!B102</f>
        <v>291065</v>
      </c>
      <c r="D106" s="1247">
        <f>'[5]Druhova'!C102</f>
        <v>461979.09</v>
      </c>
      <c r="E106" s="1247">
        <f>'[5]Druhova'!D102</f>
        <v>442779.61</v>
      </c>
      <c r="F106" s="1247">
        <f t="shared" si="2"/>
        <v>95.84</v>
      </c>
      <c r="G106" s="1248">
        <f t="shared" si="3"/>
        <v>126.5</v>
      </c>
      <c r="H106" s="1244"/>
      <c r="I106" s="1244"/>
      <c r="J106" s="1244"/>
      <c r="K106" s="1244"/>
      <c r="L106" s="1244"/>
      <c r="M106" s="1244"/>
      <c r="N106" s="1244"/>
    </row>
    <row r="107" spans="1:14" s="1245" customFormat="1" ht="16.5" customHeight="1">
      <c r="A107" s="1264" t="s">
        <v>264</v>
      </c>
      <c r="B107" s="1247">
        <f>'[5]Druhova'!G103</f>
        <v>133182.79</v>
      </c>
      <c r="C107" s="1247">
        <f>'[5]Druhova'!B103</f>
        <v>135820</v>
      </c>
      <c r="D107" s="1247">
        <f>'[5]Druhova'!C103</f>
        <v>121872.84</v>
      </c>
      <c r="E107" s="1247">
        <f>'[5]Druhova'!D103</f>
        <v>115717.72</v>
      </c>
      <c r="F107" s="1247">
        <f t="shared" si="2"/>
        <v>94.95</v>
      </c>
      <c r="G107" s="1248">
        <f t="shared" si="3"/>
        <v>86.89</v>
      </c>
      <c r="H107" s="1244"/>
      <c r="I107" s="1244"/>
      <c r="J107" s="1244"/>
      <c r="K107" s="1244"/>
      <c r="L107" s="1244"/>
      <c r="M107" s="1244"/>
      <c r="N107" s="1244"/>
    </row>
    <row r="108" spans="1:14" s="1245" customFormat="1" ht="22.5" customHeight="1">
      <c r="A108" s="1264" t="s">
        <v>265</v>
      </c>
      <c r="B108" s="1247">
        <f>'[5]Druhova'!G104</f>
        <v>1279.2</v>
      </c>
      <c r="C108" s="1247">
        <f>'[5]Druhova'!B104</f>
        <v>1280</v>
      </c>
      <c r="D108" s="1247">
        <f>'[5]Druhova'!C104</f>
        <v>670.55</v>
      </c>
      <c r="E108" s="1247">
        <f>'[5]Druhova'!D104</f>
        <v>670.55</v>
      </c>
      <c r="F108" s="1247">
        <f t="shared" si="2"/>
        <v>100</v>
      </c>
      <c r="G108" s="1248">
        <f t="shared" si="3"/>
        <v>52.42</v>
      </c>
      <c r="H108" s="1244"/>
      <c r="I108" s="1244"/>
      <c r="J108" s="1244"/>
      <c r="K108" s="1244"/>
      <c r="L108" s="1244"/>
      <c r="M108" s="1244"/>
      <c r="N108" s="1244"/>
    </row>
    <row r="109" spans="1:14" s="1245" customFormat="1" ht="12.75">
      <c r="A109" s="1264" t="s">
        <v>266</v>
      </c>
      <c r="B109" s="1247">
        <f>'[5]Druhova'!G105</f>
        <v>0</v>
      </c>
      <c r="C109" s="1247">
        <f>'[5]Druhova'!B105</f>
        <v>0</v>
      </c>
      <c r="D109" s="1247">
        <f>'[5]Druhova'!C105</f>
        <v>0</v>
      </c>
      <c r="E109" s="1247">
        <f>'[5]Druhova'!D105</f>
        <v>0</v>
      </c>
      <c r="F109" s="1247">
        <f t="shared" si="2"/>
      </c>
      <c r="G109" s="1248">
        <f t="shared" si="3"/>
      </c>
      <c r="H109" s="1244"/>
      <c r="I109" s="1244"/>
      <c r="J109" s="1244"/>
      <c r="K109" s="1244"/>
      <c r="L109" s="1244"/>
      <c r="M109" s="1244"/>
      <c r="N109" s="1244"/>
    </row>
    <row r="110" spans="1:14" s="1245" customFormat="1" ht="12.75">
      <c r="A110" s="1264" t="s">
        <v>267</v>
      </c>
      <c r="B110" s="1247">
        <f>'[5]Druhova'!G106</f>
        <v>52172.09</v>
      </c>
      <c r="C110" s="1247">
        <f>'[5]Druhova'!B106</f>
        <v>43764</v>
      </c>
      <c r="D110" s="1247">
        <f>'[5]Druhova'!C106</f>
        <v>37914.58</v>
      </c>
      <c r="E110" s="1247">
        <f>'[5]Druhova'!D106</f>
        <v>24368.33</v>
      </c>
      <c r="F110" s="1247">
        <f t="shared" si="2"/>
        <v>64.27</v>
      </c>
      <c r="G110" s="1248">
        <f t="shared" si="3"/>
        <v>46.71</v>
      </c>
      <c r="H110" s="1244"/>
      <c r="I110" s="1244"/>
      <c r="J110" s="1244"/>
      <c r="K110" s="1244"/>
      <c r="L110" s="1244"/>
      <c r="M110" s="1244"/>
      <c r="N110" s="1244"/>
    </row>
    <row r="111" spans="1:14" s="1245" customFormat="1" ht="12.75">
      <c r="A111" s="1264" t="s">
        <v>268</v>
      </c>
      <c r="B111" s="1247">
        <f>'[5]Druhova'!G107</f>
        <v>0</v>
      </c>
      <c r="C111" s="1247">
        <f>'[5]Druhova'!B107</f>
        <v>0</v>
      </c>
      <c r="D111" s="1247">
        <f>'[5]Druhova'!C107</f>
        <v>0</v>
      </c>
      <c r="E111" s="1247">
        <f>'[5]Druhova'!D107</f>
        <v>0</v>
      </c>
      <c r="F111" s="1247">
        <f t="shared" si="2"/>
      </c>
      <c r="G111" s="1248">
        <f t="shared" si="3"/>
      </c>
      <c r="H111" s="1244"/>
      <c r="I111" s="1244"/>
      <c r="J111" s="1244"/>
      <c r="K111" s="1244"/>
      <c r="L111" s="1244"/>
      <c r="M111" s="1244"/>
      <c r="N111" s="1244"/>
    </row>
    <row r="112" spans="1:14" s="1245" customFormat="1" ht="12.75">
      <c r="A112" s="1264" t="s">
        <v>269</v>
      </c>
      <c r="B112" s="1247">
        <f>'[5]Druhova'!G108</f>
        <v>0</v>
      </c>
      <c r="C112" s="1247">
        <f>'[5]Druhova'!B108</f>
        <v>0</v>
      </c>
      <c r="D112" s="1247">
        <f>'[5]Druhova'!C108</f>
        <v>320</v>
      </c>
      <c r="E112" s="1247">
        <f>'[5]Druhova'!D108</f>
        <v>319.8</v>
      </c>
      <c r="F112" s="1247">
        <f t="shared" si="2"/>
        <v>99.94</v>
      </c>
      <c r="G112" s="1248">
        <f t="shared" si="3"/>
      </c>
      <c r="H112" s="1244"/>
      <c r="I112" s="1244"/>
      <c r="J112" s="1244"/>
      <c r="K112" s="1244"/>
      <c r="L112" s="1244"/>
      <c r="M112" s="1244"/>
      <c r="N112" s="1244"/>
    </row>
    <row r="113" spans="1:14" s="1245" customFormat="1" ht="34.5" customHeight="1">
      <c r="A113" s="1264" t="s">
        <v>270</v>
      </c>
      <c r="B113" s="1247">
        <f>'[5]Druhova'!G109</f>
        <v>0</v>
      </c>
      <c r="C113" s="1247">
        <f>'[5]Druhova'!B109</f>
        <v>0</v>
      </c>
      <c r="D113" s="1247">
        <f>'[5]Druhova'!C109</f>
        <v>0</v>
      </c>
      <c r="E113" s="1247">
        <f>'[5]Druhova'!D109</f>
        <v>0</v>
      </c>
      <c r="F113" s="1247">
        <f t="shared" si="2"/>
      </c>
      <c r="G113" s="1248">
        <f t="shared" si="3"/>
      </c>
      <c r="H113" s="1244"/>
      <c r="I113" s="1244"/>
      <c r="J113" s="1244"/>
      <c r="K113" s="1244"/>
      <c r="L113" s="1244"/>
      <c r="M113" s="1244"/>
      <c r="N113" s="1244"/>
    </row>
    <row r="114" spans="1:14" s="1245" customFormat="1" ht="22.5" customHeight="1">
      <c r="A114" s="1264" t="s">
        <v>271</v>
      </c>
      <c r="B114" s="1247">
        <f>'[5]Druhova'!G110</f>
        <v>163389.54</v>
      </c>
      <c r="C114" s="1247">
        <f>'[5]Druhova'!B110</f>
        <v>110201</v>
      </c>
      <c r="D114" s="1247">
        <f>'[5]Druhova'!C110</f>
        <v>301201.13</v>
      </c>
      <c r="E114" s="1247">
        <f>'[5]Druhova'!D110</f>
        <v>301703.21</v>
      </c>
      <c r="F114" s="1247">
        <f t="shared" si="2"/>
        <v>100.17</v>
      </c>
      <c r="G114" s="1248">
        <f t="shared" si="3"/>
        <v>184.65</v>
      </c>
      <c r="H114" s="1244"/>
      <c r="I114" s="1244"/>
      <c r="J114" s="1244"/>
      <c r="K114" s="1244"/>
      <c r="L114" s="1244"/>
      <c r="M114" s="1244"/>
      <c r="N114" s="1244"/>
    </row>
    <row r="115" spans="1:24" ht="12.75">
      <c r="A115" s="1264" t="s">
        <v>512</v>
      </c>
      <c r="B115" s="1247">
        <f>'[5]Druhova'!G111</f>
        <v>7457553.3</v>
      </c>
      <c r="C115" s="1247">
        <f>'[5]Druhova'!B111</f>
        <v>7454390</v>
      </c>
      <c r="D115" s="1247">
        <f>'[5]Druhova'!C111</f>
        <v>7514336.82</v>
      </c>
      <c r="E115" s="1247">
        <f>'[5]Druhova'!D111</f>
        <v>7493499.51</v>
      </c>
      <c r="F115" s="1247">
        <f t="shared" si="2"/>
        <v>99.72</v>
      </c>
      <c r="G115" s="1248">
        <f t="shared" si="3"/>
        <v>100.48</v>
      </c>
      <c r="H115" s="1212"/>
      <c r="I115" s="1212"/>
      <c r="J115" s="1212"/>
      <c r="K115" s="1212"/>
      <c r="L115" s="1212"/>
      <c r="O115" s="1213"/>
      <c r="P115" s="1213"/>
      <c r="Q115" s="1213"/>
      <c r="R115" s="1213"/>
      <c r="S115" s="1213"/>
      <c r="T115" s="1213"/>
      <c r="U115" s="1213"/>
      <c r="V115" s="1213"/>
      <c r="W115" s="1213"/>
      <c r="X115" s="1213"/>
    </row>
    <row r="116" spans="1:24" ht="34.5" customHeight="1">
      <c r="A116" s="1264" t="s">
        <v>502</v>
      </c>
      <c r="B116" s="1247">
        <f>'[5]Druhova'!G112</f>
        <v>7457553.3</v>
      </c>
      <c r="C116" s="1247">
        <f>'[5]Druhova'!B112</f>
        <v>7454390</v>
      </c>
      <c r="D116" s="1247">
        <f>'[5]Druhova'!C112</f>
        <v>7514336.82</v>
      </c>
      <c r="E116" s="1247">
        <f>'[5]Druhova'!D112</f>
        <v>7493499.51</v>
      </c>
      <c r="F116" s="1247">
        <f t="shared" si="2"/>
        <v>99.72</v>
      </c>
      <c r="G116" s="1248">
        <f t="shared" si="3"/>
        <v>100.48</v>
      </c>
      <c r="H116" s="1212"/>
      <c r="I116" s="1212"/>
      <c r="J116" s="1212"/>
      <c r="K116" s="1212"/>
      <c r="L116" s="1212"/>
      <c r="O116" s="1213"/>
      <c r="P116" s="1213"/>
      <c r="Q116" s="1213"/>
      <c r="R116" s="1213"/>
      <c r="S116" s="1213"/>
      <c r="T116" s="1213"/>
      <c r="U116" s="1213"/>
      <c r="V116" s="1213"/>
      <c r="W116" s="1213"/>
      <c r="X116" s="1213"/>
    </row>
    <row r="117" spans="1:24" ht="16.5" customHeight="1">
      <c r="A117" s="1264" t="s">
        <v>272</v>
      </c>
      <c r="B117" s="1247">
        <f>'[5]Druhova'!G113</f>
        <v>1725.04</v>
      </c>
      <c r="C117" s="1247">
        <f>'[5]Druhova'!B113</f>
        <v>1488</v>
      </c>
      <c r="D117" s="1247">
        <f>'[5]Druhova'!C113</f>
        <v>3068.49</v>
      </c>
      <c r="E117" s="1247">
        <f>'[5]Druhova'!D113</f>
        <v>2977.65</v>
      </c>
      <c r="F117" s="1247">
        <f t="shared" si="2"/>
        <v>97.04</v>
      </c>
      <c r="G117" s="1248">
        <f t="shared" si="3"/>
        <v>172.61</v>
      </c>
      <c r="H117" s="1212"/>
      <c r="I117" s="1212"/>
      <c r="J117" s="1212"/>
      <c r="K117" s="1212"/>
      <c r="L117" s="1212"/>
      <c r="O117" s="1213"/>
      <c r="P117" s="1213"/>
      <c r="Q117" s="1213"/>
      <c r="R117" s="1213"/>
      <c r="S117" s="1213"/>
      <c r="T117" s="1213"/>
      <c r="U117" s="1213"/>
      <c r="V117" s="1213"/>
      <c r="W117" s="1213"/>
      <c r="X117" s="1213"/>
    </row>
    <row r="118" spans="1:24" ht="16.5" customHeight="1">
      <c r="A118" s="1264" t="s">
        <v>273</v>
      </c>
      <c r="B118" s="1247">
        <f>'[5]Druhova'!G114</f>
        <v>6175.54</v>
      </c>
      <c r="C118" s="1247">
        <f>'[5]Druhova'!B114</f>
        <v>0</v>
      </c>
      <c r="D118" s="1247">
        <f>'[5]Druhova'!C114</f>
        <v>8204.11</v>
      </c>
      <c r="E118" s="1247">
        <f>'[5]Druhova'!D114</f>
        <v>8204.11</v>
      </c>
      <c r="F118" s="1247">
        <f t="shared" si="2"/>
        <v>100</v>
      </c>
      <c r="G118" s="1248">
        <f t="shared" si="3"/>
        <v>132.85</v>
      </c>
      <c r="H118" s="1212"/>
      <c r="I118" s="1212"/>
      <c r="J118" s="1212"/>
      <c r="K118" s="1212"/>
      <c r="L118" s="1212"/>
      <c r="O118" s="1213"/>
      <c r="P118" s="1213"/>
      <c r="Q118" s="1213"/>
      <c r="R118" s="1213"/>
      <c r="S118" s="1213"/>
      <c r="T118" s="1213"/>
      <c r="U118" s="1213"/>
      <c r="V118" s="1213"/>
      <c r="W118" s="1213"/>
      <c r="X118" s="1213"/>
    </row>
    <row r="119" spans="1:24" ht="23.25" customHeight="1">
      <c r="A119" s="1282" t="s">
        <v>274</v>
      </c>
      <c r="B119" s="1250">
        <f>'[5]Druhova'!G115</f>
        <v>30004607.81</v>
      </c>
      <c r="C119" s="1250">
        <f>'[5]Druhova'!B115</f>
        <v>29576568</v>
      </c>
      <c r="D119" s="1250">
        <f>'[5]Druhova'!C115</f>
        <v>29995983.16</v>
      </c>
      <c r="E119" s="1250">
        <f>'[5]Druhova'!D115</f>
        <v>30256379.66</v>
      </c>
      <c r="F119" s="1250">
        <f t="shared" si="2"/>
        <v>100.87</v>
      </c>
      <c r="G119" s="1251">
        <f t="shared" si="3"/>
        <v>100.84</v>
      </c>
      <c r="H119" s="1212"/>
      <c r="I119" s="1212"/>
      <c r="J119" s="1212"/>
      <c r="K119" s="1212"/>
      <c r="L119" s="1212"/>
      <c r="O119" s="1213"/>
      <c r="P119" s="1213"/>
      <c r="Q119" s="1213"/>
      <c r="R119" s="1213"/>
      <c r="S119" s="1213"/>
      <c r="T119" s="1213"/>
      <c r="U119" s="1213"/>
      <c r="V119" s="1213"/>
      <c r="W119" s="1213"/>
      <c r="X119" s="1213"/>
    </row>
    <row r="120" spans="1:24" ht="18" customHeight="1">
      <c r="A120" s="1264" t="s">
        <v>275</v>
      </c>
      <c r="B120" s="1247">
        <f>'[5]Druhova'!G116</f>
        <v>1501410.98</v>
      </c>
      <c r="C120" s="1247">
        <f>'[5]Druhova'!B116</f>
        <v>1204221</v>
      </c>
      <c r="D120" s="1247">
        <f>'[5]Druhova'!C116</f>
        <v>1527914.73</v>
      </c>
      <c r="E120" s="1247">
        <f>'[5]Druhova'!D116</f>
        <v>1594999.51</v>
      </c>
      <c r="F120" s="1247">
        <f t="shared" si="2"/>
        <v>104.39</v>
      </c>
      <c r="G120" s="1248">
        <f t="shared" si="3"/>
        <v>106.23</v>
      </c>
      <c r="H120" s="1212"/>
      <c r="I120" s="1212"/>
      <c r="J120" s="1212"/>
      <c r="K120" s="1212"/>
      <c r="L120" s="1212"/>
      <c r="O120" s="1213"/>
      <c r="P120" s="1213"/>
      <c r="Q120" s="1213"/>
      <c r="R120" s="1213"/>
      <c r="S120" s="1213"/>
      <c r="T120" s="1213"/>
      <c r="U120" s="1213"/>
      <c r="V120" s="1213"/>
      <c r="W120" s="1213"/>
      <c r="X120" s="1213"/>
    </row>
    <row r="121" spans="1:24" ht="16.5" customHeight="1">
      <c r="A121" s="1264" t="s">
        <v>276</v>
      </c>
      <c r="B121" s="1247">
        <f>'[5]Druhova'!G117</f>
        <v>2092.62</v>
      </c>
      <c r="C121" s="1247">
        <f>'[5]Druhova'!B117</f>
        <v>592</v>
      </c>
      <c r="D121" s="1247">
        <f>'[5]Druhova'!C117</f>
        <v>1640.05</v>
      </c>
      <c r="E121" s="1247">
        <f>'[5]Druhova'!D117</f>
        <v>1466.49</v>
      </c>
      <c r="F121" s="1247">
        <f t="shared" si="2"/>
        <v>89.42</v>
      </c>
      <c r="G121" s="1248">
        <f t="shared" si="3"/>
        <v>70.08</v>
      </c>
      <c r="H121" s="1212"/>
      <c r="I121" s="1212"/>
      <c r="J121" s="1212"/>
      <c r="K121" s="1212"/>
      <c r="L121" s="1212"/>
      <c r="O121" s="1213"/>
      <c r="P121" s="1213"/>
      <c r="Q121" s="1213"/>
      <c r="R121" s="1213"/>
      <c r="S121" s="1213"/>
      <c r="T121" s="1213"/>
      <c r="U121" s="1213"/>
      <c r="V121" s="1213"/>
      <c r="W121" s="1213"/>
      <c r="X121" s="1213"/>
    </row>
    <row r="122" spans="1:24" ht="16.5" customHeight="1">
      <c r="A122" s="1264" t="s">
        <v>277</v>
      </c>
      <c r="B122" s="1247">
        <f>'[5]Druhova'!G118</f>
        <v>1780408.14</v>
      </c>
      <c r="C122" s="1247">
        <f>'[5]Druhova'!B118</f>
        <v>1784376</v>
      </c>
      <c r="D122" s="1247">
        <f>'[5]Druhova'!C118</f>
        <v>1686168.61</v>
      </c>
      <c r="E122" s="1247">
        <f>'[5]Druhova'!D118</f>
        <v>1708913.78</v>
      </c>
      <c r="F122" s="1247">
        <f t="shared" si="2"/>
        <v>101.35</v>
      </c>
      <c r="G122" s="1248">
        <f t="shared" si="3"/>
        <v>95.98</v>
      </c>
      <c r="H122" s="1212"/>
      <c r="I122" s="1212"/>
      <c r="J122" s="1212"/>
      <c r="K122" s="1212"/>
      <c r="L122" s="1212"/>
      <c r="O122" s="1213"/>
      <c r="P122" s="1213"/>
      <c r="Q122" s="1213"/>
      <c r="R122" s="1213"/>
      <c r="S122" s="1213"/>
      <c r="T122" s="1213"/>
      <c r="U122" s="1213"/>
      <c r="V122" s="1213"/>
      <c r="W122" s="1213"/>
      <c r="X122" s="1213"/>
    </row>
    <row r="123" spans="1:24" ht="16.5" customHeight="1">
      <c r="A123" s="1264" t="s">
        <v>278</v>
      </c>
      <c r="B123" s="1247">
        <f>'[5]Druhova'!G119</f>
        <v>5372935.38</v>
      </c>
      <c r="C123" s="1247">
        <f>'[5]Druhova'!B119</f>
        <v>5048315</v>
      </c>
      <c r="D123" s="1247">
        <f>'[5]Druhova'!C119</f>
        <v>5610573.43</v>
      </c>
      <c r="E123" s="1247">
        <f>'[5]Druhova'!D119</f>
        <v>5430883.52</v>
      </c>
      <c r="F123" s="1247">
        <f t="shared" si="2"/>
        <v>96.8</v>
      </c>
      <c r="G123" s="1248">
        <f t="shared" si="3"/>
        <v>101.08</v>
      </c>
      <c r="H123" s="1212"/>
      <c r="I123" s="1212"/>
      <c r="J123" s="1212"/>
      <c r="K123" s="1212"/>
      <c r="L123" s="1212"/>
      <c r="O123" s="1213"/>
      <c r="P123" s="1213"/>
      <c r="Q123" s="1213"/>
      <c r="R123" s="1213"/>
      <c r="S123" s="1213"/>
      <c r="T123" s="1213"/>
      <c r="U123" s="1213"/>
      <c r="V123" s="1213"/>
      <c r="W123" s="1213"/>
      <c r="X123" s="1213"/>
    </row>
    <row r="124" spans="1:24" ht="16.5" customHeight="1">
      <c r="A124" s="1264" t="s">
        <v>279</v>
      </c>
      <c r="B124" s="1247">
        <f>'[5]Druhova'!G120</f>
        <v>1369942.45</v>
      </c>
      <c r="C124" s="1247">
        <f>'[5]Druhova'!B120</f>
        <v>885487</v>
      </c>
      <c r="D124" s="1247">
        <f>'[5]Druhova'!C120</f>
        <v>1213888.42</v>
      </c>
      <c r="E124" s="1247">
        <f>'[5]Druhova'!D120</f>
        <v>1294005.77</v>
      </c>
      <c r="F124" s="1247">
        <f t="shared" si="2"/>
        <v>106.6</v>
      </c>
      <c r="G124" s="1248">
        <f t="shared" si="3"/>
        <v>94.46</v>
      </c>
      <c r="H124" s="1212"/>
      <c r="I124" s="1212"/>
      <c r="J124" s="1212"/>
      <c r="K124" s="1212"/>
      <c r="L124" s="1212"/>
      <c r="O124" s="1213"/>
      <c r="P124" s="1213"/>
      <c r="Q124" s="1213"/>
      <c r="R124" s="1213"/>
      <c r="S124" s="1213"/>
      <c r="T124" s="1213"/>
      <c r="U124" s="1213"/>
      <c r="V124" s="1213"/>
      <c r="W124" s="1213"/>
      <c r="X124" s="1213"/>
    </row>
    <row r="125" spans="1:24" ht="16.5" customHeight="1">
      <c r="A125" s="1264" t="s">
        <v>280</v>
      </c>
      <c r="B125" s="1247">
        <f>'[5]Druhova'!G121</f>
        <v>639733.08</v>
      </c>
      <c r="C125" s="1247">
        <f>'[5]Druhova'!B121</f>
        <v>410114</v>
      </c>
      <c r="D125" s="1247">
        <f>'[5]Druhova'!C121</f>
        <v>565894.26</v>
      </c>
      <c r="E125" s="1247">
        <f>'[5]Druhova'!D121</f>
        <v>601406.05</v>
      </c>
      <c r="F125" s="1247">
        <f t="shared" si="2"/>
        <v>106.28</v>
      </c>
      <c r="G125" s="1248">
        <f t="shared" si="3"/>
        <v>94.01</v>
      </c>
      <c r="H125" s="1212"/>
      <c r="I125" s="1212"/>
      <c r="J125" s="1212"/>
      <c r="K125" s="1212"/>
      <c r="L125" s="1212"/>
      <c r="O125" s="1213"/>
      <c r="P125" s="1213"/>
      <c r="Q125" s="1213"/>
      <c r="R125" s="1213"/>
      <c r="S125" s="1213"/>
      <c r="T125" s="1213"/>
      <c r="U125" s="1213"/>
      <c r="V125" s="1213"/>
      <c r="W125" s="1213"/>
      <c r="X125" s="1213"/>
    </row>
    <row r="126" spans="1:14" s="1245" customFormat="1" ht="16.5" customHeight="1">
      <c r="A126" s="1264" t="s">
        <v>281</v>
      </c>
      <c r="B126" s="1247">
        <f>'[5]Druhova'!G122</f>
        <v>176602.53</v>
      </c>
      <c r="C126" s="1247">
        <f>'[5]Druhova'!B122</f>
        <v>140188</v>
      </c>
      <c r="D126" s="1247">
        <f>'[5]Druhova'!C122</f>
        <v>203840.45</v>
      </c>
      <c r="E126" s="1247">
        <f>'[5]Druhova'!D122</f>
        <v>197100.82</v>
      </c>
      <c r="F126" s="1247">
        <f t="shared" si="2"/>
        <v>96.69</v>
      </c>
      <c r="G126" s="1248">
        <f t="shared" si="3"/>
        <v>111.61</v>
      </c>
      <c r="H126" s="1244"/>
      <c r="I126" s="1244"/>
      <c r="J126" s="1244"/>
      <c r="K126" s="1244"/>
      <c r="L126" s="1244"/>
      <c r="M126" s="1244"/>
      <c r="N126" s="1244"/>
    </row>
    <row r="127" spans="1:24" ht="16.5" customHeight="1">
      <c r="A127" s="1264" t="s">
        <v>282</v>
      </c>
      <c r="B127" s="1247">
        <f>'[5]Druhova'!G123</f>
        <v>8.94</v>
      </c>
      <c r="C127" s="1247">
        <f>'[5]Druhova'!B123</f>
        <v>250</v>
      </c>
      <c r="D127" s="1247">
        <f>'[5]Druhova'!C123</f>
        <v>777.15</v>
      </c>
      <c r="E127" s="1247">
        <f>'[5]Druhova'!D123</f>
        <v>49.94</v>
      </c>
      <c r="F127" s="1247">
        <f t="shared" si="2"/>
        <v>6.43</v>
      </c>
      <c r="G127" s="1248">
        <f t="shared" si="3"/>
        <v>558.61</v>
      </c>
      <c r="H127" s="1212"/>
      <c r="I127" s="1212"/>
      <c r="J127" s="1212"/>
      <c r="K127" s="1212"/>
      <c r="L127" s="1212"/>
      <c r="O127" s="1213"/>
      <c r="P127" s="1213"/>
      <c r="Q127" s="1213"/>
      <c r="R127" s="1213"/>
      <c r="S127" s="1213"/>
      <c r="T127" s="1213"/>
      <c r="U127" s="1213"/>
      <c r="V127" s="1213"/>
      <c r="W127" s="1213"/>
      <c r="X127" s="1213"/>
    </row>
    <row r="128" spans="1:24" ht="22.5" customHeight="1">
      <c r="A128" s="1264" t="s">
        <v>503</v>
      </c>
      <c r="B128" s="1247">
        <f>'[5]Druhova'!G124</f>
        <v>411343.98</v>
      </c>
      <c r="C128" s="1247">
        <f>'[5]Druhova'!B124</f>
        <v>423942</v>
      </c>
      <c r="D128" s="1247">
        <f>'[5]Druhova'!C124</f>
        <v>231338.5</v>
      </c>
      <c r="E128" s="1247">
        <f>'[5]Druhova'!D124</f>
        <v>226032.12</v>
      </c>
      <c r="F128" s="1247">
        <f t="shared" si="2"/>
        <v>97.71</v>
      </c>
      <c r="G128" s="1248">
        <f t="shared" si="3"/>
        <v>54.95</v>
      </c>
      <c r="H128" s="1212"/>
      <c r="I128" s="1212"/>
      <c r="J128" s="1212"/>
      <c r="K128" s="1212"/>
      <c r="L128" s="1212"/>
      <c r="O128" s="1213"/>
      <c r="P128" s="1213"/>
      <c r="Q128" s="1213"/>
      <c r="R128" s="1213"/>
      <c r="S128" s="1213"/>
      <c r="T128" s="1213"/>
      <c r="U128" s="1213"/>
      <c r="V128" s="1213"/>
      <c r="W128" s="1213"/>
      <c r="X128" s="1213"/>
    </row>
    <row r="129" spans="1:24" ht="17.25" customHeight="1">
      <c r="A129" s="1265" t="s">
        <v>283</v>
      </c>
      <c r="B129" s="1250">
        <f>'[5]Druhova'!G125</f>
        <v>10438142.49</v>
      </c>
      <c r="C129" s="1250">
        <f>'[5]Druhova'!B125</f>
        <v>9347183</v>
      </c>
      <c r="D129" s="1250">
        <f>'[5]Druhova'!C125</f>
        <v>10272300.9</v>
      </c>
      <c r="E129" s="1250">
        <f>'[5]Druhova'!D125</f>
        <v>10256351.12</v>
      </c>
      <c r="F129" s="1250">
        <f t="shared" si="2"/>
        <v>99.84</v>
      </c>
      <c r="G129" s="1251">
        <f t="shared" si="3"/>
        <v>98.26</v>
      </c>
      <c r="H129" s="1212"/>
      <c r="I129" s="1212"/>
      <c r="J129" s="1212"/>
      <c r="K129" s="1212"/>
      <c r="L129" s="1212"/>
      <c r="O129" s="1213"/>
      <c r="P129" s="1213"/>
      <c r="Q129" s="1213"/>
      <c r="R129" s="1213"/>
      <c r="S129" s="1213"/>
      <c r="T129" s="1213"/>
      <c r="U129" s="1213"/>
      <c r="V129" s="1213"/>
      <c r="W129" s="1213"/>
      <c r="X129" s="1213"/>
    </row>
    <row r="130" spans="1:24" ht="12.75">
      <c r="A130" s="1264" t="s">
        <v>284</v>
      </c>
      <c r="B130" s="1247">
        <f>'[5]Druhova'!G126</f>
        <v>147900.34</v>
      </c>
      <c r="C130" s="1247">
        <f>'[5]Druhova'!B126</f>
        <v>127945</v>
      </c>
      <c r="D130" s="1247">
        <f>'[5]Druhova'!C126</f>
        <v>168207</v>
      </c>
      <c r="E130" s="1247">
        <f>'[5]Druhova'!D126</f>
        <v>190549.67</v>
      </c>
      <c r="F130" s="1247">
        <f t="shared" si="2"/>
        <v>113.28</v>
      </c>
      <c r="G130" s="1248">
        <f t="shared" si="3"/>
        <v>128.84</v>
      </c>
      <c r="H130" s="1212"/>
      <c r="I130" s="1212"/>
      <c r="J130" s="1212"/>
      <c r="K130" s="1212"/>
      <c r="L130" s="1212"/>
      <c r="O130" s="1213"/>
      <c r="P130" s="1213"/>
      <c r="Q130" s="1213"/>
      <c r="R130" s="1213"/>
      <c r="S130" s="1213"/>
      <c r="T130" s="1213"/>
      <c r="U130" s="1213"/>
      <c r="V130" s="1213"/>
      <c r="W130" s="1213"/>
      <c r="X130" s="1213"/>
    </row>
    <row r="131" spans="1:24" ht="12.75">
      <c r="A131" s="1264" t="s">
        <v>285</v>
      </c>
      <c r="B131" s="1247">
        <f>'[5]Druhova'!G127</f>
        <v>104465.72</v>
      </c>
      <c r="C131" s="1247">
        <f>'[5]Druhova'!B127</f>
        <v>49403</v>
      </c>
      <c r="D131" s="1247">
        <f>'[5]Druhova'!C127</f>
        <v>119139.36</v>
      </c>
      <c r="E131" s="1247">
        <f>'[5]Druhova'!D127</f>
        <v>126520.3</v>
      </c>
      <c r="F131" s="1247">
        <f t="shared" si="2"/>
        <v>106.2</v>
      </c>
      <c r="G131" s="1248">
        <f t="shared" si="3"/>
        <v>121.11</v>
      </c>
      <c r="H131" s="1212"/>
      <c r="I131" s="1212"/>
      <c r="J131" s="1212"/>
      <c r="K131" s="1212"/>
      <c r="L131" s="1212"/>
      <c r="O131" s="1213"/>
      <c r="P131" s="1213"/>
      <c r="Q131" s="1213"/>
      <c r="R131" s="1213"/>
      <c r="S131" s="1213"/>
      <c r="T131" s="1213"/>
      <c r="U131" s="1213"/>
      <c r="V131" s="1213"/>
      <c r="W131" s="1213"/>
      <c r="X131" s="1213"/>
    </row>
    <row r="132" spans="1:24" ht="22.5">
      <c r="A132" s="1264" t="s">
        <v>286</v>
      </c>
      <c r="B132" s="1247">
        <f>'[5]Druhova'!G128</f>
        <v>68911.13</v>
      </c>
      <c r="C132" s="1247">
        <f>'[5]Druhova'!B128</f>
        <v>35019</v>
      </c>
      <c r="D132" s="1247">
        <f>'[5]Druhova'!C128</f>
        <v>84551.4</v>
      </c>
      <c r="E132" s="1247">
        <f>'[5]Druhova'!D128</f>
        <v>82150.71</v>
      </c>
      <c r="F132" s="1247">
        <f t="shared" si="2"/>
        <v>97.16</v>
      </c>
      <c r="G132" s="1248">
        <f t="shared" si="3"/>
        <v>119.21</v>
      </c>
      <c r="H132" s="1212"/>
      <c r="I132" s="1212"/>
      <c r="J132" s="1212"/>
      <c r="K132" s="1212"/>
      <c r="L132" s="1212"/>
      <c r="O132" s="1213"/>
      <c r="P132" s="1213"/>
      <c r="Q132" s="1213"/>
      <c r="R132" s="1213"/>
      <c r="S132" s="1213"/>
      <c r="T132" s="1213"/>
      <c r="U132" s="1213"/>
      <c r="V132" s="1213"/>
      <c r="W132" s="1213"/>
      <c r="X132" s="1213"/>
    </row>
    <row r="133" spans="1:24" ht="22.5" customHeight="1">
      <c r="A133" s="1264" t="s">
        <v>287</v>
      </c>
      <c r="B133" s="1247">
        <f>'[5]Druhova'!G129</f>
        <v>11360.97</v>
      </c>
      <c r="C133" s="1247">
        <f>'[5]Druhova'!B129</f>
        <v>0</v>
      </c>
      <c r="D133" s="1247">
        <f>'[5]Druhova'!C129</f>
        <v>1455.07</v>
      </c>
      <c r="E133" s="1247">
        <f>'[5]Druhova'!D129</f>
        <v>12425.27</v>
      </c>
      <c r="F133" s="1247">
        <f t="shared" si="2"/>
        <v>853.93</v>
      </c>
      <c r="G133" s="1248">
        <f t="shared" si="3"/>
        <v>109.37</v>
      </c>
      <c r="H133" s="1212"/>
      <c r="I133" s="1212"/>
      <c r="J133" s="1212"/>
      <c r="K133" s="1212"/>
      <c r="L133" s="1212"/>
      <c r="O133" s="1213"/>
      <c r="P133" s="1213"/>
      <c r="Q133" s="1213"/>
      <c r="R133" s="1213"/>
      <c r="S133" s="1213"/>
      <c r="T133" s="1213"/>
      <c r="U133" s="1213"/>
      <c r="V133" s="1213"/>
      <c r="W133" s="1213"/>
      <c r="X133" s="1213"/>
    </row>
    <row r="134" spans="1:24" ht="22.5" customHeight="1">
      <c r="A134" s="1264" t="s">
        <v>288</v>
      </c>
      <c r="B134" s="1247">
        <f>'[5]Druhova'!G130</f>
        <v>0</v>
      </c>
      <c r="C134" s="1247">
        <f>'[5]Druhova'!B130</f>
        <v>0</v>
      </c>
      <c r="D134" s="1247">
        <f>'[5]Druhova'!C130</f>
        <v>0</v>
      </c>
      <c r="E134" s="1247">
        <f>'[5]Druhova'!D130</f>
        <v>0</v>
      </c>
      <c r="F134" s="1247">
        <f t="shared" si="2"/>
      </c>
      <c r="G134" s="1248">
        <f t="shared" si="3"/>
      </c>
      <c r="H134" s="1212"/>
      <c r="I134" s="1212"/>
      <c r="J134" s="1212"/>
      <c r="K134" s="1212"/>
      <c r="L134" s="1212"/>
      <c r="O134" s="1213"/>
      <c r="P134" s="1213"/>
      <c r="Q134" s="1213"/>
      <c r="R134" s="1213"/>
      <c r="S134" s="1213"/>
      <c r="T134" s="1213"/>
      <c r="U134" s="1213"/>
      <c r="V134" s="1213"/>
      <c r="W134" s="1213"/>
      <c r="X134" s="1213"/>
    </row>
    <row r="135" spans="1:24" ht="22.5" customHeight="1">
      <c r="A135" s="1264" t="s">
        <v>289</v>
      </c>
      <c r="B135" s="1247">
        <f>'[5]Druhova'!G131</f>
        <v>0</v>
      </c>
      <c r="C135" s="1247">
        <f>'[5]Druhova'!B131</f>
        <v>0</v>
      </c>
      <c r="D135" s="1247">
        <f>'[5]Druhova'!C131</f>
        <v>15</v>
      </c>
      <c r="E135" s="1247">
        <f>'[5]Druhova'!D131</f>
        <v>0</v>
      </c>
      <c r="F135" s="1247">
        <f t="shared" si="2"/>
        <v>0</v>
      </c>
      <c r="G135" s="1248">
        <f t="shared" si="3"/>
      </c>
      <c r="H135" s="1212"/>
      <c r="I135" s="1212"/>
      <c r="J135" s="1212"/>
      <c r="K135" s="1212"/>
      <c r="L135" s="1212"/>
      <c r="O135" s="1213"/>
      <c r="P135" s="1213"/>
      <c r="Q135" s="1213"/>
      <c r="R135" s="1213"/>
      <c r="S135" s="1213"/>
      <c r="T135" s="1213"/>
      <c r="U135" s="1213"/>
      <c r="V135" s="1213"/>
      <c r="W135" s="1213"/>
      <c r="X135" s="1213"/>
    </row>
    <row r="136" spans="1:24" ht="22.5">
      <c r="A136" s="1264" t="s">
        <v>290</v>
      </c>
      <c r="B136" s="1247">
        <f>'[5]Druhova'!G132</f>
        <v>0</v>
      </c>
      <c r="C136" s="1247">
        <f>'[5]Druhova'!B132</f>
        <v>0</v>
      </c>
      <c r="D136" s="1247">
        <f>'[5]Druhova'!C132</f>
        <v>0</v>
      </c>
      <c r="E136" s="1247">
        <f>'[5]Druhova'!D132</f>
        <v>0</v>
      </c>
      <c r="F136" s="1247">
        <f t="shared" si="2"/>
      </c>
      <c r="G136" s="1248">
        <f t="shared" si="3"/>
      </c>
      <c r="H136" s="1212"/>
      <c r="I136" s="1212"/>
      <c r="J136" s="1212"/>
      <c r="K136" s="1212"/>
      <c r="L136" s="1212"/>
      <c r="O136" s="1213"/>
      <c r="P136" s="1213"/>
      <c r="Q136" s="1213"/>
      <c r="R136" s="1213"/>
      <c r="S136" s="1213"/>
      <c r="T136" s="1213"/>
      <c r="U136" s="1213"/>
      <c r="V136" s="1213"/>
      <c r="W136" s="1213"/>
      <c r="X136" s="1213"/>
    </row>
    <row r="137" spans="1:14" s="1245" customFormat="1" ht="26.25" customHeight="1">
      <c r="A137" s="1265" t="s">
        <v>291</v>
      </c>
      <c r="B137" s="1250">
        <f>'[5]Druhova'!G133</f>
        <v>252366.06</v>
      </c>
      <c r="C137" s="1250">
        <f>'[5]Druhova'!B133</f>
        <v>177348</v>
      </c>
      <c r="D137" s="1250">
        <f>'[5]Druhova'!C133</f>
        <v>287361.36</v>
      </c>
      <c r="E137" s="1250">
        <f>'[5]Druhova'!D133</f>
        <v>317069.97</v>
      </c>
      <c r="F137" s="1250">
        <f t="shared" si="2"/>
        <v>110.34</v>
      </c>
      <c r="G137" s="1251">
        <f t="shared" si="3"/>
        <v>125.64</v>
      </c>
      <c r="H137" s="1244"/>
      <c r="I137" s="1244"/>
      <c r="J137" s="1244"/>
      <c r="K137" s="1244"/>
      <c r="L137" s="1244"/>
      <c r="M137" s="1244"/>
      <c r="N137" s="1244"/>
    </row>
    <row r="138" spans="1:24" ht="24" customHeight="1">
      <c r="A138" s="1264" t="s">
        <v>513</v>
      </c>
      <c r="B138" s="1247">
        <f>'[5]Druhova'!G134</f>
        <v>2721.32</v>
      </c>
      <c r="C138" s="1247">
        <f>'[5]Druhova'!B134</f>
        <v>0</v>
      </c>
      <c r="D138" s="1247">
        <f>'[5]Druhova'!C134</f>
        <v>0</v>
      </c>
      <c r="E138" s="1247">
        <f>'[5]Druhova'!D134</f>
        <v>3641.18</v>
      </c>
      <c r="F138" s="1247">
        <f aca="true" t="shared" si="4" ref="F138:F201">IF(D138=0,"",E138/D138*100)</f>
      </c>
      <c r="G138" s="1248">
        <f aca="true" t="shared" si="5" ref="G138:G201">IF(B138=0,"",E138/B138*100)</f>
        <v>133.8</v>
      </c>
      <c r="H138" s="1212"/>
      <c r="I138" s="1212"/>
      <c r="J138" s="1212"/>
      <c r="K138" s="1212"/>
      <c r="L138" s="1212"/>
      <c r="O138" s="1213"/>
      <c r="P138" s="1213"/>
      <c r="Q138" s="1213"/>
      <c r="R138" s="1213"/>
      <c r="S138" s="1213"/>
      <c r="T138" s="1213"/>
      <c r="U138" s="1213"/>
      <c r="V138" s="1213"/>
      <c r="W138" s="1213"/>
      <c r="X138" s="1213"/>
    </row>
    <row r="139" spans="1:24" ht="12.75">
      <c r="A139" s="1264" t="s">
        <v>292</v>
      </c>
      <c r="B139" s="1247">
        <f>'[5]Druhova'!G135</f>
        <v>2721.32</v>
      </c>
      <c r="C139" s="1247">
        <f>'[5]Druhova'!B135</f>
        <v>0</v>
      </c>
      <c r="D139" s="1247">
        <f>'[5]Druhova'!C135</f>
        <v>0</v>
      </c>
      <c r="E139" s="1247">
        <f>'[5]Druhova'!D135</f>
        <v>3641.18</v>
      </c>
      <c r="F139" s="1247">
        <f t="shared" si="4"/>
      </c>
      <c r="G139" s="1248">
        <f t="shared" si="5"/>
        <v>133.8</v>
      </c>
      <c r="H139" s="1212"/>
      <c r="I139" s="1212"/>
      <c r="J139" s="1212"/>
      <c r="K139" s="1212"/>
      <c r="L139" s="1212"/>
      <c r="O139" s="1213"/>
      <c r="P139" s="1213"/>
      <c r="Q139" s="1213"/>
      <c r="R139" s="1213"/>
      <c r="S139" s="1213"/>
      <c r="T139" s="1213"/>
      <c r="U139" s="1213"/>
      <c r="V139" s="1213"/>
      <c r="W139" s="1213"/>
      <c r="X139" s="1213"/>
    </row>
    <row r="140" spans="1:24" ht="22.5" customHeight="1">
      <c r="A140" s="1283" t="s">
        <v>514</v>
      </c>
      <c r="B140" s="1247">
        <f>'[5]Druhova'!G136</f>
        <v>0</v>
      </c>
      <c r="C140" s="1247">
        <f>'[5]Druhova'!B136</f>
        <v>0</v>
      </c>
      <c r="D140" s="1247">
        <f>'[5]Druhova'!C136</f>
        <v>0</v>
      </c>
      <c r="E140" s="1247">
        <f>'[5]Druhova'!D136</f>
        <v>0</v>
      </c>
      <c r="F140" s="1247">
        <f t="shared" si="4"/>
      </c>
      <c r="G140" s="1248">
        <f t="shared" si="5"/>
      </c>
      <c r="H140" s="1212"/>
      <c r="I140" s="1212"/>
      <c r="J140" s="1212"/>
      <c r="K140" s="1212"/>
      <c r="L140" s="1212"/>
      <c r="O140" s="1213"/>
      <c r="P140" s="1213"/>
      <c r="Q140" s="1213"/>
      <c r="R140" s="1213"/>
      <c r="S140" s="1213"/>
      <c r="T140" s="1213"/>
      <c r="U140" s="1213"/>
      <c r="V140" s="1213"/>
      <c r="W140" s="1213"/>
      <c r="X140" s="1213"/>
    </row>
    <row r="141" spans="1:24" ht="22.5" customHeight="1">
      <c r="A141" s="1283" t="s">
        <v>293</v>
      </c>
      <c r="B141" s="1247">
        <f>'[5]Druhova'!G137</f>
        <v>0</v>
      </c>
      <c r="C141" s="1247">
        <f>'[5]Druhova'!B137</f>
        <v>0</v>
      </c>
      <c r="D141" s="1247">
        <f>'[5]Druhova'!C137</f>
        <v>0</v>
      </c>
      <c r="E141" s="1247">
        <f>'[5]Druhova'!D137</f>
        <v>0</v>
      </c>
      <c r="F141" s="1247">
        <f t="shared" si="4"/>
      </c>
      <c r="G141" s="1248">
        <f t="shared" si="5"/>
      </c>
      <c r="H141" s="1212"/>
      <c r="I141" s="1212"/>
      <c r="J141" s="1212"/>
      <c r="K141" s="1212"/>
      <c r="L141" s="1212"/>
      <c r="O141" s="1213"/>
      <c r="P141" s="1213"/>
      <c r="Q141" s="1213"/>
      <c r="R141" s="1213"/>
      <c r="S141" s="1213"/>
      <c r="T141" s="1213"/>
      <c r="U141" s="1213"/>
      <c r="V141" s="1213"/>
      <c r="W141" s="1213"/>
      <c r="X141" s="1213"/>
    </row>
    <row r="142" spans="1:24" ht="22.5" customHeight="1">
      <c r="A142" s="1264" t="s">
        <v>515</v>
      </c>
      <c r="B142" s="1247">
        <f>'[5]Druhova'!G138</f>
        <v>332330.31</v>
      </c>
      <c r="C142" s="1247">
        <f>'[5]Druhova'!B138</f>
        <v>108958</v>
      </c>
      <c r="D142" s="1247">
        <f>'[5]Druhova'!C138</f>
        <v>344356.98</v>
      </c>
      <c r="E142" s="1247">
        <f>'[5]Druhova'!D138</f>
        <v>646143.23</v>
      </c>
      <c r="F142" s="1247">
        <f t="shared" si="4"/>
        <v>187.64</v>
      </c>
      <c r="G142" s="1248">
        <f t="shared" si="5"/>
        <v>194.43</v>
      </c>
      <c r="H142" s="1212"/>
      <c r="I142" s="1212"/>
      <c r="J142" s="1212"/>
      <c r="K142" s="1212"/>
      <c r="L142" s="1212"/>
      <c r="O142" s="1213"/>
      <c r="P142" s="1213"/>
      <c r="Q142" s="1213"/>
      <c r="R142" s="1213"/>
      <c r="S142" s="1213"/>
      <c r="T142" s="1213"/>
      <c r="U142" s="1213"/>
      <c r="V142" s="1213"/>
      <c r="W142" s="1213"/>
      <c r="X142" s="1213"/>
    </row>
    <row r="143" spans="1:24" ht="12.75">
      <c r="A143" s="1264" t="s">
        <v>294</v>
      </c>
      <c r="B143" s="1247">
        <f>'[5]Druhova'!G139</f>
        <v>213442.81</v>
      </c>
      <c r="C143" s="1247">
        <f>'[5]Druhova'!B139</f>
        <v>41188</v>
      </c>
      <c r="D143" s="1247">
        <f>'[5]Druhova'!C139</f>
        <v>65752.71</v>
      </c>
      <c r="E143" s="1247">
        <f>'[5]Druhova'!D139</f>
        <v>264976.19</v>
      </c>
      <c r="F143" s="1247">
        <f t="shared" si="4"/>
        <v>402.99</v>
      </c>
      <c r="G143" s="1248">
        <f t="shared" si="5"/>
        <v>124.14</v>
      </c>
      <c r="H143" s="1212"/>
      <c r="I143" s="1212"/>
      <c r="J143" s="1212"/>
      <c r="K143" s="1212"/>
      <c r="L143" s="1212"/>
      <c r="O143" s="1213"/>
      <c r="P143" s="1213"/>
      <c r="Q143" s="1213"/>
      <c r="R143" s="1213"/>
      <c r="S143" s="1213"/>
      <c r="T143" s="1213"/>
      <c r="U143" s="1213"/>
      <c r="V143" s="1213"/>
      <c r="W143" s="1213"/>
      <c r="X143" s="1213"/>
    </row>
    <row r="144" spans="1:24" ht="22.5" customHeight="1">
      <c r="A144" s="1264" t="s">
        <v>295</v>
      </c>
      <c r="B144" s="1247">
        <f>'[5]Druhova'!G140</f>
        <v>0</v>
      </c>
      <c r="C144" s="1247">
        <f>'[5]Druhova'!B140</f>
        <v>0</v>
      </c>
      <c r="D144" s="1247">
        <f>'[5]Druhova'!C140</f>
        <v>0</v>
      </c>
      <c r="E144" s="1247">
        <f>'[5]Druhova'!D140</f>
        <v>0</v>
      </c>
      <c r="F144" s="1247">
        <f t="shared" si="4"/>
      </c>
      <c r="G144" s="1248">
        <f t="shared" si="5"/>
      </c>
      <c r="H144" s="1212"/>
      <c r="I144" s="1212"/>
      <c r="J144" s="1212"/>
      <c r="K144" s="1212"/>
      <c r="L144" s="1212"/>
      <c r="O144" s="1213"/>
      <c r="P144" s="1213"/>
      <c r="Q144" s="1213"/>
      <c r="R144" s="1213"/>
      <c r="S144" s="1213"/>
      <c r="T144" s="1213"/>
      <c r="U144" s="1213"/>
      <c r="V144" s="1213"/>
      <c r="W144" s="1213"/>
      <c r="X144" s="1213"/>
    </row>
    <row r="145" spans="1:14" s="1245" customFormat="1" ht="12.75">
      <c r="A145" s="1264" t="s">
        <v>296</v>
      </c>
      <c r="B145" s="1247">
        <f>'[5]Druhova'!G141</f>
        <v>118887.5</v>
      </c>
      <c r="C145" s="1247">
        <f>'[5]Druhova'!B141</f>
        <v>67770</v>
      </c>
      <c r="D145" s="1247">
        <f>'[5]Druhova'!C141</f>
        <v>278604.27</v>
      </c>
      <c r="E145" s="1247">
        <f>'[5]Druhova'!D141</f>
        <v>381167.04</v>
      </c>
      <c r="F145" s="1247">
        <f t="shared" si="4"/>
        <v>136.81</v>
      </c>
      <c r="G145" s="1248">
        <f t="shared" si="5"/>
        <v>320.61</v>
      </c>
      <c r="H145" s="1244"/>
      <c r="I145" s="1244"/>
      <c r="J145" s="1244"/>
      <c r="K145" s="1244"/>
      <c r="L145" s="1244"/>
      <c r="M145" s="1244"/>
      <c r="N145" s="1244"/>
    </row>
    <row r="146" spans="1:24" ht="22.5">
      <c r="A146" s="1264" t="s">
        <v>297</v>
      </c>
      <c r="B146" s="1247">
        <f>'[5]Druhova'!G142</f>
        <v>0</v>
      </c>
      <c r="C146" s="1247">
        <f>'[5]Druhova'!B142</f>
        <v>0</v>
      </c>
      <c r="D146" s="1247">
        <f>'[5]Druhova'!C142</f>
        <v>0</v>
      </c>
      <c r="E146" s="1247">
        <f>'[5]Druhova'!D142</f>
        <v>0</v>
      </c>
      <c r="F146" s="1247">
        <f t="shared" si="4"/>
      </c>
      <c r="G146" s="1248">
        <f t="shared" si="5"/>
      </c>
      <c r="H146" s="1212"/>
      <c r="I146" s="1212"/>
      <c r="J146" s="1212"/>
      <c r="K146" s="1212"/>
      <c r="L146" s="1212"/>
      <c r="O146" s="1213"/>
      <c r="P146" s="1213"/>
      <c r="Q146" s="1213"/>
      <c r="R146" s="1213"/>
      <c r="S146" s="1213"/>
      <c r="T146" s="1213"/>
      <c r="U146" s="1213"/>
      <c r="V146" s="1213"/>
      <c r="W146" s="1213"/>
      <c r="X146" s="1213"/>
    </row>
    <row r="147" spans="1:24" ht="12.75">
      <c r="A147" s="1264" t="s">
        <v>298</v>
      </c>
      <c r="B147" s="1247">
        <f>'[5]Druhova'!G143</f>
        <v>0</v>
      </c>
      <c r="C147" s="1247">
        <f>'[5]Druhova'!B143</f>
        <v>0</v>
      </c>
      <c r="D147" s="1247">
        <f>'[5]Druhova'!C143</f>
        <v>0</v>
      </c>
      <c r="E147" s="1247">
        <f>'[5]Druhova'!D143</f>
        <v>0</v>
      </c>
      <c r="F147" s="1247">
        <f t="shared" si="4"/>
      </c>
      <c r="G147" s="1248">
        <f t="shared" si="5"/>
      </c>
      <c r="H147" s="1212"/>
      <c r="I147" s="1212"/>
      <c r="J147" s="1212"/>
      <c r="K147" s="1212"/>
      <c r="L147" s="1212"/>
      <c r="O147" s="1213"/>
      <c r="P147" s="1213"/>
      <c r="Q147" s="1213"/>
      <c r="R147" s="1213"/>
      <c r="S147" s="1213"/>
      <c r="T147" s="1213"/>
      <c r="U147" s="1213"/>
      <c r="V147" s="1213"/>
      <c r="W147" s="1213"/>
      <c r="X147" s="1213"/>
    </row>
    <row r="148" spans="1:24" ht="22.5" customHeight="1">
      <c r="A148" s="1264" t="s">
        <v>299</v>
      </c>
      <c r="B148" s="1247">
        <f>'[5]Druhova'!G144</f>
        <v>0</v>
      </c>
      <c r="C148" s="1247">
        <f>'[5]Druhova'!B144</f>
        <v>0</v>
      </c>
      <c r="D148" s="1247">
        <f>'[5]Druhova'!C144</f>
        <v>0</v>
      </c>
      <c r="E148" s="1247">
        <f>'[5]Druhova'!D144</f>
        <v>0</v>
      </c>
      <c r="F148" s="1247">
        <f t="shared" si="4"/>
      </c>
      <c r="G148" s="1248">
        <f t="shared" si="5"/>
      </c>
      <c r="H148" s="1212"/>
      <c r="I148" s="1212"/>
      <c r="J148" s="1212"/>
      <c r="K148" s="1212"/>
      <c r="L148" s="1212"/>
      <c r="O148" s="1213"/>
      <c r="P148" s="1213"/>
      <c r="Q148" s="1213"/>
      <c r="R148" s="1213"/>
      <c r="S148" s="1213"/>
      <c r="T148" s="1213"/>
      <c r="U148" s="1213"/>
      <c r="V148" s="1213"/>
      <c r="W148" s="1213"/>
      <c r="X148" s="1213"/>
    </row>
    <row r="149" spans="1:24" ht="22.5" customHeight="1">
      <c r="A149" s="1264" t="s">
        <v>516</v>
      </c>
      <c r="B149" s="1247">
        <f>'[5]Druhova'!G145</f>
        <v>1068741.05</v>
      </c>
      <c r="C149" s="1247">
        <f>'[5]Druhova'!B145</f>
        <v>788235</v>
      </c>
      <c r="D149" s="1247">
        <f>'[5]Druhova'!C145</f>
        <v>1028870.97</v>
      </c>
      <c r="E149" s="1247">
        <f>'[5]Druhova'!D145</f>
        <v>1033029.08</v>
      </c>
      <c r="F149" s="1247">
        <f t="shared" si="4"/>
        <v>100.4</v>
      </c>
      <c r="G149" s="1248">
        <f t="shared" si="5"/>
        <v>96.66</v>
      </c>
      <c r="H149" s="1212"/>
      <c r="I149" s="1212"/>
      <c r="J149" s="1212"/>
      <c r="K149" s="1212"/>
      <c r="L149" s="1212"/>
      <c r="O149" s="1213"/>
      <c r="P149" s="1213"/>
      <c r="Q149" s="1213"/>
      <c r="R149" s="1213"/>
      <c r="S149" s="1213"/>
      <c r="T149" s="1213"/>
      <c r="U149" s="1213"/>
      <c r="V149" s="1213"/>
      <c r="W149" s="1213"/>
      <c r="X149" s="1213"/>
    </row>
    <row r="150" spans="1:24" ht="16.5" customHeight="1">
      <c r="A150" s="1264" t="s">
        <v>300</v>
      </c>
      <c r="B150" s="1247">
        <f>'[5]Druhova'!G146</f>
        <v>221890.71</v>
      </c>
      <c r="C150" s="1247">
        <f>'[5]Druhova'!B146</f>
        <v>218298</v>
      </c>
      <c r="D150" s="1247">
        <f>'[5]Druhova'!C146</f>
        <v>220055.36</v>
      </c>
      <c r="E150" s="1247">
        <f>'[5]Druhova'!D146</f>
        <v>223404.95</v>
      </c>
      <c r="F150" s="1247">
        <f t="shared" si="4"/>
        <v>101.52</v>
      </c>
      <c r="G150" s="1248">
        <f t="shared" si="5"/>
        <v>100.68</v>
      </c>
      <c r="H150" s="1212"/>
      <c r="I150" s="1212"/>
      <c r="J150" s="1212"/>
      <c r="K150" s="1212"/>
      <c r="L150" s="1212"/>
      <c r="O150" s="1213"/>
      <c r="P150" s="1213"/>
      <c r="Q150" s="1213"/>
      <c r="R150" s="1213"/>
      <c r="S150" s="1213"/>
      <c r="T150" s="1213"/>
      <c r="U150" s="1213"/>
      <c r="V150" s="1213"/>
      <c r="W150" s="1213"/>
      <c r="X150" s="1213"/>
    </row>
    <row r="151" spans="1:24" ht="22.5" customHeight="1">
      <c r="A151" s="1264" t="s">
        <v>301</v>
      </c>
      <c r="B151" s="1247">
        <f>'[5]Druhova'!G147</f>
        <v>221890.41</v>
      </c>
      <c r="C151" s="1247">
        <f>'[5]Druhova'!B147</f>
        <v>218298</v>
      </c>
      <c r="D151" s="1247">
        <f>'[5]Druhova'!C147</f>
        <v>220045.13</v>
      </c>
      <c r="E151" s="1247">
        <f>'[5]Druhova'!D147</f>
        <v>223394.71</v>
      </c>
      <c r="F151" s="1247">
        <f t="shared" si="4"/>
        <v>101.52</v>
      </c>
      <c r="G151" s="1248">
        <f t="shared" si="5"/>
        <v>100.68</v>
      </c>
      <c r="H151" s="1212"/>
      <c r="I151" s="1212"/>
      <c r="J151" s="1212"/>
      <c r="K151" s="1212"/>
      <c r="L151" s="1212"/>
      <c r="O151" s="1213"/>
      <c r="P151" s="1213"/>
      <c r="Q151" s="1213"/>
      <c r="R151" s="1213"/>
      <c r="S151" s="1213"/>
      <c r="T151" s="1213"/>
      <c r="U151" s="1213"/>
      <c r="V151" s="1213"/>
      <c r="W151" s="1213"/>
      <c r="X151" s="1213"/>
    </row>
    <row r="152" spans="1:24" ht="16.5" customHeight="1">
      <c r="A152" s="1264" t="s">
        <v>302</v>
      </c>
      <c r="B152" s="1247">
        <f>'[5]Druhova'!G148</f>
        <v>0</v>
      </c>
      <c r="C152" s="1247">
        <f>'[5]Druhova'!B148</f>
        <v>0</v>
      </c>
      <c r="D152" s="1247">
        <f>'[5]Druhova'!C148</f>
        <v>0</v>
      </c>
      <c r="E152" s="1247">
        <f>'[5]Druhova'!D148</f>
        <v>0</v>
      </c>
      <c r="F152" s="1247">
        <f t="shared" si="4"/>
      </c>
      <c r="G152" s="1248">
        <f t="shared" si="5"/>
      </c>
      <c r="H152" s="1212"/>
      <c r="I152" s="1212"/>
      <c r="J152" s="1212"/>
      <c r="K152" s="1212"/>
      <c r="L152" s="1212"/>
      <c r="O152" s="1213"/>
      <c r="P152" s="1213"/>
      <c r="Q152" s="1213"/>
      <c r="R152" s="1213"/>
      <c r="S152" s="1213"/>
      <c r="T152" s="1213"/>
      <c r="U152" s="1213"/>
      <c r="V152" s="1213"/>
      <c r="W152" s="1213"/>
      <c r="X152" s="1213"/>
    </row>
    <row r="153" spans="1:24" ht="16.5" customHeight="1">
      <c r="A153" s="1284" t="s">
        <v>303</v>
      </c>
      <c r="B153" s="1247">
        <f>'[5]Druhova'!G149</f>
        <v>13656.04</v>
      </c>
      <c r="C153" s="1247">
        <f>'[5]Druhova'!B149</f>
        <v>5178</v>
      </c>
      <c r="D153" s="1247">
        <f>'[5]Druhova'!C149</f>
        <v>43665.3</v>
      </c>
      <c r="E153" s="1247">
        <f>'[5]Druhova'!D149</f>
        <v>42409.71</v>
      </c>
      <c r="F153" s="1247">
        <f t="shared" si="4"/>
        <v>97.12</v>
      </c>
      <c r="G153" s="1248">
        <f t="shared" si="5"/>
        <v>310.56</v>
      </c>
      <c r="H153" s="1212"/>
      <c r="I153" s="1212"/>
      <c r="J153" s="1212"/>
      <c r="K153" s="1212"/>
      <c r="L153" s="1212"/>
      <c r="O153" s="1213"/>
      <c r="P153" s="1213"/>
      <c r="Q153" s="1213"/>
      <c r="R153" s="1213"/>
      <c r="S153" s="1213"/>
      <c r="T153" s="1213"/>
      <c r="U153" s="1213"/>
      <c r="V153" s="1213"/>
      <c r="W153" s="1213"/>
      <c r="X153" s="1213"/>
    </row>
    <row r="154" spans="1:24" ht="36">
      <c r="A154" s="1265" t="s">
        <v>504</v>
      </c>
      <c r="B154" s="1250">
        <f>'[5]Druhova'!G150</f>
        <v>1639339.44</v>
      </c>
      <c r="C154" s="1250">
        <f>'[5]Druhova'!B150</f>
        <v>1120669</v>
      </c>
      <c r="D154" s="1250">
        <f>'[5]Druhova'!C150</f>
        <v>1636948.61</v>
      </c>
      <c r="E154" s="1250">
        <f>'[5]Druhova'!D150</f>
        <v>1948628.15</v>
      </c>
      <c r="F154" s="1250">
        <f t="shared" si="4"/>
        <v>119.04</v>
      </c>
      <c r="G154" s="1251">
        <f t="shared" si="5"/>
        <v>118.87</v>
      </c>
      <c r="H154" s="1212"/>
      <c r="I154" s="1212"/>
      <c r="J154" s="1212"/>
      <c r="K154" s="1212"/>
      <c r="L154" s="1212"/>
      <c r="O154" s="1213"/>
      <c r="P154" s="1213"/>
      <c r="Q154" s="1213"/>
      <c r="R154" s="1213"/>
      <c r="S154" s="1213"/>
      <c r="T154" s="1213"/>
      <c r="U154" s="1213"/>
      <c r="V154" s="1213"/>
      <c r="W154" s="1213"/>
      <c r="X154" s="1213"/>
    </row>
    <row r="155" spans="1:24" ht="12.75">
      <c r="A155" s="1264" t="s">
        <v>304</v>
      </c>
      <c r="B155" s="1247">
        <f>'[5]Druhova'!G151</f>
        <v>8606348</v>
      </c>
      <c r="C155" s="1247">
        <f>'[5]Druhova'!B151</f>
        <v>9727474</v>
      </c>
      <c r="D155" s="1247">
        <f>'[5]Druhova'!C151</f>
        <v>9727474</v>
      </c>
      <c r="E155" s="1247">
        <f>'[5]Druhova'!D151</f>
        <v>8633921.94</v>
      </c>
      <c r="F155" s="1247">
        <f t="shared" si="4"/>
        <v>88.76</v>
      </c>
      <c r="G155" s="1248">
        <f t="shared" si="5"/>
        <v>100.32</v>
      </c>
      <c r="H155" s="1212"/>
      <c r="I155" s="1212"/>
      <c r="J155" s="1212"/>
      <c r="K155" s="1212"/>
      <c r="L155" s="1212"/>
      <c r="O155" s="1213"/>
      <c r="P155" s="1213"/>
      <c r="Q155" s="1213"/>
      <c r="R155" s="1213"/>
      <c r="S155" s="1213"/>
      <c r="T155" s="1213"/>
      <c r="U155" s="1213"/>
      <c r="V155" s="1213"/>
      <c r="W155" s="1213"/>
      <c r="X155" s="1213"/>
    </row>
    <row r="156" spans="1:24" ht="12.75">
      <c r="A156" s="1264" t="s">
        <v>305</v>
      </c>
      <c r="B156" s="1247">
        <f>'[5]Druhova'!G152</f>
        <v>98891.09</v>
      </c>
      <c r="C156" s="1247">
        <f>'[5]Druhova'!B152</f>
        <v>19416</v>
      </c>
      <c r="D156" s="1247">
        <f>'[5]Druhova'!C152</f>
        <v>30890.45</v>
      </c>
      <c r="E156" s="1247">
        <f>'[5]Druhova'!D152</f>
        <v>190118.06</v>
      </c>
      <c r="F156" s="1247">
        <f t="shared" si="4"/>
        <v>615.46</v>
      </c>
      <c r="G156" s="1248">
        <f t="shared" si="5"/>
        <v>192.25</v>
      </c>
      <c r="H156" s="1212"/>
      <c r="I156" s="1212"/>
      <c r="J156" s="1212"/>
      <c r="K156" s="1212"/>
      <c r="L156" s="1212"/>
      <c r="O156" s="1213"/>
      <c r="P156" s="1213"/>
      <c r="Q156" s="1213"/>
      <c r="R156" s="1213"/>
      <c r="S156" s="1213"/>
      <c r="T156" s="1213"/>
      <c r="U156" s="1213"/>
      <c r="V156" s="1213"/>
      <c r="W156" s="1213"/>
      <c r="X156" s="1213"/>
    </row>
    <row r="157" spans="1:24" ht="12.75">
      <c r="A157" s="1264" t="s">
        <v>306</v>
      </c>
      <c r="B157" s="1247">
        <f>'[5]Druhova'!G153</f>
        <v>9786.66</v>
      </c>
      <c r="C157" s="1247">
        <f>'[5]Druhova'!B153</f>
        <v>10847</v>
      </c>
      <c r="D157" s="1247">
        <f>'[5]Druhova'!C153</f>
        <v>9304.08</v>
      </c>
      <c r="E157" s="1247">
        <f>'[5]Druhova'!D153</f>
        <v>9275.01</v>
      </c>
      <c r="F157" s="1247">
        <f t="shared" si="4"/>
        <v>99.69</v>
      </c>
      <c r="G157" s="1248">
        <f t="shared" si="5"/>
        <v>94.77</v>
      </c>
      <c r="H157" s="1212"/>
      <c r="I157" s="1212"/>
      <c r="J157" s="1212"/>
      <c r="K157" s="1212"/>
      <c r="L157" s="1212"/>
      <c r="O157" s="1213"/>
      <c r="P157" s="1213"/>
      <c r="Q157" s="1213"/>
      <c r="R157" s="1213"/>
      <c r="S157" s="1213"/>
      <c r="T157" s="1213"/>
      <c r="U157" s="1213"/>
      <c r="V157" s="1213"/>
      <c r="W157" s="1213"/>
      <c r="X157" s="1213"/>
    </row>
    <row r="158" spans="1:24" ht="12.75">
      <c r="A158" s="1285" t="s">
        <v>307</v>
      </c>
      <c r="B158" s="1250">
        <f>'[5]Druhova'!G154</f>
        <v>8715025.75</v>
      </c>
      <c r="C158" s="1250">
        <f>'[5]Druhova'!B154</f>
        <v>9757737</v>
      </c>
      <c r="D158" s="1250">
        <f>'[5]Druhova'!C154</f>
        <v>9767668.53</v>
      </c>
      <c r="E158" s="1250">
        <f>'[5]Druhova'!D154</f>
        <v>8833315.02</v>
      </c>
      <c r="F158" s="1250">
        <f t="shared" si="4"/>
        <v>90.43</v>
      </c>
      <c r="G158" s="1251">
        <f t="shared" si="5"/>
        <v>101.36</v>
      </c>
      <c r="H158" s="1212"/>
      <c r="I158" s="1212"/>
      <c r="J158" s="1212"/>
      <c r="K158" s="1212"/>
      <c r="L158" s="1212"/>
      <c r="O158" s="1213"/>
      <c r="P158" s="1213"/>
      <c r="Q158" s="1213"/>
      <c r="R158" s="1213"/>
      <c r="S158" s="1213"/>
      <c r="T158" s="1213"/>
      <c r="U158" s="1213"/>
      <c r="V158" s="1213"/>
      <c r="W158" s="1213"/>
      <c r="X158" s="1213"/>
    </row>
    <row r="159" spans="1:24" ht="24" customHeight="1">
      <c r="A159" s="1264" t="s">
        <v>308</v>
      </c>
      <c r="B159" s="1247">
        <f>'[5]Druhova'!G155</f>
        <v>5564.25</v>
      </c>
      <c r="C159" s="1247">
        <f>'[5]Druhova'!B155</f>
        <v>2290</v>
      </c>
      <c r="D159" s="1247">
        <f>'[5]Druhova'!C155</f>
        <v>8485.67</v>
      </c>
      <c r="E159" s="1247">
        <f>'[5]Druhova'!D155</f>
        <v>6539.77</v>
      </c>
      <c r="F159" s="1247">
        <f t="shared" si="4"/>
        <v>77.07</v>
      </c>
      <c r="G159" s="1248">
        <f t="shared" si="5"/>
        <v>117.53</v>
      </c>
      <c r="H159" s="1212"/>
      <c r="I159" s="1212"/>
      <c r="J159" s="1212"/>
      <c r="K159" s="1212"/>
      <c r="L159" s="1212"/>
      <c r="O159" s="1213"/>
      <c r="P159" s="1213"/>
      <c r="Q159" s="1213"/>
      <c r="R159" s="1213"/>
      <c r="S159" s="1213"/>
      <c r="T159" s="1213"/>
      <c r="U159" s="1213"/>
      <c r="V159" s="1213"/>
      <c r="W159" s="1213"/>
      <c r="X159" s="1213"/>
    </row>
    <row r="160" spans="1:24" ht="34.5" customHeight="1">
      <c r="A160" s="1264" t="s">
        <v>309</v>
      </c>
      <c r="B160" s="1247">
        <f>'[5]Druhova'!G156</f>
        <v>0</v>
      </c>
      <c r="C160" s="1247">
        <f>'[5]Druhova'!B156</f>
        <v>0</v>
      </c>
      <c r="D160" s="1247">
        <f>'[5]Druhova'!C156</f>
        <v>0</v>
      </c>
      <c r="E160" s="1247">
        <f>'[5]Druhova'!D156</f>
        <v>0</v>
      </c>
      <c r="F160" s="1247">
        <f t="shared" si="4"/>
      </c>
      <c r="G160" s="1248">
        <f t="shared" si="5"/>
      </c>
      <c r="H160" s="1212"/>
      <c r="I160" s="1212"/>
      <c r="J160" s="1212"/>
      <c r="K160" s="1212"/>
      <c r="L160" s="1212"/>
      <c r="O160" s="1213"/>
      <c r="P160" s="1213"/>
      <c r="Q160" s="1213"/>
      <c r="R160" s="1213"/>
      <c r="S160" s="1213"/>
      <c r="T160" s="1213"/>
      <c r="U160" s="1213"/>
      <c r="V160" s="1213"/>
      <c r="W160" s="1213"/>
      <c r="X160" s="1213"/>
    </row>
    <row r="161" spans="1:24" ht="34.5" customHeight="1">
      <c r="A161" s="1264" t="s">
        <v>310</v>
      </c>
      <c r="B161" s="1247">
        <f>'[5]Druhova'!G157</f>
        <v>0</v>
      </c>
      <c r="C161" s="1247">
        <f>'[5]Druhova'!B157</f>
        <v>0</v>
      </c>
      <c r="D161" s="1247">
        <f>'[5]Druhova'!C157</f>
        <v>0</v>
      </c>
      <c r="E161" s="1247">
        <f>'[5]Druhova'!D157</f>
        <v>0</v>
      </c>
      <c r="F161" s="1247">
        <f t="shared" si="4"/>
      </c>
      <c r="G161" s="1248">
        <f t="shared" si="5"/>
      </c>
      <c r="H161" s="1212"/>
      <c r="I161" s="1212"/>
      <c r="J161" s="1212"/>
      <c r="K161" s="1212"/>
      <c r="L161" s="1212"/>
      <c r="O161" s="1213"/>
      <c r="P161" s="1213"/>
      <c r="Q161" s="1213"/>
      <c r="R161" s="1213"/>
      <c r="S161" s="1213"/>
      <c r="T161" s="1213"/>
      <c r="U161" s="1213"/>
      <c r="V161" s="1213"/>
      <c r="W161" s="1213"/>
      <c r="X161" s="1213"/>
    </row>
    <row r="162" spans="1:24" ht="12.75">
      <c r="A162" s="1264" t="s">
        <v>311</v>
      </c>
      <c r="B162" s="1247">
        <f>'[5]Druhova'!G158</f>
        <v>0</v>
      </c>
      <c r="C162" s="1247">
        <f>'[5]Druhova'!B158</f>
        <v>0</v>
      </c>
      <c r="D162" s="1247">
        <f>'[5]Druhova'!C158</f>
        <v>0</v>
      </c>
      <c r="E162" s="1247">
        <f>'[5]Druhova'!D158</f>
        <v>0</v>
      </c>
      <c r="F162" s="1247">
        <f t="shared" si="4"/>
      </c>
      <c r="G162" s="1248">
        <f t="shared" si="5"/>
      </c>
      <c r="H162" s="1212"/>
      <c r="I162" s="1212"/>
      <c r="J162" s="1212"/>
      <c r="K162" s="1212"/>
      <c r="L162" s="1212"/>
      <c r="O162" s="1213"/>
      <c r="P162" s="1213"/>
      <c r="Q162" s="1213"/>
      <c r="R162" s="1213"/>
      <c r="S162" s="1213"/>
      <c r="T162" s="1213"/>
      <c r="U162" s="1213"/>
      <c r="V162" s="1213"/>
      <c r="W162" s="1213"/>
      <c r="X162" s="1213"/>
    </row>
    <row r="163" spans="1:24" ht="12.75">
      <c r="A163" s="1264" t="s">
        <v>312</v>
      </c>
      <c r="B163" s="1247">
        <f>'[5]Druhova'!G159</f>
        <v>0</v>
      </c>
      <c r="C163" s="1247">
        <f>'[5]Druhova'!B159</f>
        <v>0</v>
      </c>
      <c r="D163" s="1247">
        <f>'[5]Druhova'!C159</f>
        <v>47500</v>
      </c>
      <c r="E163" s="1247">
        <f>'[5]Druhova'!D159</f>
        <v>47500</v>
      </c>
      <c r="F163" s="1247">
        <f t="shared" si="4"/>
        <v>100</v>
      </c>
      <c r="G163" s="1248">
        <f t="shared" si="5"/>
      </c>
      <c r="H163" s="1212"/>
      <c r="I163" s="1212"/>
      <c r="J163" s="1212"/>
      <c r="K163" s="1212"/>
      <c r="L163" s="1212"/>
      <c r="O163" s="1213"/>
      <c r="P163" s="1213"/>
      <c r="Q163" s="1213"/>
      <c r="R163" s="1213"/>
      <c r="S163" s="1213"/>
      <c r="T163" s="1213"/>
      <c r="U163" s="1213"/>
      <c r="V163" s="1213"/>
      <c r="W163" s="1213"/>
      <c r="X163" s="1213"/>
    </row>
    <row r="164" spans="1:24" ht="12.75">
      <c r="A164" s="1265" t="s">
        <v>313</v>
      </c>
      <c r="B164" s="1250">
        <f>'[5]Druhova'!G160</f>
        <v>5564.25</v>
      </c>
      <c r="C164" s="1250">
        <f>'[5]Druhova'!B160</f>
        <v>2290</v>
      </c>
      <c r="D164" s="1250">
        <f>'[5]Druhova'!C160</f>
        <v>55985.67</v>
      </c>
      <c r="E164" s="1250">
        <f>'[5]Druhova'!D160</f>
        <v>54039.77</v>
      </c>
      <c r="F164" s="1250">
        <f t="shared" si="4"/>
        <v>96.52</v>
      </c>
      <c r="G164" s="1251">
        <f t="shared" si="5"/>
        <v>971.2</v>
      </c>
      <c r="H164" s="1212"/>
      <c r="I164" s="1212"/>
      <c r="J164" s="1212"/>
      <c r="K164" s="1212"/>
      <c r="L164" s="1212"/>
      <c r="O164" s="1213"/>
      <c r="P164" s="1213"/>
      <c r="Q164" s="1213"/>
      <c r="R164" s="1213"/>
      <c r="S164" s="1213"/>
      <c r="T164" s="1213"/>
      <c r="U164" s="1213"/>
      <c r="V164" s="1213"/>
      <c r="W164" s="1213"/>
      <c r="X164" s="1213"/>
    </row>
    <row r="165" spans="1:24" ht="24" customHeight="1">
      <c r="A165" s="1264" t="s">
        <v>385</v>
      </c>
      <c r="B165" s="1247">
        <f>'[5]Druhova'!G161</f>
        <v>0</v>
      </c>
      <c r="C165" s="1247">
        <f>'[5]Druhova'!B161</f>
        <v>0</v>
      </c>
      <c r="D165" s="1247">
        <f>'[5]Druhova'!C161</f>
        <v>0</v>
      </c>
      <c r="E165" s="1247">
        <f>'[5]Druhova'!D161</f>
        <v>0</v>
      </c>
      <c r="F165" s="1247">
        <f t="shared" si="4"/>
      </c>
      <c r="G165" s="1248">
        <f t="shared" si="5"/>
      </c>
      <c r="H165" s="1212"/>
      <c r="I165" s="1212"/>
      <c r="J165" s="1212"/>
      <c r="K165" s="1212"/>
      <c r="L165" s="1212"/>
      <c r="O165" s="1213"/>
      <c r="P165" s="1213"/>
      <c r="Q165" s="1213"/>
      <c r="R165" s="1213"/>
      <c r="S165" s="1213"/>
      <c r="T165" s="1213"/>
      <c r="U165" s="1213"/>
      <c r="V165" s="1213"/>
      <c r="W165" s="1213"/>
      <c r="X165" s="1213"/>
    </row>
    <row r="166" spans="1:24" ht="22.5" customHeight="1">
      <c r="A166" s="1264" t="s">
        <v>386</v>
      </c>
      <c r="B166" s="1247">
        <f>'[5]Druhova'!G162</f>
        <v>0</v>
      </c>
      <c r="C166" s="1247">
        <f>'[5]Druhova'!B162</f>
        <v>0</v>
      </c>
      <c r="D166" s="1247">
        <f>'[5]Druhova'!C162</f>
        <v>0</v>
      </c>
      <c r="E166" s="1247">
        <f>'[5]Druhova'!D162</f>
        <v>0</v>
      </c>
      <c r="F166" s="1247">
        <f t="shared" si="4"/>
      </c>
      <c r="G166" s="1248">
        <f t="shared" si="5"/>
      </c>
      <c r="H166" s="1212"/>
      <c r="I166" s="1212"/>
      <c r="J166" s="1212"/>
      <c r="K166" s="1212"/>
      <c r="L166" s="1212"/>
      <c r="O166" s="1213"/>
      <c r="P166" s="1213"/>
      <c r="Q166" s="1213"/>
      <c r="R166" s="1213"/>
      <c r="S166" s="1213"/>
      <c r="T166" s="1213"/>
      <c r="U166" s="1213"/>
      <c r="V166" s="1213"/>
      <c r="W166" s="1213"/>
      <c r="X166" s="1213"/>
    </row>
    <row r="167" spans="1:24" ht="22.5" customHeight="1">
      <c r="A167" s="1264" t="s">
        <v>387</v>
      </c>
      <c r="B167" s="1247">
        <f>'[5]Druhova'!G163</f>
        <v>0</v>
      </c>
      <c r="C167" s="1247">
        <f>'[5]Druhova'!B163</f>
        <v>0</v>
      </c>
      <c r="D167" s="1247">
        <f>'[5]Druhova'!C163</f>
        <v>0</v>
      </c>
      <c r="E167" s="1247">
        <f>'[5]Druhova'!D163</f>
        <v>0</v>
      </c>
      <c r="F167" s="1247">
        <f t="shared" si="4"/>
      </c>
      <c r="G167" s="1248">
        <f t="shared" si="5"/>
      </c>
      <c r="H167" s="1212"/>
      <c r="I167" s="1212"/>
      <c r="J167" s="1212"/>
      <c r="K167" s="1212"/>
      <c r="L167" s="1212"/>
      <c r="O167" s="1213"/>
      <c r="P167" s="1213"/>
      <c r="Q167" s="1213"/>
      <c r="R167" s="1213"/>
      <c r="S167" s="1213"/>
      <c r="T167" s="1213"/>
      <c r="U167" s="1213"/>
      <c r="V167" s="1213"/>
      <c r="W167" s="1213"/>
      <c r="X167" s="1213"/>
    </row>
    <row r="168" spans="1:24" ht="22.5">
      <c r="A168" s="1264" t="s">
        <v>388</v>
      </c>
      <c r="B168" s="1247">
        <f>'[5]Druhova'!G164</f>
        <v>0</v>
      </c>
      <c r="C168" s="1247">
        <f>'[5]Druhova'!B164</f>
        <v>0</v>
      </c>
      <c r="D168" s="1247">
        <f>'[5]Druhova'!C164</f>
        <v>0</v>
      </c>
      <c r="E168" s="1247">
        <f>'[5]Druhova'!D164</f>
        <v>0</v>
      </c>
      <c r="F168" s="1247">
        <f t="shared" si="4"/>
      </c>
      <c r="G168" s="1248">
        <f t="shared" si="5"/>
      </c>
      <c r="H168" s="1212"/>
      <c r="I168" s="1212"/>
      <c r="J168" s="1212"/>
      <c r="K168" s="1212"/>
      <c r="L168" s="1212"/>
      <c r="O168" s="1213"/>
      <c r="P168" s="1213"/>
      <c r="Q168" s="1213"/>
      <c r="R168" s="1213"/>
      <c r="S168" s="1213"/>
      <c r="T168" s="1213"/>
      <c r="U168" s="1213"/>
      <c r="V168" s="1213"/>
      <c r="W168" s="1213"/>
      <c r="X168" s="1213"/>
    </row>
    <row r="169" spans="1:14" s="1245" customFormat="1" ht="22.5" customHeight="1">
      <c r="A169" s="1264" t="s">
        <v>389</v>
      </c>
      <c r="B169" s="1247">
        <f>'[5]Druhova'!G165</f>
        <v>0</v>
      </c>
      <c r="C169" s="1247">
        <f>'[5]Druhova'!B165</f>
        <v>0</v>
      </c>
      <c r="D169" s="1247">
        <f>'[5]Druhova'!C165</f>
        <v>0</v>
      </c>
      <c r="E169" s="1247">
        <f>'[5]Druhova'!D165</f>
        <v>0</v>
      </c>
      <c r="F169" s="1247">
        <f t="shared" si="4"/>
      </c>
      <c r="G169" s="1248">
        <f t="shared" si="5"/>
      </c>
      <c r="H169" s="1244"/>
      <c r="I169" s="1244"/>
      <c r="J169" s="1244"/>
      <c r="K169" s="1244"/>
      <c r="L169" s="1244"/>
      <c r="M169" s="1244"/>
      <c r="N169" s="1244"/>
    </row>
    <row r="170" spans="1:24" ht="12.75">
      <c r="A170" s="1264" t="s">
        <v>390</v>
      </c>
      <c r="B170" s="1247">
        <f>'[5]Druhova'!G166</f>
        <v>0</v>
      </c>
      <c r="C170" s="1247">
        <f>'[5]Druhova'!B166</f>
        <v>0</v>
      </c>
      <c r="D170" s="1247">
        <f>'[5]Druhova'!C166</f>
        <v>0</v>
      </c>
      <c r="E170" s="1247">
        <f>'[5]Druhova'!D166</f>
        <v>0</v>
      </c>
      <c r="F170" s="1247">
        <f t="shared" si="4"/>
      </c>
      <c r="G170" s="1248">
        <f t="shared" si="5"/>
      </c>
      <c r="H170" s="1212"/>
      <c r="I170" s="1212"/>
      <c r="J170" s="1212"/>
      <c r="K170" s="1212"/>
      <c r="L170" s="1212"/>
      <c r="O170" s="1213"/>
      <c r="P170" s="1213"/>
      <c r="Q170" s="1213"/>
      <c r="R170" s="1213"/>
      <c r="S170" s="1213"/>
      <c r="T170" s="1213"/>
      <c r="U170" s="1213"/>
      <c r="V170" s="1213"/>
      <c r="W170" s="1213"/>
      <c r="X170" s="1213"/>
    </row>
    <row r="171" spans="1:24" ht="12.75">
      <c r="A171" s="1264" t="s">
        <v>391</v>
      </c>
      <c r="B171" s="1247">
        <f>'[5]Druhova'!G167</f>
        <v>0</v>
      </c>
      <c r="C171" s="1247">
        <f>'[5]Druhova'!B167</f>
        <v>0</v>
      </c>
      <c r="D171" s="1247">
        <f>'[5]Druhova'!C167</f>
        <v>0</v>
      </c>
      <c r="E171" s="1247">
        <f>'[5]Druhova'!D167</f>
        <v>0</v>
      </c>
      <c r="F171" s="1247">
        <f t="shared" si="4"/>
      </c>
      <c r="G171" s="1248">
        <f t="shared" si="5"/>
      </c>
      <c r="H171" s="1212"/>
      <c r="I171" s="1212"/>
      <c r="J171" s="1212"/>
      <c r="K171" s="1212"/>
      <c r="L171" s="1212"/>
      <c r="O171" s="1213"/>
      <c r="P171" s="1213"/>
      <c r="Q171" s="1213"/>
      <c r="R171" s="1213"/>
      <c r="S171" s="1213"/>
      <c r="T171" s="1213"/>
      <c r="U171" s="1213"/>
      <c r="V171" s="1213"/>
      <c r="W171" s="1213"/>
      <c r="X171" s="1213"/>
    </row>
    <row r="172" spans="1:24" ht="12.75">
      <c r="A172" s="1265" t="s">
        <v>314</v>
      </c>
      <c r="B172" s="1247">
        <f>'[5]Druhova'!G168</f>
        <v>0</v>
      </c>
      <c r="C172" s="1247">
        <f>'[5]Druhova'!B168</f>
        <v>0</v>
      </c>
      <c r="D172" s="1247">
        <f>'[5]Druhova'!C168</f>
        <v>0</v>
      </c>
      <c r="E172" s="1247">
        <f>'[5]Druhova'!D168</f>
        <v>0</v>
      </c>
      <c r="F172" s="1247">
        <f t="shared" si="4"/>
      </c>
      <c r="G172" s="1248">
        <f t="shared" si="5"/>
      </c>
      <c r="H172" s="1212"/>
      <c r="I172" s="1212"/>
      <c r="J172" s="1212"/>
      <c r="K172" s="1212"/>
      <c r="L172" s="1212"/>
      <c r="O172" s="1213"/>
      <c r="P172" s="1213"/>
      <c r="Q172" s="1213"/>
      <c r="R172" s="1213"/>
      <c r="S172" s="1213"/>
      <c r="T172" s="1213"/>
      <c r="U172" s="1213"/>
      <c r="V172" s="1213"/>
      <c r="W172" s="1213"/>
      <c r="X172" s="1213"/>
    </row>
    <row r="173" spans="1:14" s="1245" customFormat="1" ht="24" customHeight="1">
      <c r="A173" s="1264" t="s">
        <v>392</v>
      </c>
      <c r="B173" s="1247">
        <f>'[5]Druhova'!G169</f>
        <v>0</v>
      </c>
      <c r="C173" s="1247">
        <f>'[5]Druhova'!B169</f>
        <v>0</v>
      </c>
      <c r="D173" s="1247">
        <f>'[5]Druhova'!C169</f>
        <v>0</v>
      </c>
      <c r="E173" s="1247">
        <f>'[5]Druhova'!D169</f>
        <v>0</v>
      </c>
      <c r="F173" s="1247">
        <f t="shared" si="4"/>
      </c>
      <c r="G173" s="1248">
        <f t="shared" si="5"/>
      </c>
      <c r="H173" s="1244"/>
      <c r="I173" s="1244"/>
      <c r="J173" s="1244"/>
      <c r="K173" s="1244"/>
      <c r="L173" s="1244"/>
      <c r="M173" s="1244"/>
      <c r="N173" s="1244"/>
    </row>
    <row r="174" spans="1:24" ht="22.5" customHeight="1">
      <c r="A174" s="1264" t="s">
        <v>393</v>
      </c>
      <c r="B174" s="1247">
        <f>'[5]Druhova'!G170</f>
        <v>0</v>
      </c>
      <c r="C174" s="1247">
        <f>'[5]Druhova'!B170</f>
        <v>0</v>
      </c>
      <c r="D174" s="1247">
        <f>'[5]Druhova'!C170</f>
        <v>0</v>
      </c>
      <c r="E174" s="1247">
        <f>'[5]Druhova'!D170</f>
        <v>0</v>
      </c>
      <c r="F174" s="1247">
        <f t="shared" si="4"/>
      </c>
      <c r="G174" s="1248">
        <f t="shared" si="5"/>
      </c>
      <c r="H174" s="1212"/>
      <c r="I174" s="1212"/>
      <c r="J174" s="1212"/>
      <c r="K174" s="1212"/>
      <c r="L174" s="1212"/>
      <c r="O174" s="1213"/>
      <c r="P174" s="1213"/>
      <c r="Q174" s="1213"/>
      <c r="R174" s="1213"/>
      <c r="S174" s="1213"/>
      <c r="T174" s="1213"/>
      <c r="U174" s="1213"/>
      <c r="V174" s="1213"/>
      <c r="W174" s="1213"/>
      <c r="X174" s="1213"/>
    </row>
    <row r="175" spans="1:24" ht="22.5" customHeight="1">
      <c r="A175" s="1264" t="s">
        <v>394</v>
      </c>
      <c r="B175" s="1247">
        <f>'[5]Druhova'!G171</f>
        <v>0</v>
      </c>
      <c r="C175" s="1247">
        <f>'[5]Druhova'!B171</f>
        <v>0</v>
      </c>
      <c r="D175" s="1247">
        <f>'[5]Druhova'!C171</f>
        <v>0</v>
      </c>
      <c r="E175" s="1247">
        <f>'[5]Druhova'!D171</f>
        <v>0</v>
      </c>
      <c r="F175" s="1247">
        <f t="shared" si="4"/>
      </c>
      <c r="G175" s="1248">
        <f t="shared" si="5"/>
      </c>
      <c r="H175" s="1212"/>
      <c r="I175" s="1212"/>
      <c r="J175" s="1212"/>
      <c r="K175" s="1212"/>
      <c r="L175" s="1212"/>
      <c r="O175" s="1213"/>
      <c r="P175" s="1213"/>
      <c r="Q175" s="1213"/>
      <c r="R175" s="1213"/>
      <c r="S175" s="1213"/>
      <c r="T175" s="1213"/>
      <c r="U175" s="1213"/>
      <c r="V175" s="1213"/>
      <c r="W175" s="1213"/>
      <c r="X175" s="1213"/>
    </row>
    <row r="176" spans="1:24" ht="22.5" customHeight="1">
      <c r="A176" s="1264" t="s">
        <v>395</v>
      </c>
      <c r="B176" s="1247">
        <f>'[5]Druhova'!G172</f>
        <v>0</v>
      </c>
      <c r="C176" s="1247">
        <f>'[5]Druhova'!B172</f>
        <v>0</v>
      </c>
      <c r="D176" s="1247">
        <f>'[5]Druhova'!C172</f>
        <v>0</v>
      </c>
      <c r="E176" s="1247">
        <f>'[5]Druhova'!D172</f>
        <v>0</v>
      </c>
      <c r="F176" s="1247">
        <f t="shared" si="4"/>
      </c>
      <c r="G176" s="1248">
        <f t="shared" si="5"/>
      </c>
      <c r="H176" s="1212"/>
      <c r="I176" s="1212"/>
      <c r="J176" s="1212"/>
      <c r="K176" s="1212"/>
      <c r="L176" s="1212"/>
      <c r="O176" s="1213"/>
      <c r="P176" s="1213"/>
      <c r="Q176" s="1213"/>
      <c r="R176" s="1213"/>
      <c r="S176" s="1213"/>
      <c r="T176" s="1213"/>
      <c r="U176" s="1213"/>
      <c r="V176" s="1213"/>
      <c r="W176" s="1213"/>
      <c r="X176" s="1213"/>
    </row>
    <row r="177" spans="1:24" ht="22.5" customHeight="1">
      <c r="A177" s="1264" t="s">
        <v>315</v>
      </c>
      <c r="B177" s="1247">
        <f>'[5]Druhova'!G173</f>
        <v>0</v>
      </c>
      <c r="C177" s="1247">
        <f>'[5]Druhova'!B173</f>
        <v>0</v>
      </c>
      <c r="D177" s="1247">
        <f>'[5]Druhova'!C173</f>
        <v>0</v>
      </c>
      <c r="E177" s="1247">
        <f>'[5]Druhova'!D173</f>
        <v>0</v>
      </c>
      <c r="F177" s="1247">
        <f t="shared" si="4"/>
      </c>
      <c r="G177" s="1248">
        <f t="shared" si="5"/>
      </c>
      <c r="H177" s="1212"/>
      <c r="I177" s="1212"/>
      <c r="J177" s="1212"/>
      <c r="K177" s="1212"/>
      <c r="L177" s="1212"/>
      <c r="O177" s="1213"/>
      <c r="P177" s="1213"/>
      <c r="Q177" s="1213"/>
      <c r="R177" s="1213"/>
      <c r="S177" s="1213"/>
      <c r="T177" s="1213"/>
      <c r="U177" s="1213"/>
      <c r="V177" s="1213"/>
      <c r="W177" s="1213"/>
      <c r="X177" s="1213"/>
    </row>
    <row r="178" spans="1:24" ht="22.5" customHeight="1">
      <c r="A178" s="1264" t="s">
        <v>316</v>
      </c>
      <c r="B178" s="1247">
        <f>'[5]Druhova'!G174</f>
        <v>0</v>
      </c>
      <c r="C178" s="1247">
        <f>'[5]Druhova'!B174</f>
        <v>0</v>
      </c>
      <c r="D178" s="1247">
        <f>'[5]Druhova'!C174</f>
        <v>0</v>
      </c>
      <c r="E178" s="1247">
        <f>'[5]Druhova'!D174</f>
        <v>0</v>
      </c>
      <c r="F178" s="1247">
        <f t="shared" si="4"/>
      </c>
      <c r="G178" s="1248">
        <f t="shared" si="5"/>
      </c>
      <c r="H178" s="1212"/>
      <c r="I178" s="1212"/>
      <c r="J178" s="1212"/>
      <c r="K178" s="1212"/>
      <c r="L178" s="1212"/>
      <c r="O178" s="1213"/>
      <c r="P178" s="1213"/>
      <c r="Q178" s="1213"/>
      <c r="R178" s="1213"/>
      <c r="S178" s="1213"/>
      <c r="T178" s="1213"/>
      <c r="U178" s="1213"/>
      <c r="V178" s="1213"/>
      <c r="W178" s="1213"/>
      <c r="X178" s="1213"/>
    </row>
    <row r="179" spans="1:24" ht="22.5" customHeight="1">
      <c r="A179" s="1264" t="s">
        <v>317</v>
      </c>
      <c r="B179" s="1247">
        <f>'[5]Druhova'!G175</f>
        <v>0</v>
      </c>
      <c r="C179" s="1247">
        <f>'[5]Druhova'!B175</f>
        <v>0</v>
      </c>
      <c r="D179" s="1247">
        <f>'[5]Druhova'!C175</f>
        <v>0</v>
      </c>
      <c r="E179" s="1247">
        <f>'[5]Druhova'!D175</f>
        <v>0</v>
      </c>
      <c r="F179" s="1247">
        <f t="shared" si="4"/>
      </c>
      <c r="G179" s="1248">
        <f t="shared" si="5"/>
      </c>
      <c r="H179" s="1212"/>
      <c r="I179" s="1212"/>
      <c r="J179" s="1212"/>
      <c r="K179" s="1212"/>
      <c r="L179" s="1212"/>
      <c r="O179" s="1213"/>
      <c r="P179" s="1213"/>
      <c r="Q179" s="1213"/>
      <c r="R179" s="1213"/>
      <c r="S179" s="1213"/>
      <c r="T179" s="1213"/>
      <c r="U179" s="1213"/>
      <c r="V179" s="1213"/>
      <c r="W179" s="1213"/>
      <c r="X179" s="1213"/>
    </row>
    <row r="180" spans="1:24" ht="12.75">
      <c r="A180" s="1264" t="s">
        <v>318</v>
      </c>
      <c r="B180" s="1247">
        <f>'[5]Druhova'!G176</f>
        <v>0</v>
      </c>
      <c r="C180" s="1247">
        <f>'[5]Druhova'!B176</f>
        <v>0</v>
      </c>
      <c r="D180" s="1247">
        <f>'[5]Druhova'!C176</f>
        <v>0</v>
      </c>
      <c r="E180" s="1247">
        <f>'[5]Druhova'!D176</f>
        <v>0</v>
      </c>
      <c r="F180" s="1247">
        <f t="shared" si="4"/>
      </c>
      <c r="G180" s="1248">
        <f t="shared" si="5"/>
      </c>
      <c r="H180" s="1212"/>
      <c r="I180" s="1212"/>
      <c r="J180" s="1212"/>
      <c r="K180" s="1212"/>
      <c r="L180" s="1212"/>
      <c r="O180" s="1213"/>
      <c r="P180" s="1213"/>
      <c r="Q180" s="1213"/>
      <c r="R180" s="1213"/>
      <c r="S180" s="1213"/>
      <c r="T180" s="1213"/>
      <c r="U180" s="1213"/>
      <c r="V180" s="1213"/>
      <c r="W180" s="1213"/>
      <c r="X180" s="1213"/>
    </row>
    <row r="181" spans="1:24" ht="17.25" customHeight="1">
      <c r="A181" s="1265" t="s">
        <v>319</v>
      </c>
      <c r="B181" s="1250">
        <f>'[5]Druhova'!G177</f>
        <v>0</v>
      </c>
      <c r="C181" s="1250">
        <f>'[5]Druhova'!B177</f>
        <v>0</v>
      </c>
      <c r="D181" s="1250">
        <f>'[5]Druhova'!C177</f>
        <v>0</v>
      </c>
      <c r="E181" s="1250">
        <f>'[5]Druhova'!D177</f>
        <v>0</v>
      </c>
      <c r="F181" s="1250">
        <f t="shared" si="4"/>
      </c>
      <c r="G181" s="1251">
        <f t="shared" si="5"/>
      </c>
      <c r="H181" s="1212"/>
      <c r="I181" s="1212"/>
      <c r="J181" s="1212"/>
      <c r="K181" s="1212"/>
      <c r="L181" s="1212"/>
      <c r="O181" s="1213"/>
      <c r="P181" s="1213"/>
      <c r="Q181" s="1213"/>
      <c r="R181" s="1213"/>
      <c r="S181" s="1213"/>
      <c r="T181" s="1213"/>
      <c r="U181" s="1213"/>
      <c r="V181" s="1213"/>
      <c r="W181" s="1213"/>
      <c r="X181" s="1213"/>
    </row>
    <row r="182" spans="1:14" s="1245" customFormat="1" ht="18" customHeight="1">
      <c r="A182" s="1264" t="s">
        <v>320</v>
      </c>
      <c r="B182" s="1247">
        <f>'[5]Druhova'!G178</f>
        <v>118054.43</v>
      </c>
      <c r="C182" s="1247">
        <f>'[5]Druhova'!B178</f>
        <v>980671</v>
      </c>
      <c r="D182" s="1247">
        <f>'[5]Druhova'!C178</f>
        <v>57675.73</v>
      </c>
      <c r="E182" s="1247">
        <f>'[5]Druhova'!D178</f>
        <v>88905.36</v>
      </c>
      <c r="F182" s="1247">
        <f t="shared" si="4"/>
        <v>154.15</v>
      </c>
      <c r="G182" s="1248">
        <f t="shared" si="5"/>
        <v>75.31</v>
      </c>
      <c r="H182" s="1244"/>
      <c r="I182" s="1244"/>
      <c r="J182" s="1244"/>
      <c r="K182" s="1244"/>
      <c r="L182" s="1244"/>
      <c r="M182" s="1244"/>
      <c r="N182" s="1244"/>
    </row>
    <row r="183" spans="1:24" ht="17.25" customHeight="1" thickBot="1">
      <c r="A183" s="1265" t="s">
        <v>320</v>
      </c>
      <c r="B183" s="1253">
        <f>'[5]Druhova'!G179</f>
        <v>118054.43</v>
      </c>
      <c r="C183" s="1254">
        <f>'[5]Druhova'!B179</f>
        <v>980671</v>
      </c>
      <c r="D183" s="1254">
        <f>'[5]Druhova'!C179</f>
        <v>57675.73</v>
      </c>
      <c r="E183" s="1254">
        <f>'[5]Druhova'!D179</f>
        <v>88905.36</v>
      </c>
      <c r="F183" s="1254">
        <f t="shared" si="4"/>
        <v>154.15</v>
      </c>
      <c r="G183" s="1255">
        <f t="shared" si="5"/>
        <v>75.31</v>
      </c>
      <c r="H183" s="1212"/>
      <c r="I183" s="1212"/>
      <c r="J183" s="1212"/>
      <c r="K183" s="1212"/>
      <c r="L183" s="1212"/>
      <c r="O183" s="1213"/>
      <c r="P183" s="1213"/>
      <c r="Q183" s="1213"/>
      <c r="R183" s="1213"/>
      <c r="S183" s="1213"/>
      <c r="T183" s="1213"/>
      <c r="U183" s="1213"/>
      <c r="V183" s="1213"/>
      <c r="W183" s="1213"/>
      <c r="X183" s="1213"/>
    </row>
    <row r="184" spans="1:14" s="1314" customFormat="1" ht="30" customHeight="1" thickBot="1">
      <c r="A184" s="1275" t="s">
        <v>321</v>
      </c>
      <c r="B184" s="1308">
        <f>'[5]Druhova'!G180</f>
        <v>51173100.23</v>
      </c>
      <c r="C184" s="1309">
        <f>'[5]Druhova'!B180</f>
        <v>50962466</v>
      </c>
      <c r="D184" s="1309">
        <f>'[5]Druhova'!C180</f>
        <v>52073923.95</v>
      </c>
      <c r="E184" s="1309">
        <f>'[5]Druhova'!D180</f>
        <v>51754689.05</v>
      </c>
      <c r="F184" s="1309">
        <f t="shared" si="4"/>
        <v>99.39</v>
      </c>
      <c r="G184" s="1310">
        <f t="shared" si="5"/>
        <v>101.14</v>
      </c>
      <c r="H184" s="1313"/>
      <c r="I184" s="1313"/>
      <c r="J184" s="1313"/>
      <c r="K184" s="1313"/>
      <c r="L184" s="1313"/>
      <c r="M184" s="1313"/>
      <c r="N184" s="1313"/>
    </row>
    <row r="185" spans="1:24" ht="12.75">
      <c r="A185" s="1264" t="s">
        <v>322</v>
      </c>
      <c r="B185" s="1247">
        <f>'[5]Druhova'!G181</f>
        <v>807084.4</v>
      </c>
      <c r="C185" s="1247">
        <f>'[5]Druhova'!B181</f>
        <v>72907</v>
      </c>
      <c r="D185" s="1247">
        <f>'[5]Druhova'!C181</f>
        <v>182664.69</v>
      </c>
      <c r="E185" s="1247">
        <f>'[5]Druhova'!D181</f>
        <v>382657.83</v>
      </c>
      <c r="F185" s="1247">
        <f t="shared" si="4"/>
        <v>209.49</v>
      </c>
      <c r="G185" s="1248">
        <f t="shared" si="5"/>
        <v>47.41</v>
      </c>
      <c r="H185" s="1212"/>
      <c r="I185" s="1212"/>
      <c r="J185" s="1212"/>
      <c r="K185" s="1212"/>
      <c r="L185" s="1212"/>
      <c r="O185" s="1213"/>
      <c r="P185" s="1213"/>
      <c r="Q185" s="1213"/>
      <c r="R185" s="1213"/>
      <c r="S185" s="1213"/>
      <c r="T185" s="1213"/>
      <c r="U185" s="1213"/>
      <c r="V185" s="1213"/>
      <c r="W185" s="1213"/>
      <c r="X185" s="1213"/>
    </row>
    <row r="186" spans="1:24" ht="12.75">
      <c r="A186" s="1264" t="s">
        <v>323</v>
      </c>
      <c r="B186" s="1247">
        <f>'[5]Druhova'!G182</f>
        <v>1318480.52</v>
      </c>
      <c r="C186" s="1247">
        <f>'[5]Druhova'!B182</f>
        <v>1226497</v>
      </c>
      <c r="D186" s="1247">
        <f>'[5]Druhova'!C182</f>
        <v>2726133.86</v>
      </c>
      <c r="E186" s="1247">
        <f>'[5]Druhova'!D182</f>
        <v>2436004.28</v>
      </c>
      <c r="F186" s="1247">
        <f t="shared" si="4"/>
        <v>89.36</v>
      </c>
      <c r="G186" s="1248">
        <f t="shared" si="5"/>
        <v>184.76</v>
      </c>
      <c r="H186" s="1212"/>
      <c r="I186" s="1212"/>
      <c r="J186" s="1212"/>
      <c r="K186" s="1212"/>
      <c r="L186" s="1212"/>
      <c r="O186" s="1213"/>
      <c r="P186" s="1213"/>
      <c r="Q186" s="1213"/>
      <c r="R186" s="1213"/>
      <c r="S186" s="1213"/>
      <c r="T186" s="1213"/>
      <c r="U186" s="1213"/>
      <c r="V186" s="1213"/>
      <c r="W186" s="1213"/>
      <c r="X186" s="1213"/>
    </row>
    <row r="187" spans="1:24" ht="12.75">
      <c r="A187" s="1264" t="s">
        <v>324</v>
      </c>
      <c r="B187" s="1247">
        <f>'[5]Druhova'!G183</f>
        <v>967.64</v>
      </c>
      <c r="C187" s="1247">
        <f>'[5]Druhova'!B183</f>
        <v>100</v>
      </c>
      <c r="D187" s="1247">
        <f>'[5]Druhova'!C183</f>
        <v>6040.03</v>
      </c>
      <c r="E187" s="1247">
        <f>'[5]Druhova'!D183</f>
        <v>6100.13</v>
      </c>
      <c r="F187" s="1247">
        <f t="shared" si="4"/>
        <v>101</v>
      </c>
      <c r="G187" s="1248">
        <f t="shared" si="5"/>
        <v>630.41</v>
      </c>
      <c r="H187" s="1212"/>
      <c r="I187" s="1212"/>
      <c r="J187" s="1212"/>
      <c r="K187" s="1212"/>
      <c r="L187" s="1212"/>
      <c r="O187" s="1213"/>
      <c r="P187" s="1213"/>
      <c r="Q187" s="1213"/>
      <c r="R187" s="1213"/>
      <c r="S187" s="1213"/>
      <c r="T187" s="1213"/>
      <c r="U187" s="1213"/>
      <c r="V187" s="1213"/>
      <c r="W187" s="1213"/>
      <c r="X187" s="1213"/>
    </row>
    <row r="188" spans="1:24" ht="17.25" customHeight="1">
      <c r="A188" s="1265" t="s">
        <v>325</v>
      </c>
      <c r="B188" s="1250">
        <f>'[5]Druhova'!G184</f>
        <v>2126532.55</v>
      </c>
      <c r="C188" s="1250">
        <f>'[5]Druhova'!B184</f>
        <v>1299504</v>
      </c>
      <c r="D188" s="1250">
        <f>'[5]Druhova'!C184</f>
        <v>2914838.58</v>
      </c>
      <c r="E188" s="1250">
        <f>'[5]Druhova'!D184</f>
        <v>2824762.24</v>
      </c>
      <c r="F188" s="1250">
        <f t="shared" si="4"/>
        <v>96.91</v>
      </c>
      <c r="G188" s="1251">
        <f t="shared" si="5"/>
        <v>132.83</v>
      </c>
      <c r="H188" s="1212"/>
      <c r="I188" s="1212"/>
      <c r="J188" s="1212"/>
      <c r="K188" s="1212"/>
      <c r="L188" s="1212"/>
      <c r="O188" s="1213"/>
      <c r="P188" s="1213"/>
      <c r="Q188" s="1213"/>
      <c r="R188" s="1213"/>
      <c r="S188" s="1213"/>
      <c r="T188" s="1213"/>
      <c r="U188" s="1213"/>
      <c r="V188" s="1213"/>
      <c r="W188" s="1213"/>
      <c r="X188" s="1213"/>
    </row>
    <row r="189" spans="1:24" ht="18" customHeight="1">
      <c r="A189" s="1264" t="s">
        <v>326</v>
      </c>
      <c r="B189" s="1247">
        <f>'[5]Druhova'!G185</f>
        <v>0</v>
      </c>
      <c r="C189" s="1247">
        <f>'[5]Druhova'!B185</f>
        <v>0</v>
      </c>
      <c r="D189" s="1247">
        <f>'[5]Druhova'!C185</f>
        <v>0</v>
      </c>
      <c r="E189" s="1247">
        <f>'[5]Druhova'!D185</f>
        <v>0</v>
      </c>
      <c r="F189" s="1247">
        <f t="shared" si="4"/>
      </c>
      <c r="G189" s="1248">
        <f t="shared" si="5"/>
      </c>
      <c r="H189" s="1212"/>
      <c r="I189" s="1212"/>
      <c r="J189" s="1212"/>
      <c r="K189" s="1212"/>
      <c r="L189" s="1212"/>
      <c r="O189" s="1213"/>
      <c r="P189" s="1213"/>
      <c r="Q189" s="1213"/>
      <c r="R189" s="1213"/>
      <c r="S189" s="1213"/>
      <c r="T189" s="1213"/>
      <c r="U189" s="1213"/>
      <c r="V189" s="1213"/>
      <c r="W189" s="1213"/>
      <c r="X189" s="1213"/>
    </row>
    <row r="190" spans="1:24" ht="17.25" customHeight="1">
      <c r="A190" s="1265" t="s">
        <v>326</v>
      </c>
      <c r="B190" s="1250">
        <f>'[5]Druhova'!G186</f>
        <v>0</v>
      </c>
      <c r="C190" s="1250">
        <f>'[5]Druhova'!B186</f>
        <v>0</v>
      </c>
      <c r="D190" s="1250">
        <f>'[5]Druhova'!C186</f>
        <v>0</v>
      </c>
      <c r="E190" s="1250">
        <f>'[5]Druhova'!D186</f>
        <v>0</v>
      </c>
      <c r="F190" s="1250">
        <f t="shared" si="4"/>
      </c>
      <c r="G190" s="1251">
        <f t="shared" si="5"/>
      </c>
      <c r="H190" s="1212"/>
      <c r="I190" s="1212"/>
      <c r="J190" s="1212"/>
      <c r="K190" s="1212"/>
      <c r="L190" s="1212"/>
      <c r="O190" s="1213"/>
      <c r="P190" s="1213"/>
      <c r="Q190" s="1213"/>
      <c r="R190" s="1213"/>
      <c r="S190" s="1213"/>
      <c r="T190" s="1213"/>
      <c r="U190" s="1213"/>
      <c r="V190" s="1213"/>
      <c r="W190" s="1213"/>
      <c r="X190" s="1213"/>
    </row>
    <row r="191" spans="1:14" s="1245" customFormat="1" ht="18" customHeight="1">
      <c r="A191" s="1264" t="s">
        <v>327</v>
      </c>
      <c r="B191" s="1247">
        <f>'[5]Druhova'!G187</f>
        <v>3225.36</v>
      </c>
      <c r="C191" s="1247">
        <f>'[5]Druhova'!B187</f>
        <v>0</v>
      </c>
      <c r="D191" s="1247">
        <f>'[5]Druhova'!C187</f>
        <v>0</v>
      </c>
      <c r="E191" s="1247">
        <f>'[5]Druhova'!D187</f>
        <v>0</v>
      </c>
      <c r="F191" s="1247">
        <f t="shared" si="4"/>
      </c>
      <c r="G191" s="1248">
        <f t="shared" si="5"/>
        <v>0</v>
      </c>
      <c r="H191" s="1244"/>
      <c r="I191" s="1244"/>
      <c r="J191" s="1244"/>
      <c r="K191" s="1244"/>
      <c r="L191" s="1244"/>
      <c r="M191" s="1244"/>
      <c r="N191" s="1244"/>
    </row>
    <row r="192" spans="1:14" s="1245" customFormat="1" ht="16.5" customHeight="1">
      <c r="A192" s="1264" t="s">
        <v>328</v>
      </c>
      <c r="B192" s="1247">
        <f>'[5]Druhova'!G188</f>
        <v>143.8</v>
      </c>
      <c r="C192" s="1247">
        <f>'[5]Druhova'!B188</f>
        <v>0</v>
      </c>
      <c r="D192" s="1247">
        <f>'[5]Druhova'!C188</f>
        <v>0</v>
      </c>
      <c r="E192" s="1247">
        <f>'[5]Druhova'!D188</f>
        <v>0</v>
      </c>
      <c r="F192" s="1247">
        <f t="shared" si="4"/>
      </c>
      <c r="G192" s="1248">
        <f t="shared" si="5"/>
        <v>0</v>
      </c>
      <c r="H192" s="1244"/>
      <c r="I192" s="1244"/>
      <c r="J192" s="1244"/>
      <c r="K192" s="1244"/>
      <c r="L192" s="1244"/>
      <c r="M192" s="1244"/>
      <c r="N192" s="1244"/>
    </row>
    <row r="193" spans="1:24" ht="22.5" customHeight="1">
      <c r="A193" s="1264" t="s">
        <v>517</v>
      </c>
      <c r="B193" s="1247">
        <f>'[5]Druhova'!G189</f>
        <v>0</v>
      </c>
      <c r="C193" s="1247">
        <f>'[5]Druhova'!B189</f>
        <v>0</v>
      </c>
      <c r="D193" s="1247">
        <f>'[5]Druhova'!C189</f>
        <v>0</v>
      </c>
      <c r="E193" s="1247">
        <f>'[5]Druhova'!D189</f>
        <v>0</v>
      </c>
      <c r="F193" s="1247">
        <f t="shared" si="4"/>
      </c>
      <c r="G193" s="1248">
        <f t="shared" si="5"/>
      </c>
      <c r="H193" s="1212"/>
      <c r="I193" s="1212"/>
      <c r="J193" s="1212"/>
      <c r="K193" s="1212"/>
      <c r="L193" s="1212"/>
      <c r="O193" s="1213"/>
      <c r="P193" s="1213"/>
      <c r="Q193" s="1213"/>
      <c r="R193" s="1213"/>
      <c r="S193" s="1213"/>
      <c r="T193" s="1213"/>
      <c r="U193" s="1213"/>
      <c r="V193" s="1213"/>
      <c r="W193" s="1213"/>
      <c r="X193" s="1213"/>
    </row>
    <row r="194" spans="1:24" ht="12.75">
      <c r="A194" s="1264" t="s">
        <v>329</v>
      </c>
      <c r="B194" s="1247">
        <f>'[5]Druhova'!G190</f>
        <v>0</v>
      </c>
      <c r="C194" s="1247">
        <f>'[5]Druhova'!B190</f>
        <v>0</v>
      </c>
      <c r="D194" s="1247">
        <f>'[5]Druhova'!C190</f>
        <v>0</v>
      </c>
      <c r="E194" s="1247">
        <f>'[5]Druhova'!D190</f>
        <v>0</v>
      </c>
      <c r="F194" s="1247">
        <f t="shared" si="4"/>
      </c>
      <c r="G194" s="1248">
        <f t="shared" si="5"/>
      </c>
      <c r="H194" s="1212"/>
      <c r="I194" s="1212"/>
      <c r="J194" s="1212"/>
      <c r="K194" s="1212"/>
      <c r="L194" s="1212"/>
      <c r="O194" s="1213"/>
      <c r="P194" s="1213"/>
      <c r="Q194" s="1213"/>
      <c r="R194" s="1213"/>
      <c r="S194" s="1213"/>
      <c r="T194" s="1213"/>
      <c r="U194" s="1213"/>
      <c r="V194" s="1213"/>
      <c r="W194" s="1213"/>
      <c r="X194" s="1213"/>
    </row>
    <row r="195" spans="1:24" ht="22.5">
      <c r="A195" s="1264" t="s">
        <v>518</v>
      </c>
      <c r="B195" s="1247">
        <f>'[5]Druhova'!G191</f>
        <v>206976.99</v>
      </c>
      <c r="C195" s="1247">
        <f>'[5]Druhova'!B191</f>
        <v>30000</v>
      </c>
      <c r="D195" s="1247">
        <f>'[5]Druhova'!C191</f>
        <v>30700.18</v>
      </c>
      <c r="E195" s="1247">
        <f>'[5]Druhova'!D191</f>
        <v>37222.06</v>
      </c>
      <c r="F195" s="1247">
        <f t="shared" si="4"/>
        <v>121.24</v>
      </c>
      <c r="G195" s="1248">
        <f t="shared" si="5"/>
        <v>17.98</v>
      </c>
      <c r="H195" s="1212"/>
      <c r="I195" s="1212"/>
      <c r="J195" s="1212"/>
      <c r="K195" s="1212"/>
      <c r="L195" s="1212"/>
      <c r="O195" s="1213"/>
      <c r="P195" s="1213"/>
      <c r="Q195" s="1213"/>
      <c r="R195" s="1213"/>
      <c r="S195" s="1213"/>
      <c r="T195" s="1213"/>
      <c r="U195" s="1213"/>
      <c r="V195" s="1213"/>
      <c r="W195" s="1213"/>
      <c r="X195" s="1213"/>
    </row>
    <row r="196" spans="1:14" s="1245" customFormat="1" ht="12.75">
      <c r="A196" s="1264" t="s">
        <v>330</v>
      </c>
      <c r="B196" s="1247">
        <f>'[5]Druhova'!G192</f>
        <v>154194.31</v>
      </c>
      <c r="C196" s="1247">
        <f>'[5]Druhova'!B192</f>
        <v>30000</v>
      </c>
      <c r="D196" s="1247">
        <f>'[5]Druhova'!C192</f>
        <v>30700.18</v>
      </c>
      <c r="E196" s="1247">
        <f>'[5]Druhova'!D192</f>
        <v>35202.44</v>
      </c>
      <c r="F196" s="1247">
        <f t="shared" si="4"/>
        <v>114.67</v>
      </c>
      <c r="G196" s="1248">
        <f t="shared" si="5"/>
        <v>22.83</v>
      </c>
      <c r="H196" s="1244"/>
      <c r="I196" s="1244"/>
      <c r="J196" s="1244"/>
      <c r="K196" s="1244"/>
      <c r="L196" s="1244"/>
      <c r="M196" s="1244"/>
      <c r="N196" s="1244"/>
    </row>
    <row r="197" spans="1:24" ht="12.75">
      <c r="A197" s="1264" t="s">
        <v>331</v>
      </c>
      <c r="B197" s="1247">
        <f>'[5]Druhova'!G193</f>
        <v>52782.68</v>
      </c>
      <c r="C197" s="1247">
        <f>'[5]Druhova'!B193</f>
        <v>0</v>
      </c>
      <c r="D197" s="1247">
        <f>'[5]Druhova'!C193</f>
        <v>0</v>
      </c>
      <c r="E197" s="1247">
        <f>'[5]Druhova'!D193</f>
        <v>2019.62</v>
      </c>
      <c r="F197" s="1247">
        <f t="shared" si="4"/>
      </c>
      <c r="G197" s="1248">
        <f t="shared" si="5"/>
        <v>3.83</v>
      </c>
      <c r="H197" s="1212"/>
      <c r="I197" s="1212"/>
      <c r="J197" s="1212"/>
      <c r="K197" s="1212"/>
      <c r="L197" s="1212"/>
      <c r="O197" s="1213"/>
      <c r="P197" s="1213"/>
      <c r="Q197" s="1213"/>
      <c r="R197" s="1213"/>
      <c r="S197" s="1213"/>
      <c r="T197" s="1213"/>
      <c r="U197" s="1213"/>
      <c r="V197" s="1213"/>
      <c r="W197" s="1213"/>
      <c r="X197" s="1213"/>
    </row>
    <row r="198" spans="1:14" s="1245" customFormat="1" ht="22.5">
      <c r="A198" s="1264" t="s">
        <v>332</v>
      </c>
      <c r="B198" s="1247">
        <f>'[5]Druhova'!G194</f>
        <v>0</v>
      </c>
      <c r="C198" s="1247">
        <f>'[5]Druhova'!B194</f>
        <v>0</v>
      </c>
      <c r="D198" s="1247">
        <f>'[5]Druhova'!C194</f>
        <v>0</v>
      </c>
      <c r="E198" s="1247">
        <f>'[5]Druhova'!D194</f>
        <v>0</v>
      </c>
      <c r="F198" s="1247">
        <f t="shared" si="4"/>
      </c>
      <c r="G198" s="1248">
        <f t="shared" si="5"/>
      </c>
      <c r="H198" s="1244"/>
      <c r="I198" s="1244"/>
      <c r="J198" s="1244"/>
      <c r="K198" s="1244"/>
      <c r="L198" s="1244"/>
      <c r="M198" s="1244"/>
      <c r="N198" s="1244"/>
    </row>
    <row r="199" spans="1:14" s="1245" customFormat="1" ht="22.5">
      <c r="A199" s="1264" t="s">
        <v>333</v>
      </c>
      <c r="B199" s="1247">
        <f>'[5]Druhova'!G195</f>
        <v>0</v>
      </c>
      <c r="C199" s="1247">
        <f>'[5]Druhova'!B195</f>
        <v>0</v>
      </c>
      <c r="D199" s="1247">
        <f>'[5]Druhova'!C195</f>
        <v>0</v>
      </c>
      <c r="E199" s="1247">
        <f>'[5]Druhova'!D195</f>
        <v>0</v>
      </c>
      <c r="F199" s="1247">
        <f t="shared" si="4"/>
      </c>
      <c r="G199" s="1248">
        <f t="shared" si="5"/>
      </c>
      <c r="H199" s="1244"/>
      <c r="I199" s="1244"/>
      <c r="J199" s="1244"/>
      <c r="K199" s="1244"/>
      <c r="L199" s="1244"/>
      <c r="M199" s="1244"/>
      <c r="N199" s="1244"/>
    </row>
    <row r="200" spans="1:14" s="1245" customFormat="1" ht="12.75">
      <c r="A200" s="1264" t="s">
        <v>334</v>
      </c>
      <c r="B200" s="1247">
        <f>'[5]Druhova'!G196</f>
        <v>0</v>
      </c>
      <c r="C200" s="1247">
        <f>'[5]Druhova'!B196</f>
        <v>0</v>
      </c>
      <c r="D200" s="1247">
        <f>'[5]Druhova'!C196</f>
        <v>0</v>
      </c>
      <c r="E200" s="1247">
        <f>'[5]Druhova'!D196</f>
        <v>0</v>
      </c>
      <c r="F200" s="1247">
        <f t="shared" si="4"/>
      </c>
      <c r="G200" s="1248">
        <f t="shared" si="5"/>
      </c>
      <c r="H200" s="1244"/>
      <c r="I200" s="1244"/>
      <c r="J200" s="1244"/>
      <c r="K200" s="1244"/>
      <c r="L200" s="1244"/>
      <c r="M200" s="1244"/>
      <c r="N200" s="1244"/>
    </row>
    <row r="201" spans="1:24" ht="22.5">
      <c r="A201" s="1264" t="s">
        <v>335</v>
      </c>
      <c r="B201" s="1247">
        <f>'[5]Druhova'!G197</f>
        <v>0</v>
      </c>
      <c r="C201" s="1247">
        <f>'[5]Druhova'!B197</f>
        <v>0</v>
      </c>
      <c r="D201" s="1247">
        <f>'[5]Druhova'!C197</f>
        <v>0</v>
      </c>
      <c r="E201" s="1247">
        <f>'[5]Druhova'!D197</f>
        <v>0</v>
      </c>
      <c r="F201" s="1247">
        <f t="shared" si="4"/>
      </c>
      <c r="G201" s="1248">
        <f t="shared" si="5"/>
      </c>
      <c r="H201" s="1212"/>
      <c r="I201" s="1212"/>
      <c r="J201" s="1212"/>
      <c r="K201" s="1212"/>
      <c r="L201" s="1212"/>
      <c r="O201" s="1213"/>
      <c r="P201" s="1213"/>
      <c r="Q201" s="1213"/>
      <c r="R201" s="1213"/>
      <c r="S201" s="1213"/>
      <c r="T201" s="1213"/>
      <c r="U201" s="1213"/>
      <c r="V201" s="1213"/>
      <c r="W201" s="1213"/>
      <c r="X201" s="1213"/>
    </row>
    <row r="202" spans="1:24" ht="22.5">
      <c r="A202" s="1264" t="s">
        <v>336</v>
      </c>
      <c r="B202" s="1247">
        <f>'[5]Druhova'!G198</f>
        <v>0</v>
      </c>
      <c r="C202" s="1247">
        <f>'[5]Druhova'!B198</f>
        <v>0</v>
      </c>
      <c r="D202" s="1247">
        <f>'[5]Druhova'!C198</f>
        <v>3200</v>
      </c>
      <c r="E202" s="1247">
        <f>'[5]Druhova'!D198</f>
        <v>3078.97</v>
      </c>
      <c r="F202" s="1247">
        <f aca="true" t="shared" si="6" ref="F202:F227">IF(D202=0,"",E202/D202*100)</f>
        <v>96.22</v>
      </c>
      <c r="G202" s="1248">
        <f aca="true" t="shared" si="7" ref="G202:G227">IF(B202=0,"",E202/B202*100)</f>
      </c>
      <c r="H202" s="1212"/>
      <c r="I202" s="1212"/>
      <c r="J202" s="1212"/>
      <c r="K202" s="1212"/>
      <c r="L202" s="1212"/>
      <c r="O202" s="1213"/>
      <c r="P202" s="1213"/>
      <c r="Q202" s="1213"/>
      <c r="R202" s="1213"/>
      <c r="S202" s="1213"/>
      <c r="T202" s="1213"/>
      <c r="U202" s="1213"/>
      <c r="V202" s="1213"/>
      <c r="W202" s="1213"/>
      <c r="X202" s="1213"/>
    </row>
    <row r="203" spans="1:24" ht="12.75">
      <c r="A203" s="1264" t="s">
        <v>337</v>
      </c>
      <c r="B203" s="1247">
        <f>'[5]Druhova'!G199</f>
        <v>0</v>
      </c>
      <c r="C203" s="1247">
        <f>'[5]Druhova'!B199</f>
        <v>0</v>
      </c>
      <c r="D203" s="1247">
        <f>'[5]Druhova'!C199</f>
        <v>0</v>
      </c>
      <c r="E203" s="1247">
        <f>'[5]Druhova'!D199</f>
        <v>0</v>
      </c>
      <c r="F203" s="1247">
        <f t="shared" si="6"/>
      </c>
      <c r="G203" s="1248">
        <f t="shared" si="7"/>
      </c>
      <c r="H203" s="1212"/>
      <c r="I203" s="1212"/>
      <c r="J203" s="1212"/>
      <c r="K203" s="1212"/>
      <c r="L203" s="1212"/>
      <c r="O203" s="1213"/>
      <c r="P203" s="1213"/>
      <c r="Q203" s="1213"/>
      <c r="R203" s="1213"/>
      <c r="S203" s="1213"/>
      <c r="T203" s="1213"/>
      <c r="U203" s="1213"/>
      <c r="V203" s="1213"/>
      <c r="W203" s="1213"/>
      <c r="X203" s="1213"/>
    </row>
    <row r="204" spans="1:24" ht="12.75">
      <c r="A204" s="1264" t="s">
        <v>338</v>
      </c>
      <c r="B204" s="1247">
        <f>'[5]Druhova'!G200</f>
        <v>0</v>
      </c>
      <c r="C204" s="1247">
        <f>'[5]Druhova'!B200</f>
        <v>0</v>
      </c>
      <c r="D204" s="1247">
        <f>'[5]Druhova'!C200</f>
        <v>0</v>
      </c>
      <c r="E204" s="1247">
        <f>'[5]Druhova'!D200</f>
        <v>0</v>
      </c>
      <c r="F204" s="1247">
        <f t="shared" si="6"/>
      </c>
      <c r="G204" s="1248">
        <f t="shared" si="7"/>
      </c>
      <c r="H204" s="1212"/>
      <c r="I204" s="1212"/>
      <c r="J204" s="1212"/>
      <c r="K204" s="1212"/>
      <c r="L204" s="1212"/>
      <c r="O204" s="1213"/>
      <c r="P204" s="1213"/>
      <c r="Q204" s="1213"/>
      <c r="R204" s="1213"/>
      <c r="S204" s="1213"/>
      <c r="T204" s="1213"/>
      <c r="U204" s="1213"/>
      <c r="V204" s="1213"/>
      <c r="W204" s="1213"/>
      <c r="X204" s="1213"/>
    </row>
    <row r="205" spans="1:24" ht="12.75">
      <c r="A205" s="1264" t="s">
        <v>339</v>
      </c>
      <c r="B205" s="1247">
        <f>'[5]Druhova'!G201</f>
        <v>0</v>
      </c>
      <c r="C205" s="1247">
        <f>'[5]Druhova'!B201</f>
        <v>0</v>
      </c>
      <c r="D205" s="1247">
        <f>'[5]Druhova'!C201</f>
        <v>0</v>
      </c>
      <c r="E205" s="1247">
        <f>'[5]Druhova'!D201</f>
        <v>0</v>
      </c>
      <c r="F205" s="1247">
        <f t="shared" si="6"/>
      </c>
      <c r="G205" s="1248">
        <f t="shared" si="7"/>
      </c>
      <c r="H205" s="1212"/>
      <c r="I205" s="1212"/>
      <c r="J205" s="1212"/>
      <c r="K205" s="1212"/>
      <c r="L205" s="1212"/>
      <c r="O205" s="1213"/>
      <c r="P205" s="1213"/>
      <c r="Q205" s="1213"/>
      <c r="R205" s="1213"/>
      <c r="S205" s="1213"/>
      <c r="T205" s="1213"/>
      <c r="U205" s="1213"/>
      <c r="V205" s="1213"/>
      <c r="W205" s="1213"/>
      <c r="X205" s="1213"/>
    </row>
    <row r="206" spans="1:24" ht="12.75">
      <c r="A206" s="1265" t="s">
        <v>340</v>
      </c>
      <c r="B206" s="1250">
        <f>'[5]Druhova'!G202</f>
        <v>210346.15</v>
      </c>
      <c r="C206" s="1250">
        <f>'[5]Druhova'!B202</f>
        <v>30000</v>
      </c>
      <c r="D206" s="1250">
        <f>'[5]Druhova'!C202</f>
        <v>33900.18</v>
      </c>
      <c r="E206" s="1250">
        <f>'[5]Druhova'!D202</f>
        <v>40301.02</v>
      </c>
      <c r="F206" s="1250">
        <f t="shared" si="6"/>
        <v>118.88</v>
      </c>
      <c r="G206" s="1251">
        <f t="shared" si="7"/>
        <v>19.16</v>
      </c>
      <c r="H206" s="1212"/>
      <c r="I206" s="1212"/>
      <c r="J206" s="1212"/>
      <c r="K206" s="1212"/>
      <c r="L206" s="1212"/>
      <c r="O206" s="1213"/>
      <c r="P206" s="1213"/>
      <c r="Q206" s="1213"/>
      <c r="R206" s="1213"/>
      <c r="S206" s="1213"/>
      <c r="T206" s="1213"/>
      <c r="U206" s="1213"/>
      <c r="V206" s="1213"/>
      <c r="W206" s="1213"/>
      <c r="X206" s="1213"/>
    </row>
    <row r="207" spans="1:24" ht="12.75">
      <c r="A207" s="1264" t="s">
        <v>341</v>
      </c>
      <c r="B207" s="1247">
        <f>'[5]Druhova'!G203</f>
        <v>0</v>
      </c>
      <c r="C207" s="1247">
        <f>'[5]Druhova'!B203</f>
        <v>0</v>
      </c>
      <c r="D207" s="1247">
        <f>'[5]Druhova'!C203</f>
        <v>0</v>
      </c>
      <c r="E207" s="1247">
        <f>'[5]Druhova'!D203</f>
        <v>0</v>
      </c>
      <c r="F207" s="1247">
        <f t="shared" si="6"/>
      </c>
      <c r="G207" s="1248">
        <f t="shared" si="7"/>
      </c>
      <c r="H207" s="1212"/>
      <c r="I207" s="1212"/>
      <c r="J207" s="1212"/>
      <c r="K207" s="1212"/>
      <c r="L207" s="1212"/>
      <c r="O207" s="1213"/>
      <c r="P207" s="1213"/>
      <c r="Q207" s="1213"/>
      <c r="R207" s="1213"/>
      <c r="S207" s="1213"/>
      <c r="T207" s="1213"/>
      <c r="U207" s="1213"/>
      <c r="V207" s="1213"/>
      <c r="W207" s="1213"/>
      <c r="X207" s="1213"/>
    </row>
    <row r="208" spans="1:24" ht="22.5">
      <c r="A208" s="1264" t="s">
        <v>342</v>
      </c>
      <c r="B208" s="1247">
        <f>'[5]Druhova'!G204</f>
        <v>0</v>
      </c>
      <c r="C208" s="1247">
        <f>'[5]Druhova'!B204</f>
        <v>0</v>
      </c>
      <c r="D208" s="1247">
        <f>'[5]Druhova'!C204</f>
        <v>0</v>
      </c>
      <c r="E208" s="1247">
        <f>'[5]Druhova'!D204</f>
        <v>0</v>
      </c>
      <c r="F208" s="1247">
        <f t="shared" si="6"/>
      </c>
      <c r="G208" s="1248">
        <f t="shared" si="7"/>
      </c>
      <c r="H208" s="1212"/>
      <c r="I208" s="1212"/>
      <c r="J208" s="1212"/>
      <c r="K208" s="1212"/>
      <c r="L208" s="1212"/>
      <c r="O208" s="1213"/>
      <c r="P208" s="1213"/>
      <c r="Q208" s="1213"/>
      <c r="R208" s="1213"/>
      <c r="S208" s="1213"/>
      <c r="T208" s="1213"/>
      <c r="U208" s="1213"/>
      <c r="V208" s="1213"/>
      <c r="W208" s="1213"/>
      <c r="X208" s="1213"/>
    </row>
    <row r="209" spans="1:24" ht="22.5">
      <c r="A209" s="1264" t="s">
        <v>396</v>
      </c>
      <c r="B209" s="1247">
        <f>'[5]Druhova'!G205</f>
        <v>0</v>
      </c>
      <c r="C209" s="1247">
        <f>'[5]Druhova'!B205</f>
        <v>0</v>
      </c>
      <c r="D209" s="1247">
        <f>'[5]Druhova'!C205</f>
        <v>0</v>
      </c>
      <c r="E209" s="1247">
        <f>'[5]Druhova'!D205</f>
        <v>0</v>
      </c>
      <c r="F209" s="1247">
        <f t="shared" si="6"/>
      </c>
      <c r="G209" s="1248">
        <f t="shared" si="7"/>
      </c>
      <c r="H209" s="1212"/>
      <c r="I209" s="1212"/>
      <c r="J209" s="1212"/>
      <c r="K209" s="1212"/>
      <c r="L209" s="1212"/>
      <c r="O209" s="1213"/>
      <c r="P209" s="1213"/>
      <c r="Q209" s="1213"/>
      <c r="R209" s="1213"/>
      <c r="S209" s="1213"/>
      <c r="T209" s="1213"/>
      <c r="U209" s="1213"/>
      <c r="V209" s="1213"/>
      <c r="W209" s="1213"/>
      <c r="X209" s="1213"/>
    </row>
    <row r="210" spans="1:24" ht="22.5">
      <c r="A210" s="1264" t="s">
        <v>397</v>
      </c>
      <c r="B210" s="1247">
        <f>'[5]Druhova'!G206</f>
        <v>0</v>
      </c>
      <c r="C210" s="1247">
        <f>'[5]Druhova'!B206</f>
        <v>0</v>
      </c>
      <c r="D210" s="1247">
        <f>'[5]Druhova'!C206</f>
        <v>0</v>
      </c>
      <c r="E210" s="1247">
        <f>'[5]Druhova'!D206</f>
        <v>0</v>
      </c>
      <c r="F210" s="1247">
        <f t="shared" si="6"/>
      </c>
      <c r="G210" s="1248">
        <f t="shared" si="7"/>
      </c>
      <c r="H210" s="1212"/>
      <c r="I210" s="1212"/>
      <c r="J210" s="1212"/>
      <c r="K210" s="1212"/>
      <c r="L210" s="1212"/>
      <c r="O210" s="1213"/>
      <c r="P210" s="1213"/>
      <c r="Q210" s="1213"/>
      <c r="R210" s="1213"/>
      <c r="S210" s="1213"/>
      <c r="T210" s="1213"/>
      <c r="U210" s="1213"/>
      <c r="V210" s="1213"/>
      <c r="W210" s="1213"/>
      <c r="X210" s="1213"/>
    </row>
    <row r="211" spans="1:24" ht="22.5">
      <c r="A211" s="1264" t="s">
        <v>343</v>
      </c>
      <c r="B211" s="1247">
        <f>'[5]Druhova'!G207</f>
        <v>0</v>
      </c>
      <c r="C211" s="1247">
        <f>'[5]Druhova'!B207</f>
        <v>0</v>
      </c>
      <c r="D211" s="1247">
        <f>'[5]Druhova'!C207</f>
        <v>0</v>
      </c>
      <c r="E211" s="1247">
        <f>'[5]Druhova'!D207</f>
        <v>0</v>
      </c>
      <c r="F211" s="1247">
        <f t="shared" si="6"/>
      </c>
      <c r="G211" s="1248">
        <f t="shared" si="7"/>
      </c>
      <c r="H211" s="1212"/>
      <c r="I211" s="1212"/>
      <c r="J211" s="1212"/>
      <c r="K211" s="1212"/>
      <c r="L211" s="1212"/>
      <c r="O211" s="1213"/>
      <c r="P211" s="1213"/>
      <c r="Q211" s="1213"/>
      <c r="R211" s="1213"/>
      <c r="S211" s="1213"/>
      <c r="T211" s="1213"/>
      <c r="U211" s="1213"/>
      <c r="V211" s="1213"/>
      <c r="W211" s="1213"/>
      <c r="X211" s="1213"/>
    </row>
    <row r="212" spans="1:24" ht="12.75">
      <c r="A212" s="1264" t="s">
        <v>344</v>
      </c>
      <c r="B212" s="1247">
        <f>'[5]Druhova'!G208</f>
        <v>0</v>
      </c>
      <c r="C212" s="1247">
        <f>'[5]Druhova'!B208</f>
        <v>0</v>
      </c>
      <c r="D212" s="1247">
        <f>'[5]Druhova'!C208</f>
        <v>0</v>
      </c>
      <c r="E212" s="1247">
        <f>'[5]Druhova'!D208</f>
        <v>0</v>
      </c>
      <c r="F212" s="1247">
        <f t="shared" si="6"/>
      </c>
      <c r="G212" s="1248">
        <f t="shared" si="7"/>
      </c>
      <c r="H212" s="1212"/>
      <c r="I212" s="1212"/>
      <c r="J212" s="1212"/>
      <c r="K212" s="1212"/>
      <c r="L212" s="1212"/>
      <c r="O212" s="1213"/>
      <c r="P212" s="1213"/>
      <c r="Q212" s="1213"/>
      <c r="R212" s="1213"/>
      <c r="S212" s="1213"/>
      <c r="T212" s="1213"/>
      <c r="U212" s="1213"/>
      <c r="V212" s="1213"/>
      <c r="W212" s="1213"/>
      <c r="X212" s="1213"/>
    </row>
    <row r="213" spans="1:24" ht="12.75">
      <c r="A213" s="1264" t="s">
        <v>345</v>
      </c>
      <c r="B213" s="1247">
        <f>'[5]Druhova'!G209</f>
        <v>0</v>
      </c>
      <c r="C213" s="1247">
        <f>'[5]Druhova'!B209</f>
        <v>0</v>
      </c>
      <c r="D213" s="1247">
        <f>'[5]Druhova'!C209</f>
        <v>0</v>
      </c>
      <c r="E213" s="1247">
        <f>'[5]Druhova'!D209</f>
        <v>0</v>
      </c>
      <c r="F213" s="1247">
        <f t="shared" si="6"/>
      </c>
      <c r="G213" s="1248">
        <f t="shared" si="7"/>
      </c>
      <c r="H213" s="1212"/>
      <c r="I213" s="1212"/>
      <c r="J213" s="1212"/>
      <c r="K213" s="1212"/>
      <c r="L213" s="1212"/>
      <c r="O213" s="1213"/>
      <c r="P213" s="1213"/>
      <c r="Q213" s="1213"/>
      <c r="R213" s="1213"/>
      <c r="S213" s="1213"/>
      <c r="T213" s="1213"/>
      <c r="U213" s="1213"/>
      <c r="V213" s="1213"/>
      <c r="W213" s="1213"/>
      <c r="X213" s="1213"/>
    </row>
    <row r="214" spans="1:24" ht="12.75">
      <c r="A214" s="1265" t="s">
        <v>346</v>
      </c>
      <c r="B214" s="1250">
        <f>'[5]Druhova'!G210</f>
        <v>0</v>
      </c>
      <c r="C214" s="1250">
        <f>'[5]Druhova'!B210</f>
        <v>0</v>
      </c>
      <c r="D214" s="1250">
        <f>'[5]Druhova'!C210</f>
        <v>0</v>
      </c>
      <c r="E214" s="1250">
        <f>'[5]Druhova'!D210</f>
        <v>0</v>
      </c>
      <c r="F214" s="1250">
        <f t="shared" si="6"/>
      </c>
      <c r="G214" s="1251">
        <f t="shared" si="7"/>
      </c>
      <c r="H214" s="1212"/>
      <c r="I214" s="1212"/>
      <c r="J214" s="1212"/>
      <c r="K214" s="1212"/>
      <c r="L214" s="1212"/>
      <c r="O214" s="1213"/>
      <c r="P214" s="1213"/>
      <c r="Q214" s="1213"/>
      <c r="R214" s="1213"/>
      <c r="S214" s="1213"/>
      <c r="T214" s="1213"/>
      <c r="U214" s="1213"/>
      <c r="V214" s="1213"/>
      <c r="W214" s="1213"/>
      <c r="X214" s="1213"/>
    </row>
    <row r="215" spans="1:24" ht="22.5">
      <c r="A215" s="1264" t="s">
        <v>398</v>
      </c>
      <c r="B215" s="1247">
        <f>'[5]Druhova'!G211</f>
        <v>0</v>
      </c>
      <c r="C215" s="1247">
        <f>'[5]Druhova'!B211</f>
        <v>0</v>
      </c>
      <c r="D215" s="1247">
        <f>'[5]Druhova'!C211</f>
        <v>0</v>
      </c>
      <c r="E215" s="1247">
        <f>'[5]Druhova'!D211</f>
        <v>0</v>
      </c>
      <c r="F215" s="1247">
        <f t="shared" si="6"/>
      </c>
      <c r="G215" s="1248">
        <f t="shared" si="7"/>
      </c>
      <c r="H215" s="1212"/>
      <c r="I215" s="1212"/>
      <c r="J215" s="1212"/>
      <c r="K215" s="1212"/>
      <c r="L215" s="1212"/>
      <c r="O215" s="1213"/>
      <c r="P215" s="1213"/>
      <c r="Q215" s="1213"/>
      <c r="R215" s="1213"/>
      <c r="S215" s="1213"/>
      <c r="T215" s="1213"/>
      <c r="U215" s="1213"/>
      <c r="V215" s="1213"/>
      <c r="W215" s="1213"/>
      <c r="X215" s="1213"/>
    </row>
    <row r="216" spans="1:14" s="1245" customFormat="1" ht="22.5">
      <c r="A216" s="1264" t="s">
        <v>399</v>
      </c>
      <c r="B216" s="1247">
        <f>'[5]Druhova'!G212</f>
        <v>0</v>
      </c>
      <c r="C216" s="1247">
        <f>'[5]Druhova'!B212</f>
        <v>0</v>
      </c>
      <c r="D216" s="1247">
        <f>'[5]Druhova'!C212</f>
        <v>0</v>
      </c>
      <c r="E216" s="1247">
        <f>'[5]Druhova'!D212</f>
        <v>0</v>
      </c>
      <c r="F216" s="1247">
        <f t="shared" si="6"/>
      </c>
      <c r="G216" s="1248">
        <f t="shared" si="7"/>
      </c>
      <c r="H216" s="1244"/>
      <c r="I216" s="1244"/>
      <c r="J216" s="1244"/>
      <c r="K216" s="1244"/>
      <c r="L216" s="1244"/>
      <c r="M216" s="1244"/>
      <c r="N216" s="1244"/>
    </row>
    <row r="217" spans="1:24" ht="22.5">
      <c r="A217" s="1264" t="s">
        <v>400</v>
      </c>
      <c r="B217" s="1247">
        <f>'[5]Druhova'!G213</f>
        <v>0</v>
      </c>
      <c r="C217" s="1247">
        <f>'[5]Druhova'!B213</f>
        <v>0</v>
      </c>
      <c r="D217" s="1247">
        <f>'[5]Druhova'!C213</f>
        <v>0</v>
      </c>
      <c r="E217" s="1247">
        <f>'[5]Druhova'!D213</f>
        <v>0</v>
      </c>
      <c r="F217" s="1247">
        <f t="shared" si="6"/>
      </c>
      <c r="G217" s="1248">
        <f t="shared" si="7"/>
      </c>
      <c r="H217" s="1212"/>
      <c r="I217" s="1212"/>
      <c r="J217" s="1212"/>
      <c r="K217" s="1212"/>
      <c r="L217" s="1212"/>
      <c r="O217" s="1213"/>
      <c r="P217" s="1213"/>
      <c r="Q217" s="1213"/>
      <c r="R217" s="1213"/>
      <c r="S217" s="1213"/>
      <c r="T217" s="1213"/>
      <c r="U217" s="1213"/>
      <c r="V217" s="1213"/>
      <c r="W217" s="1213"/>
      <c r="X217" s="1213"/>
    </row>
    <row r="218" spans="1:24" ht="22.5">
      <c r="A218" s="1264" t="s">
        <v>401</v>
      </c>
      <c r="B218" s="1247">
        <f>'[5]Druhova'!G214</f>
        <v>0</v>
      </c>
      <c r="C218" s="1247">
        <f>'[5]Druhova'!B214</f>
        <v>0</v>
      </c>
      <c r="D218" s="1247">
        <f>'[5]Druhova'!C214</f>
        <v>0</v>
      </c>
      <c r="E218" s="1247">
        <f>'[5]Druhova'!D214</f>
        <v>0</v>
      </c>
      <c r="F218" s="1247">
        <f t="shared" si="6"/>
      </c>
      <c r="G218" s="1248">
        <f t="shared" si="7"/>
      </c>
      <c r="H218" s="1212"/>
      <c r="I218" s="1212"/>
      <c r="J218" s="1212"/>
      <c r="K218" s="1212"/>
      <c r="L218" s="1212"/>
      <c r="O218" s="1213"/>
      <c r="P218" s="1213"/>
      <c r="Q218" s="1213"/>
      <c r="R218" s="1213"/>
      <c r="S218" s="1213"/>
      <c r="T218" s="1213"/>
      <c r="U218" s="1213"/>
      <c r="V218" s="1213"/>
      <c r="W218" s="1213"/>
      <c r="X218" s="1213"/>
    </row>
    <row r="219" spans="1:24" ht="22.5">
      <c r="A219" s="1264" t="s">
        <v>347</v>
      </c>
      <c r="B219" s="1247">
        <f>'[5]Druhova'!G215</f>
        <v>0</v>
      </c>
      <c r="C219" s="1247">
        <f>'[5]Druhova'!B215</f>
        <v>0</v>
      </c>
      <c r="D219" s="1247">
        <f>'[5]Druhova'!C215</f>
        <v>0</v>
      </c>
      <c r="E219" s="1247">
        <f>'[5]Druhova'!D215</f>
        <v>0</v>
      </c>
      <c r="F219" s="1247">
        <f t="shared" si="6"/>
      </c>
      <c r="G219" s="1248">
        <f t="shared" si="7"/>
      </c>
      <c r="H219" s="1212"/>
      <c r="I219" s="1212"/>
      <c r="J219" s="1212"/>
      <c r="K219" s="1212"/>
      <c r="L219" s="1212"/>
      <c r="O219" s="1213"/>
      <c r="P219" s="1213"/>
      <c r="Q219" s="1213"/>
      <c r="R219" s="1213"/>
      <c r="S219" s="1213"/>
      <c r="T219" s="1213"/>
      <c r="U219" s="1213"/>
      <c r="V219" s="1213"/>
      <c r="W219" s="1213"/>
      <c r="X219" s="1213"/>
    </row>
    <row r="220" spans="1:24" ht="22.5">
      <c r="A220" s="1264" t="s">
        <v>348</v>
      </c>
      <c r="B220" s="1247">
        <f>'[5]Druhova'!G216</f>
        <v>0</v>
      </c>
      <c r="C220" s="1247">
        <f>'[5]Druhova'!B216</f>
        <v>0</v>
      </c>
      <c r="D220" s="1247">
        <f>'[5]Druhova'!C216</f>
        <v>0</v>
      </c>
      <c r="E220" s="1247">
        <f>'[5]Druhova'!D216</f>
        <v>0</v>
      </c>
      <c r="F220" s="1247">
        <f t="shared" si="6"/>
      </c>
      <c r="G220" s="1248">
        <f t="shared" si="7"/>
      </c>
      <c r="H220" s="1212"/>
      <c r="I220" s="1212"/>
      <c r="J220" s="1212"/>
      <c r="K220" s="1212"/>
      <c r="L220" s="1212"/>
      <c r="O220" s="1213"/>
      <c r="P220" s="1213"/>
      <c r="Q220" s="1213"/>
      <c r="R220" s="1213"/>
      <c r="S220" s="1213"/>
      <c r="T220" s="1213"/>
      <c r="U220" s="1213"/>
      <c r="V220" s="1213"/>
      <c r="W220" s="1213"/>
      <c r="X220" s="1213"/>
    </row>
    <row r="221" spans="1:24" ht="12.75">
      <c r="A221" s="1264" t="s">
        <v>349</v>
      </c>
      <c r="B221" s="1247">
        <f>'[5]Druhova'!G217</f>
        <v>0</v>
      </c>
      <c r="C221" s="1247">
        <f>'[5]Druhova'!B217</f>
        <v>0</v>
      </c>
      <c r="D221" s="1247">
        <f>'[5]Druhova'!C217</f>
        <v>0</v>
      </c>
      <c r="E221" s="1247">
        <f>'[5]Druhova'!D217</f>
        <v>0</v>
      </c>
      <c r="F221" s="1247">
        <f t="shared" si="6"/>
      </c>
      <c r="G221" s="1248">
        <f t="shared" si="7"/>
      </c>
      <c r="H221" s="1212"/>
      <c r="I221" s="1212"/>
      <c r="J221" s="1212"/>
      <c r="K221" s="1212"/>
      <c r="L221" s="1212"/>
      <c r="O221" s="1213"/>
      <c r="P221" s="1213"/>
      <c r="Q221" s="1213"/>
      <c r="R221" s="1213"/>
      <c r="S221" s="1213"/>
      <c r="T221" s="1213"/>
      <c r="U221" s="1213"/>
      <c r="V221" s="1213"/>
      <c r="W221" s="1213"/>
      <c r="X221" s="1213"/>
    </row>
    <row r="222" spans="1:24" ht="12.75">
      <c r="A222" s="1265" t="s">
        <v>350</v>
      </c>
      <c r="B222" s="1250">
        <f>'[5]Druhova'!G218</f>
        <v>0</v>
      </c>
      <c r="C222" s="1250">
        <f>'[5]Druhova'!B218</f>
        <v>0</v>
      </c>
      <c r="D222" s="1250">
        <f>'[5]Druhova'!C218</f>
        <v>0</v>
      </c>
      <c r="E222" s="1250">
        <f>'[5]Druhova'!D218</f>
        <v>0</v>
      </c>
      <c r="F222" s="1250">
        <f t="shared" si="6"/>
      </c>
      <c r="G222" s="1251">
        <f t="shared" si="7"/>
      </c>
      <c r="H222" s="1212"/>
      <c r="I222" s="1212"/>
      <c r="J222" s="1212"/>
      <c r="K222" s="1212"/>
      <c r="L222" s="1212"/>
      <c r="O222" s="1213"/>
      <c r="P222" s="1213"/>
      <c r="Q222" s="1213"/>
      <c r="R222" s="1213"/>
      <c r="S222" s="1213"/>
      <c r="T222" s="1213"/>
      <c r="U222" s="1213"/>
      <c r="V222" s="1213"/>
      <c r="W222" s="1213"/>
      <c r="X222" s="1213"/>
    </row>
    <row r="223" spans="1:24" ht="12.75">
      <c r="A223" s="1264" t="s">
        <v>351</v>
      </c>
      <c r="B223" s="1247">
        <f>'[5]Druhova'!G219</f>
        <v>0</v>
      </c>
      <c r="C223" s="1247">
        <f>'[5]Druhova'!B219</f>
        <v>148</v>
      </c>
      <c r="D223" s="1247">
        <f>'[5]Druhova'!C219</f>
        <v>96021.74</v>
      </c>
      <c r="E223" s="1247">
        <f>'[5]Druhova'!D219</f>
        <v>0</v>
      </c>
      <c r="F223" s="1247">
        <f t="shared" si="6"/>
        <v>0</v>
      </c>
      <c r="G223" s="1248">
        <f t="shared" si="7"/>
      </c>
      <c r="H223" s="1212"/>
      <c r="I223" s="1212"/>
      <c r="J223" s="1212"/>
      <c r="K223" s="1212"/>
      <c r="L223" s="1212"/>
      <c r="O223" s="1213"/>
      <c r="P223" s="1213"/>
      <c r="Q223" s="1213"/>
      <c r="R223" s="1213"/>
      <c r="S223" s="1213"/>
      <c r="T223" s="1213"/>
      <c r="U223" s="1213"/>
      <c r="V223" s="1213"/>
      <c r="W223" s="1213"/>
      <c r="X223" s="1213"/>
    </row>
    <row r="224" spans="1:14" s="1245" customFormat="1" ht="13.5" thickBot="1">
      <c r="A224" s="1265" t="s">
        <v>351</v>
      </c>
      <c r="B224" s="1253">
        <f>'[5]Druhova'!G220</f>
        <v>0</v>
      </c>
      <c r="C224" s="1254">
        <f>'[5]Druhova'!B220</f>
        <v>148</v>
      </c>
      <c r="D224" s="1254">
        <f>'[5]Druhova'!C220</f>
        <v>96021.74</v>
      </c>
      <c r="E224" s="1254">
        <f>'[5]Druhova'!D220</f>
        <v>0</v>
      </c>
      <c r="F224" s="1254">
        <f t="shared" si="6"/>
        <v>0</v>
      </c>
      <c r="G224" s="1255">
        <f t="shared" si="7"/>
      </c>
      <c r="H224" s="1244"/>
      <c r="I224" s="1244"/>
      <c r="J224" s="1244"/>
      <c r="K224" s="1244"/>
      <c r="L224" s="1244"/>
      <c r="M224" s="1244"/>
      <c r="N224" s="1244"/>
    </row>
    <row r="225" spans="1:14" s="1312" customFormat="1" ht="30" customHeight="1" thickBot="1">
      <c r="A225" s="1275" t="s">
        <v>352</v>
      </c>
      <c r="B225" s="1308">
        <f>'[5]Druhova'!G221</f>
        <v>2336878.7</v>
      </c>
      <c r="C225" s="1309">
        <f>'[5]Druhova'!B221</f>
        <v>1329652</v>
      </c>
      <c r="D225" s="1309">
        <f>'[5]Druhova'!C221</f>
        <v>3044760.49</v>
      </c>
      <c r="E225" s="1309">
        <f>'[5]Druhova'!D221</f>
        <v>2865063.26</v>
      </c>
      <c r="F225" s="1309">
        <f t="shared" si="6"/>
        <v>94.1</v>
      </c>
      <c r="G225" s="1310">
        <f t="shared" si="7"/>
        <v>122.6</v>
      </c>
      <c r="H225" s="1311"/>
      <c r="I225" s="1311"/>
      <c r="J225" s="1311"/>
      <c r="K225" s="1311"/>
      <c r="L225" s="1311"/>
      <c r="M225" s="1311"/>
      <c r="N225" s="1311"/>
    </row>
    <row r="226" spans="1:14" s="1314" customFormat="1" ht="34.5" customHeight="1" thickBot="1">
      <c r="A226" s="1275" t="s">
        <v>353</v>
      </c>
      <c r="B226" s="1308">
        <f>'[5]Druhova'!G222</f>
        <v>53509978.93</v>
      </c>
      <c r="C226" s="1309">
        <f>'[5]Druhova'!B222</f>
        <v>52292118</v>
      </c>
      <c r="D226" s="1309">
        <f>'[5]Druhova'!C222</f>
        <v>55118684.44</v>
      </c>
      <c r="E226" s="1309">
        <f>'[5]Druhova'!D222</f>
        <v>54619752.31</v>
      </c>
      <c r="F226" s="1309">
        <f t="shared" si="6"/>
        <v>99.09</v>
      </c>
      <c r="G226" s="1310">
        <f t="shared" si="7"/>
        <v>102.07</v>
      </c>
      <c r="H226" s="1313"/>
      <c r="I226" s="1313"/>
      <c r="J226" s="1313"/>
      <c r="K226" s="1313"/>
      <c r="L226" s="1313"/>
      <c r="M226" s="1313"/>
      <c r="N226" s="1313"/>
    </row>
    <row r="227" spans="1:24" ht="24.75" customHeight="1" thickBot="1">
      <c r="A227" s="1286" t="s">
        <v>354</v>
      </c>
      <c r="B227" s="1257">
        <f>'[5]Druhova'!G223</f>
        <v>-45559380.51</v>
      </c>
      <c r="C227" s="1258">
        <f>'[5]Druhova'!B223</f>
        <v>-45529573</v>
      </c>
      <c r="D227" s="1258">
        <f>'[5]Druhova'!C223</f>
        <v>-47602389.49</v>
      </c>
      <c r="E227" s="1258">
        <f>'[5]Druhova'!D223</f>
        <v>-47442535.8</v>
      </c>
      <c r="F227" s="1258">
        <f t="shared" si="6"/>
        <v>99.66</v>
      </c>
      <c r="G227" s="1259">
        <f t="shared" si="7"/>
        <v>104.13</v>
      </c>
      <c r="H227" s="1212"/>
      <c r="I227" s="1212"/>
      <c r="J227" s="1212"/>
      <c r="K227" s="1212"/>
      <c r="L227" s="1212"/>
      <c r="O227" s="1213"/>
      <c r="P227" s="1213"/>
      <c r="Q227" s="1213"/>
      <c r="R227" s="1213"/>
      <c r="S227" s="1213"/>
      <c r="T227" s="1213"/>
      <c r="U227" s="1213"/>
      <c r="V227" s="1213"/>
      <c r="W227" s="1213"/>
      <c r="X227" s="1213"/>
    </row>
    <row r="228" spans="1:24" ht="18.75" customHeight="1" thickBot="1">
      <c r="A228" s="1287"/>
      <c r="B228" s="1288">
        <f>'[5]Druhova'!B224</f>
        <v>0</v>
      </c>
      <c r="C228" s="1288">
        <f>'[5]Druhova'!C224</f>
        <v>0</v>
      </c>
      <c r="D228" s="1288">
        <f>'[5]Druhova'!D224</f>
        <v>0</v>
      </c>
      <c r="E228" s="1288">
        <f>'[5]Druhova'!E224</f>
        <v>0</v>
      </c>
      <c r="F228" s="1288" t="str">
        <f>'[5]Druhova'!F224</f>
        <v>EMPTY</v>
      </c>
      <c r="G228" s="1288">
        <f>'[5]Druhova'!G224</f>
        <v>0</v>
      </c>
      <c r="H228" s="1212"/>
      <c r="I228" s="1212"/>
      <c r="J228" s="1212"/>
      <c r="K228" s="1212"/>
      <c r="L228" s="1212"/>
      <c r="O228" s="1213"/>
      <c r="P228" s="1213"/>
      <c r="Q228" s="1213"/>
      <c r="R228" s="1213"/>
      <c r="S228" s="1213"/>
      <c r="T228" s="1213"/>
      <c r="U228" s="1213"/>
      <c r="V228" s="1213"/>
      <c r="W228" s="1213"/>
      <c r="X228" s="1213"/>
    </row>
    <row r="229" spans="1:24" ht="18.75" customHeight="1" thickBot="1">
      <c r="A229" s="1289" t="s">
        <v>256</v>
      </c>
      <c r="B229" s="1280">
        <f>'[5]Druhova'!G225</f>
        <v>53509978.93</v>
      </c>
      <c r="C229" s="1277">
        <f>'[5]Druhova'!B225</f>
        <v>52292118</v>
      </c>
      <c r="D229" s="1277">
        <f>'[5]Druhova'!C225</f>
        <v>55118684.44</v>
      </c>
      <c r="E229" s="1277">
        <f>'[5]Druhova'!D225</f>
        <v>54619752.31</v>
      </c>
      <c r="F229" s="1277">
        <f>IF(D229=0,"",E229/D229*100)</f>
        <v>99.09</v>
      </c>
      <c r="G229" s="1278">
        <f>IF(B229=0,"",E229/B229*100)</f>
        <v>102.07</v>
      </c>
      <c r="H229" s="1212"/>
      <c r="I229" s="1212"/>
      <c r="J229" s="1212"/>
      <c r="K229" s="1212"/>
      <c r="L229" s="1212"/>
      <c r="O229" s="1213"/>
      <c r="P229" s="1213"/>
      <c r="Q229" s="1213"/>
      <c r="R229" s="1213"/>
      <c r="S229" s="1213"/>
      <c r="T229" s="1213"/>
      <c r="U229" s="1213"/>
      <c r="V229" s="1213"/>
      <c r="W229" s="1213"/>
      <c r="X229" s="1213"/>
    </row>
    <row r="230" spans="1:24" ht="12.75" customHeight="1" hidden="1" thickBot="1">
      <c r="A230" s="1287"/>
      <c r="B230" s="1247">
        <f>'[5]Druhova'!B226</f>
        <v>0</v>
      </c>
      <c r="C230" s="1247">
        <f>'[5]Druhova'!C226</f>
        <v>0</v>
      </c>
      <c r="D230" s="1247">
        <f>'[5]Druhova'!D226</f>
        <v>0</v>
      </c>
      <c r="E230" s="1247">
        <f>'[5]Druhova'!E226</f>
        <v>0</v>
      </c>
      <c r="F230" s="1247" t="str">
        <f>'[5]Druhova'!F226</f>
        <v>EMPTY</v>
      </c>
      <c r="G230" s="1248">
        <f>'[5]Druhova'!G226</f>
        <v>0</v>
      </c>
      <c r="H230" s="1212"/>
      <c r="I230" s="1212"/>
      <c r="J230" s="1212"/>
      <c r="K230" s="1212"/>
      <c r="L230" s="1212"/>
      <c r="O230" s="1213"/>
      <c r="P230" s="1213"/>
      <c r="Q230" s="1213"/>
      <c r="R230" s="1213"/>
      <c r="S230" s="1213"/>
      <c r="T230" s="1213"/>
      <c r="U230" s="1213"/>
      <c r="V230" s="1213"/>
      <c r="W230" s="1213"/>
      <c r="X230" s="1213"/>
    </row>
    <row r="231" spans="1:24" ht="18.75" customHeight="1">
      <c r="A231" s="1290" t="s">
        <v>355</v>
      </c>
      <c r="B231" s="1291">
        <f>'[5]Druhova'!B227</f>
        <v>0</v>
      </c>
      <c r="C231" s="1291">
        <f>'[5]Druhova'!C227</f>
        <v>0</v>
      </c>
      <c r="D231" s="1291">
        <f>'[5]Druhova'!D227</f>
        <v>0</v>
      </c>
      <c r="E231" s="1291">
        <f>'[5]Druhova'!E227</f>
        <v>0</v>
      </c>
      <c r="F231" s="1291" t="str">
        <f>'[5]Druhova'!F227</f>
        <v>FINANCOVÁNÍ</v>
      </c>
      <c r="G231" s="1291">
        <f>'[5]Druhova'!G227</f>
        <v>0</v>
      </c>
      <c r="H231" s="1212"/>
      <c r="I231" s="1212"/>
      <c r="J231" s="1212"/>
      <c r="K231" s="1212"/>
      <c r="L231" s="1212"/>
      <c r="O231" s="1213"/>
      <c r="P231" s="1213"/>
      <c r="Q231" s="1213"/>
      <c r="R231" s="1213"/>
      <c r="S231" s="1213"/>
      <c r="T231" s="1213"/>
      <c r="U231" s="1213"/>
      <c r="V231" s="1213"/>
      <c r="W231" s="1213"/>
      <c r="X231" s="1213"/>
    </row>
    <row r="232" spans="1:24" ht="18" customHeight="1">
      <c r="A232" s="1292" t="s">
        <v>356</v>
      </c>
      <c r="B232" s="1247">
        <f>'[5]Druhova'!G228</f>
        <v>0</v>
      </c>
      <c r="C232" s="1247">
        <f>'[5]Druhova'!B228</f>
        <v>0</v>
      </c>
      <c r="D232" s="1247">
        <f>'[5]Druhova'!C228</f>
        <v>0</v>
      </c>
      <c r="E232" s="1247">
        <f>'[5]Druhova'!D228</f>
        <v>0</v>
      </c>
      <c r="F232" s="1247">
        <f aca="true" t="shared" si="8" ref="F232:F257">IF(D232=0,"",E232/D232*100)</f>
      </c>
      <c r="G232" s="1248">
        <f aca="true" t="shared" si="9" ref="G232:G257">IF(B232=0,"",E232/B232*100)</f>
      </c>
      <c r="H232" s="1212"/>
      <c r="I232" s="1212"/>
      <c r="J232" s="1212"/>
      <c r="K232" s="1212"/>
      <c r="L232" s="1212"/>
      <c r="O232" s="1213"/>
      <c r="P232" s="1213"/>
      <c r="Q232" s="1213"/>
      <c r="R232" s="1213"/>
      <c r="S232" s="1213"/>
      <c r="T232" s="1213"/>
      <c r="U232" s="1213"/>
      <c r="V232" s="1213"/>
      <c r="W232" s="1213"/>
      <c r="X232" s="1213"/>
    </row>
    <row r="233" spans="1:24" ht="30.75" customHeight="1">
      <c r="A233" s="1292" t="s">
        <v>357</v>
      </c>
      <c r="B233" s="1247">
        <f>'[5]Druhova'!G229</f>
        <v>0</v>
      </c>
      <c r="C233" s="1247">
        <f>'[5]Druhova'!B229</f>
        <v>0</v>
      </c>
      <c r="D233" s="1247">
        <f>'[5]Druhova'!C229</f>
        <v>0</v>
      </c>
      <c r="E233" s="1247">
        <f>'[5]Druhova'!D229</f>
        <v>0</v>
      </c>
      <c r="F233" s="1247">
        <f t="shared" si="8"/>
      </c>
      <c r="G233" s="1248">
        <f t="shared" si="9"/>
      </c>
      <c r="H233" s="1212"/>
      <c r="I233" s="1212"/>
      <c r="J233" s="1212"/>
      <c r="K233" s="1212"/>
      <c r="L233" s="1212"/>
      <c r="O233" s="1213"/>
      <c r="P233" s="1213"/>
      <c r="Q233" s="1213"/>
      <c r="R233" s="1213"/>
      <c r="S233" s="1213"/>
      <c r="T233" s="1213"/>
      <c r="U233" s="1213"/>
      <c r="V233" s="1213"/>
      <c r="W233" s="1213"/>
      <c r="X233" s="1213"/>
    </row>
    <row r="234" spans="1:24" ht="27" customHeight="1">
      <c r="A234" s="116" t="s">
        <v>358</v>
      </c>
      <c r="B234" s="1247">
        <f>'[5]Druhova'!G230</f>
        <v>0</v>
      </c>
      <c r="C234" s="1247">
        <f>'[5]Druhova'!B230</f>
        <v>0</v>
      </c>
      <c r="D234" s="1247">
        <f>'[5]Druhova'!C230</f>
        <v>0</v>
      </c>
      <c r="E234" s="1247">
        <f>'[5]Druhova'!D230</f>
        <v>0</v>
      </c>
      <c r="F234" s="1247">
        <f t="shared" si="8"/>
      </c>
      <c r="G234" s="1248">
        <f t="shared" si="9"/>
      </c>
      <c r="H234" s="1212"/>
      <c r="I234" s="1212"/>
      <c r="J234" s="1212"/>
      <c r="K234" s="1212"/>
      <c r="L234" s="1212"/>
      <c r="O234" s="1213"/>
      <c r="P234" s="1213"/>
      <c r="Q234" s="1213"/>
      <c r="R234" s="1213"/>
      <c r="S234" s="1213"/>
      <c r="T234" s="1213"/>
      <c r="U234" s="1213"/>
      <c r="V234" s="1213"/>
      <c r="W234" s="1213"/>
      <c r="X234" s="1213"/>
    </row>
    <row r="235" spans="1:24" ht="37.5" customHeight="1">
      <c r="A235" s="116" t="s">
        <v>359</v>
      </c>
      <c r="B235" s="1247">
        <f>'[5]Druhova'!G231</f>
        <v>0</v>
      </c>
      <c r="C235" s="1247">
        <f>'[5]Druhova'!B231</f>
        <v>0</v>
      </c>
      <c r="D235" s="1247">
        <f>'[5]Druhova'!C231</f>
        <v>0</v>
      </c>
      <c r="E235" s="1247">
        <f>'[5]Druhova'!D231</f>
        <v>0</v>
      </c>
      <c r="F235" s="1247">
        <f t="shared" si="8"/>
      </c>
      <c r="G235" s="1248">
        <f t="shared" si="9"/>
      </c>
      <c r="H235" s="1212"/>
      <c r="I235" s="1212"/>
      <c r="J235" s="1212"/>
      <c r="K235" s="1212"/>
      <c r="L235" s="1212"/>
      <c r="O235" s="1213"/>
      <c r="P235" s="1213"/>
      <c r="Q235" s="1213"/>
      <c r="R235" s="1213"/>
      <c r="S235" s="1213"/>
      <c r="T235" s="1213"/>
      <c r="U235" s="1213"/>
      <c r="V235" s="1213"/>
      <c r="W235" s="1213"/>
      <c r="X235" s="1213"/>
    </row>
    <row r="236" spans="1:24" ht="30.75" customHeight="1">
      <c r="A236" s="1292" t="s">
        <v>360</v>
      </c>
      <c r="B236" s="1247">
        <f>'[5]Druhova'!G232</f>
        <v>0</v>
      </c>
      <c r="C236" s="1247">
        <f>'[5]Druhova'!B232</f>
        <v>0</v>
      </c>
      <c r="D236" s="1247">
        <f>'[5]Druhova'!C232</f>
        <v>0</v>
      </c>
      <c r="E236" s="1247">
        <f>'[5]Druhova'!D232</f>
        <v>0</v>
      </c>
      <c r="F236" s="1247">
        <f t="shared" si="8"/>
      </c>
      <c r="G236" s="1248">
        <f t="shared" si="9"/>
      </c>
      <c r="H236" s="1212"/>
      <c r="I236" s="1212"/>
      <c r="J236" s="1212"/>
      <c r="K236" s="1212"/>
      <c r="L236" s="1212"/>
      <c r="O236" s="1213"/>
      <c r="P236" s="1213"/>
      <c r="Q236" s="1213"/>
      <c r="R236" s="1213"/>
      <c r="S236" s="1213"/>
      <c r="T236" s="1213"/>
      <c r="U236" s="1213"/>
      <c r="V236" s="1213"/>
      <c r="W236" s="1213"/>
      <c r="X236" s="1213"/>
    </row>
    <row r="237" spans="1:24" ht="18" customHeight="1">
      <c r="A237" s="1292" t="s">
        <v>361</v>
      </c>
      <c r="B237" s="1247">
        <f>'[5]Druhova'!G233</f>
        <v>0</v>
      </c>
      <c r="C237" s="1247">
        <f>'[5]Druhova'!B233</f>
        <v>0</v>
      </c>
      <c r="D237" s="1247">
        <f>'[5]Druhova'!C233</f>
        <v>0</v>
      </c>
      <c r="E237" s="1247">
        <f>'[5]Druhova'!D233</f>
        <v>0</v>
      </c>
      <c r="F237" s="1247">
        <f t="shared" si="8"/>
      </c>
      <c r="G237" s="1248">
        <f t="shared" si="9"/>
      </c>
      <c r="H237" s="1212"/>
      <c r="I237" s="1212"/>
      <c r="J237" s="1212"/>
      <c r="K237" s="1212"/>
      <c r="L237" s="1212"/>
      <c r="O237" s="1213"/>
      <c r="P237" s="1213"/>
      <c r="Q237" s="1213"/>
      <c r="R237" s="1213"/>
      <c r="S237" s="1213"/>
      <c r="T237" s="1213"/>
      <c r="U237" s="1213"/>
      <c r="V237" s="1213"/>
      <c r="W237" s="1213"/>
      <c r="X237" s="1213"/>
    </row>
    <row r="238" spans="1:14" s="1245" customFormat="1" ht="18" customHeight="1">
      <c r="A238" s="1292" t="s">
        <v>362</v>
      </c>
      <c r="B238" s="1247">
        <f>'[5]Druhova'!G234</f>
        <v>0</v>
      </c>
      <c r="C238" s="1247">
        <f>'[5]Druhova'!B234</f>
        <v>0</v>
      </c>
      <c r="D238" s="1247">
        <f>'[5]Druhova'!C234</f>
        <v>0</v>
      </c>
      <c r="E238" s="1247">
        <f>'[5]Druhova'!D234</f>
        <v>0</v>
      </c>
      <c r="F238" s="1247">
        <f t="shared" si="8"/>
      </c>
      <c r="G238" s="1248">
        <f t="shared" si="9"/>
      </c>
      <c r="H238" s="1244"/>
      <c r="I238" s="1244"/>
      <c r="J238" s="1244"/>
      <c r="K238" s="1244"/>
      <c r="L238" s="1244"/>
      <c r="M238" s="1244"/>
      <c r="N238" s="1244"/>
    </row>
    <row r="239" spans="1:14" s="1245" customFormat="1" ht="18" customHeight="1">
      <c r="A239" s="1293" t="s">
        <v>363</v>
      </c>
      <c r="B239" s="1247">
        <f>'[5]Druhova'!G235</f>
        <v>0</v>
      </c>
      <c r="C239" s="1247">
        <f>'[5]Druhova'!B235</f>
        <v>0</v>
      </c>
      <c r="D239" s="1247">
        <f>'[5]Druhova'!C235</f>
        <v>0</v>
      </c>
      <c r="E239" s="1247">
        <f>'[5]Druhova'!D235</f>
        <v>0</v>
      </c>
      <c r="F239" s="1247">
        <f t="shared" si="8"/>
      </c>
      <c r="G239" s="1248">
        <f t="shared" si="9"/>
      </c>
      <c r="H239" s="1244"/>
      <c r="I239" s="1244"/>
      <c r="J239" s="1244"/>
      <c r="K239" s="1244"/>
      <c r="L239" s="1244"/>
      <c r="M239" s="1244"/>
      <c r="N239" s="1244"/>
    </row>
    <row r="240" spans="1:14" s="1245" customFormat="1" ht="19.5" customHeight="1">
      <c r="A240" s="1293" t="s">
        <v>364</v>
      </c>
      <c r="B240" s="1247">
        <f>'[5]Druhova'!G236</f>
        <v>0</v>
      </c>
      <c r="C240" s="1247">
        <f>'[5]Druhova'!B236</f>
        <v>0</v>
      </c>
      <c r="D240" s="1247">
        <f>'[5]Druhova'!C236</f>
        <v>0</v>
      </c>
      <c r="E240" s="1247">
        <f>'[5]Druhova'!D236</f>
        <v>0</v>
      </c>
      <c r="F240" s="1247">
        <f t="shared" si="8"/>
      </c>
      <c r="G240" s="1248">
        <f t="shared" si="9"/>
      </c>
      <c r="H240" s="1244"/>
      <c r="I240" s="1244"/>
      <c r="J240" s="1244"/>
      <c r="K240" s="1244"/>
      <c r="L240" s="1244"/>
      <c r="M240" s="1244"/>
      <c r="N240" s="1244"/>
    </row>
    <row r="241" spans="1:14" s="1245" customFormat="1" ht="24">
      <c r="A241" s="1293" t="s">
        <v>365</v>
      </c>
      <c r="B241" s="1247">
        <f>'[5]Druhova'!G237</f>
        <v>0</v>
      </c>
      <c r="C241" s="1247">
        <f>'[5]Druhova'!B237</f>
        <v>0</v>
      </c>
      <c r="D241" s="1247">
        <f>'[5]Druhova'!C237</f>
        <v>0</v>
      </c>
      <c r="E241" s="1247">
        <f>'[5]Druhova'!D237</f>
        <v>0</v>
      </c>
      <c r="F241" s="1247">
        <f t="shared" si="8"/>
      </c>
      <c r="G241" s="1248">
        <f t="shared" si="9"/>
      </c>
      <c r="H241" s="1244"/>
      <c r="I241" s="1244"/>
      <c r="J241" s="1244"/>
      <c r="K241" s="1244"/>
      <c r="L241" s="1244"/>
      <c r="M241" s="1244"/>
      <c r="N241" s="1244"/>
    </row>
    <row r="242" spans="1:14" s="1245" customFormat="1" ht="27" customHeight="1">
      <c r="A242" s="117" t="s">
        <v>366</v>
      </c>
      <c r="B242" s="1247">
        <f>'[5]Druhova'!G238</f>
        <v>0</v>
      </c>
      <c r="C242" s="1247">
        <f>'[5]Druhova'!B238</f>
        <v>0</v>
      </c>
      <c r="D242" s="1247">
        <f>'[5]Druhova'!C238</f>
        <v>0</v>
      </c>
      <c r="E242" s="1247">
        <f>'[5]Druhova'!D238</f>
        <v>0</v>
      </c>
      <c r="F242" s="1247">
        <f t="shared" si="8"/>
      </c>
      <c r="G242" s="1248">
        <f t="shared" si="9"/>
      </c>
      <c r="H242" s="1244"/>
      <c r="I242" s="1244"/>
      <c r="J242" s="1244"/>
      <c r="K242" s="1244"/>
      <c r="L242" s="1244"/>
      <c r="M242" s="1244"/>
      <c r="N242" s="1244"/>
    </row>
    <row r="243" spans="1:24" ht="18" customHeight="1">
      <c r="A243" s="1293" t="s">
        <v>367</v>
      </c>
      <c r="B243" s="1247">
        <f>'[5]Druhova'!G239</f>
        <v>0</v>
      </c>
      <c r="C243" s="1247">
        <f>'[5]Druhova'!B239</f>
        <v>0</v>
      </c>
      <c r="D243" s="1247">
        <f>'[5]Druhova'!C239</f>
        <v>0</v>
      </c>
      <c r="E243" s="1247">
        <f>'[5]Druhova'!D239</f>
        <v>0</v>
      </c>
      <c r="F243" s="1247">
        <f t="shared" si="8"/>
      </c>
      <c r="G243" s="1248">
        <f t="shared" si="9"/>
      </c>
      <c r="H243" s="1212"/>
      <c r="I243" s="1212"/>
      <c r="J243" s="1212"/>
      <c r="K243" s="1212"/>
      <c r="L243" s="1212"/>
      <c r="O243" s="1213"/>
      <c r="P243" s="1213"/>
      <c r="Q243" s="1213"/>
      <c r="R243" s="1213"/>
      <c r="S243" s="1213"/>
      <c r="T243" s="1213"/>
      <c r="U243" s="1213"/>
      <c r="V243" s="1213"/>
      <c r="W243" s="1213"/>
      <c r="X243" s="1213"/>
    </row>
    <row r="244" spans="1:24" ht="18" customHeight="1">
      <c r="A244" s="1285" t="s">
        <v>368</v>
      </c>
      <c r="B244" s="1250">
        <f>'[5]Druhova'!G240</f>
        <v>0</v>
      </c>
      <c r="C244" s="1250">
        <f>'[5]Druhova'!B240</f>
        <v>0</v>
      </c>
      <c r="D244" s="1250">
        <f>'[5]Druhova'!C240</f>
        <v>0</v>
      </c>
      <c r="E244" s="1250">
        <f>'[5]Druhova'!D240</f>
        <v>0</v>
      </c>
      <c r="F244" s="1250">
        <f t="shared" si="8"/>
      </c>
      <c r="G244" s="1251">
        <f t="shared" si="9"/>
      </c>
      <c r="H244" s="1212"/>
      <c r="I244" s="1212"/>
      <c r="J244" s="1212"/>
      <c r="K244" s="1212"/>
      <c r="L244" s="1212"/>
      <c r="O244" s="1213"/>
      <c r="P244" s="1213"/>
      <c r="Q244" s="1213"/>
      <c r="R244" s="1213"/>
      <c r="S244" s="1213"/>
      <c r="T244" s="1213"/>
      <c r="U244" s="1213"/>
      <c r="V244" s="1213"/>
      <c r="W244" s="1213"/>
      <c r="X244" s="1213"/>
    </row>
    <row r="245" spans="1:24" ht="19.5" customHeight="1">
      <c r="A245" s="118" t="s">
        <v>361</v>
      </c>
      <c r="B245" s="1247">
        <f>'[5]Druhova'!G241</f>
        <v>0</v>
      </c>
      <c r="C245" s="1247">
        <f>'[5]Druhova'!B241</f>
        <v>0</v>
      </c>
      <c r="D245" s="1247">
        <f>'[5]Druhova'!C241</f>
        <v>0</v>
      </c>
      <c r="E245" s="1247">
        <f>'[5]Druhova'!D241</f>
        <v>0</v>
      </c>
      <c r="F245" s="1247">
        <f t="shared" si="8"/>
      </c>
      <c r="G245" s="1248">
        <f t="shared" si="9"/>
      </c>
      <c r="H245" s="1212"/>
      <c r="I245" s="1212"/>
      <c r="J245" s="1212"/>
      <c r="K245" s="1212"/>
      <c r="L245" s="1212"/>
      <c r="O245" s="1213"/>
      <c r="P245" s="1213"/>
      <c r="Q245" s="1213"/>
      <c r="R245" s="1213"/>
      <c r="S245" s="1213"/>
      <c r="T245" s="1213"/>
      <c r="U245" s="1213"/>
      <c r="V245" s="1213"/>
      <c r="W245" s="1213"/>
      <c r="X245" s="1213"/>
    </row>
    <row r="246" spans="1:24" ht="18" customHeight="1">
      <c r="A246" s="118" t="s">
        <v>369</v>
      </c>
      <c r="B246" s="1247">
        <f>'[5]Druhova'!G242</f>
        <v>0</v>
      </c>
      <c r="C246" s="1247">
        <f>'[5]Druhova'!B242</f>
        <v>0</v>
      </c>
      <c r="D246" s="1247">
        <f>'[5]Druhova'!C242</f>
        <v>0</v>
      </c>
      <c r="E246" s="1247">
        <f>'[5]Druhova'!D242</f>
        <v>0</v>
      </c>
      <c r="F246" s="1247">
        <f t="shared" si="8"/>
      </c>
      <c r="G246" s="1248">
        <f t="shared" si="9"/>
      </c>
      <c r="H246" s="1212"/>
      <c r="I246" s="1212"/>
      <c r="J246" s="1212"/>
      <c r="K246" s="1212"/>
      <c r="L246" s="1212"/>
      <c r="O246" s="1213"/>
      <c r="P246" s="1213"/>
      <c r="Q246" s="1213"/>
      <c r="R246" s="1213"/>
      <c r="S246" s="1213"/>
      <c r="T246" s="1213"/>
      <c r="U246" s="1213"/>
      <c r="V246" s="1213"/>
      <c r="W246" s="1213"/>
      <c r="X246" s="1213"/>
    </row>
    <row r="247" spans="1:24" ht="30" customHeight="1">
      <c r="A247" s="117" t="s">
        <v>363</v>
      </c>
      <c r="B247" s="1247">
        <f>'[5]Druhova'!G243</f>
        <v>0</v>
      </c>
      <c r="C247" s="1247">
        <f>'[5]Druhova'!B243</f>
        <v>0</v>
      </c>
      <c r="D247" s="1247">
        <f>'[5]Druhova'!C243</f>
        <v>0</v>
      </c>
      <c r="E247" s="1247">
        <f>'[5]Druhova'!D243</f>
        <v>0</v>
      </c>
      <c r="F247" s="1247">
        <f t="shared" si="8"/>
      </c>
      <c r="G247" s="1248">
        <f t="shared" si="9"/>
      </c>
      <c r="H247" s="1212"/>
      <c r="I247" s="1212"/>
      <c r="J247" s="1212"/>
      <c r="K247" s="1212"/>
      <c r="L247" s="1212"/>
      <c r="O247" s="1213"/>
      <c r="P247" s="1213"/>
      <c r="Q247" s="1213"/>
      <c r="R247" s="1213"/>
      <c r="S247" s="1213"/>
      <c r="T247" s="1213"/>
      <c r="U247" s="1213"/>
      <c r="V247" s="1213"/>
      <c r="W247" s="1213"/>
      <c r="X247" s="1213"/>
    </row>
    <row r="248" spans="1:24" ht="24.75" customHeight="1">
      <c r="A248" s="117" t="s">
        <v>370</v>
      </c>
      <c r="B248" s="1247">
        <f>'[5]Druhova'!G244</f>
        <v>0</v>
      </c>
      <c r="C248" s="1247">
        <f>'[5]Druhova'!B244</f>
        <v>0</v>
      </c>
      <c r="D248" s="1247">
        <f>'[5]Druhova'!C244</f>
        <v>0</v>
      </c>
      <c r="E248" s="1247">
        <f>'[5]Druhova'!D244</f>
        <v>0</v>
      </c>
      <c r="F248" s="1247">
        <f t="shared" si="8"/>
      </c>
      <c r="G248" s="1248">
        <f t="shared" si="9"/>
      </c>
      <c r="H248" s="1212"/>
      <c r="I248" s="1212"/>
      <c r="J248" s="1212"/>
      <c r="K248" s="1212"/>
      <c r="L248" s="1212"/>
      <c r="O248" s="1213"/>
      <c r="P248" s="1213"/>
      <c r="Q248" s="1213"/>
      <c r="R248" s="1213"/>
      <c r="S248" s="1213"/>
      <c r="T248" s="1213"/>
      <c r="U248" s="1213"/>
      <c r="V248" s="1213"/>
      <c r="W248" s="1213"/>
      <c r="X248" s="1213"/>
    </row>
    <row r="249" spans="1:24" ht="24.75" customHeight="1">
      <c r="A249" s="1293" t="s">
        <v>371</v>
      </c>
      <c r="B249" s="1247">
        <f>'[5]Druhova'!G245</f>
        <v>0</v>
      </c>
      <c r="C249" s="1247">
        <f>'[5]Druhova'!B245</f>
        <v>0</v>
      </c>
      <c r="D249" s="1247">
        <f>'[5]Druhova'!C245</f>
        <v>0</v>
      </c>
      <c r="E249" s="1247">
        <f>'[5]Druhova'!D245</f>
        <v>0</v>
      </c>
      <c r="F249" s="1247">
        <f t="shared" si="8"/>
      </c>
      <c r="G249" s="1248">
        <f t="shared" si="9"/>
      </c>
      <c r="H249" s="1212"/>
      <c r="I249" s="1212"/>
      <c r="J249" s="1212"/>
      <c r="K249" s="1212"/>
      <c r="L249" s="1212"/>
      <c r="O249" s="1213"/>
      <c r="P249" s="1213"/>
      <c r="Q249" s="1213"/>
      <c r="R249" s="1213"/>
      <c r="S249" s="1213"/>
      <c r="T249" s="1213"/>
      <c r="U249" s="1213"/>
      <c r="V249" s="1213"/>
      <c r="W249" s="1213"/>
      <c r="X249" s="1213"/>
    </row>
    <row r="250" spans="1:24" ht="24">
      <c r="A250" s="1293" t="s">
        <v>372</v>
      </c>
      <c r="B250" s="1247">
        <f>'[5]Druhova'!G246</f>
        <v>0</v>
      </c>
      <c r="C250" s="1247">
        <f>'[5]Druhova'!B246</f>
        <v>0</v>
      </c>
      <c r="D250" s="1247">
        <f>'[5]Druhova'!C246</f>
        <v>0</v>
      </c>
      <c r="E250" s="1247">
        <f>'[5]Druhova'!D246</f>
        <v>0</v>
      </c>
      <c r="F250" s="1247">
        <f t="shared" si="8"/>
      </c>
      <c r="G250" s="1248">
        <f t="shared" si="9"/>
      </c>
      <c r="H250" s="1212"/>
      <c r="I250" s="1212"/>
      <c r="J250" s="1212"/>
      <c r="K250" s="1212"/>
      <c r="L250" s="1212"/>
      <c r="O250" s="1213"/>
      <c r="P250" s="1213"/>
      <c r="Q250" s="1213"/>
      <c r="R250" s="1213"/>
      <c r="S250" s="1213"/>
      <c r="T250" s="1213"/>
      <c r="U250" s="1213"/>
      <c r="V250" s="1213"/>
      <c r="W250" s="1213"/>
      <c r="X250" s="1213"/>
    </row>
    <row r="251" spans="1:24" ht="12.75">
      <c r="A251" s="1293" t="s">
        <v>373</v>
      </c>
      <c r="B251" s="1247">
        <f>'[5]Druhova'!G247</f>
        <v>0</v>
      </c>
      <c r="C251" s="1247">
        <f>'[5]Druhova'!B247</f>
        <v>0</v>
      </c>
      <c r="D251" s="1247">
        <f>'[5]Druhova'!C247</f>
        <v>0</v>
      </c>
      <c r="E251" s="1247">
        <f>'[5]Druhova'!D247</f>
        <v>0</v>
      </c>
      <c r="F251" s="1247">
        <f t="shared" si="8"/>
      </c>
      <c r="G251" s="1248">
        <f t="shared" si="9"/>
      </c>
      <c r="H251" s="1212"/>
      <c r="I251" s="1212"/>
      <c r="J251" s="1212"/>
      <c r="K251" s="1212"/>
      <c r="L251" s="1212"/>
      <c r="O251" s="1213"/>
      <c r="P251" s="1213"/>
      <c r="Q251" s="1213"/>
      <c r="R251" s="1213"/>
      <c r="S251" s="1213"/>
      <c r="T251" s="1213"/>
      <c r="U251" s="1213"/>
      <c r="V251" s="1213"/>
      <c r="W251" s="1213"/>
      <c r="X251" s="1213"/>
    </row>
    <row r="252" spans="1:24" ht="12.75">
      <c r="A252" s="1285" t="s">
        <v>374</v>
      </c>
      <c r="B252" s="1250">
        <f>'[5]Druhova'!G248</f>
        <v>0</v>
      </c>
      <c r="C252" s="1250">
        <f>'[5]Druhova'!B248</f>
        <v>0</v>
      </c>
      <c r="D252" s="1250">
        <f>'[5]Druhova'!C248</f>
        <v>0</v>
      </c>
      <c r="E252" s="1250">
        <f>'[5]Druhova'!D248</f>
        <v>0</v>
      </c>
      <c r="F252" s="1250">
        <f t="shared" si="8"/>
      </c>
      <c r="G252" s="1251">
        <f t="shared" si="9"/>
      </c>
      <c r="H252" s="1212"/>
      <c r="I252" s="1212"/>
      <c r="J252" s="1212"/>
      <c r="K252" s="1212"/>
      <c r="L252" s="1212"/>
      <c r="O252" s="1213"/>
      <c r="P252" s="1213"/>
      <c r="Q252" s="1213"/>
      <c r="R252" s="1213"/>
      <c r="S252" s="1213"/>
      <c r="T252" s="1213"/>
      <c r="U252" s="1213"/>
      <c r="V252" s="1213"/>
      <c r="W252" s="1213"/>
      <c r="X252" s="1213"/>
    </row>
    <row r="253" spans="1:24" ht="24">
      <c r="A253" s="1294" t="s">
        <v>375</v>
      </c>
      <c r="B253" s="1295">
        <f>'[5]Druhova'!G249</f>
        <v>0</v>
      </c>
      <c r="C253" s="1295">
        <f>'[5]Druhova'!B249</f>
        <v>0</v>
      </c>
      <c r="D253" s="1295">
        <f>'[5]Druhova'!C249</f>
        <v>0</v>
      </c>
      <c r="E253" s="1295">
        <f>'[5]Druhova'!D249</f>
        <v>0</v>
      </c>
      <c r="F253" s="1295">
        <f t="shared" si="8"/>
      </c>
      <c r="G253" s="1296">
        <f t="shared" si="9"/>
      </c>
      <c r="H253" s="1212"/>
      <c r="I253" s="1212"/>
      <c r="J253" s="1212"/>
      <c r="K253" s="1212"/>
      <c r="L253" s="1212"/>
      <c r="O253" s="1213"/>
      <c r="P253" s="1213"/>
      <c r="Q253" s="1213"/>
      <c r="R253" s="1213"/>
      <c r="S253" s="1213"/>
      <c r="T253" s="1213"/>
      <c r="U253" s="1213"/>
      <c r="V253" s="1213"/>
      <c r="W253" s="1213"/>
      <c r="X253" s="1213"/>
    </row>
    <row r="254" spans="1:24" ht="24">
      <c r="A254" s="1297" t="s">
        <v>375</v>
      </c>
      <c r="B254" s="1250">
        <f>'[5]Druhova'!G250</f>
        <v>0</v>
      </c>
      <c r="C254" s="1250">
        <f>'[5]Druhova'!B250</f>
        <v>0</v>
      </c>
      <c r="D254" s="1250">
        <f>'[5]Druhova'!C250</f>
        <v>0</v>
      </c>
      <c r="E254" s="1250">
        <f>'[5]Druhova'!D250</f>
        <v>0</v>
      </c>
      <c r="F254" s="1250">
        <f t="shared" si="8"/>
      </c>
      <c r="G254" s="1251">
        <f t="shared" si="9"/>
      </c>
      <c r="H254" s="1212"/>
      <c r="I254" s="1212"/>
      <c r="J254" s="1212"/>
      <c r="K254" s="1212"/>
      <c r="L254" s="1212"/>
      <c r="O254" s="1213"/>
      <c r="P254" s="1213"/>
      <c r="Q254" s="1213"/>
      <c r="R254" s="1213"/>
      <c r="S254" s="1213"/>
      <c r="T254" s="1213"/>
      <c r="U254" s="1213"/>
      <c r="V254" s="1213"/>
      <c r="W254" s="1213"/>
      <c r="X254" s="1213"/>
    </row>
    <row r="255" spans="1:24" ht="12.75">
      <c r="A255" s="1298" t="s">
        <v>376</v>
      </c>
      <c r="B255" s="1247">
        <f>'[5]Druhova'!G251</f>
        <v>0</v>
      </c>
      <c r="C255" s="1247">
        <f>'[5]Druhova'!B251</f>
        <v>0</v>
      </c>
      <c r="D255" s="1247">
        <f>'[5]Druhova'!C251</f>
        <v>0</v>
      </c>
      <c r="E255" s="1247">
        <f>'[5]Druhova'!D251</f>
        <v>0</v>
      </c>
      <c r="F255" s="1247">
        <f t="shared" si="8"/>
      </c>
      <c r="G255" s="1248">
        <f t="shared" si="9"/>
      </c>
      <c r="H255" s="1212"/>
      <c r="I255" s="1212"/>
      <c r="J255" s="1212"/>
      <c r="K255" s="1212"/>
      <c r="L255" s="1212"/>
      <c r="O255" s="1213"/>
      <c r="P255" s="1213"/>
      <c r="Q255" s="1213"/>
      <c r="R255" s="1213"/>
      <c r="S255" s="1213"/>
      <c r="T255" s="1213"/>
      <c r="U255" s="1213"/>
      <c r="V255" s="1213"/>
      <c r="W255" s="1213"/>
      <c r="X255" s="1213"/>
    </row>
    <row r="256" spans="1:24" ht="13.5" thickBot="1">
      <c r="A256" s="1274" t="s">
        <v>376</v>
      </c>
      <c r="B256" s="1299">
        <f>'[5]Druhova'!G252</f>
        <v>0</v>
      </c>
      <c r="C256" s="1299">
        <f>'[5]Druhova'!B252</f>
        <v>0</v>
      </c>
      <c r="D256" s="1299">
        <f>'[5]Druhova'!C252</f>
        <v>0</v>
      </c>
      <c r="E256" s="1299">
        <f>'[5]Druhova'!D252</f>
        <v>0</v>
      </c>
      <c r="F256" s="1299">
        <f t="shared" si="8"/>
      </c>
      <c r="G256" s="1300">
        <f t="shared" si="9"/>
      </c>
      <c r="H256" s="1212"/>
      <c r="I256" s="1212"/>
      <c r="J256" s="1212"/>
      <c r="K256" s="1212"/>
      <c r="L256" s="1212"/>
      <c r="O256" s="1213"/>
      <c r="P256" s="1213"/>
      <c r="Q256" s="1213"/>
      <c r="R256" s="1213"/>
      <c r="S256" s="1213"/>
      <c r="T256" s="1213"/>
      <c r="U256" s="1213"/>
      <c r="V256" s="1213"/>
      <c r="W256" s="1213"/>
      <c r="X256" s="1213"/>
    </row>
    <row r="257" spans="1:24" ht="13.5" thickBot="1">
      <c r="A257" s="1301" t="s">
        <v>377</v>
      </c>
      <c r="B257" s="1257">
        <f>'[5]Druhova'!G253</f>
        <v>0</v>
      </c>
      <c r="C257" s="1258">
        <f>'[5]Druhova'!B253</f>
        <v>0</v>
      </c>
      <c r="D257" s="1258">
        <f>'[5]Druhova'!C253</f>
        <v>0</v>
      </c>
      <c r="E257" s="1258">
        <f>'[5]Druhova'!D253</f>
        <v>0</v>
      </c>
      <c r="F257" s="1258">
        <f t="shared" si="8"/>
      </c>
      <c r="G257" s="1259">
        <f t="shared" si="9"/>
      </c>
      <c r="H257" s="1212"/>
      <c r="I257" s="1212"/>
      <c r="J257" s="1212"/>
      <c r="K257" s="1212"/>
      <c r="L257" s="1212"/>
      <c r="O257" s="1213"/>
      <c r="P257" s="1213"/>
      <c r="Q257" s="1213"/>
      <c r="R257" s="1213"/>
      <c r="S257" s="1213"/>
      <c r="T257" s="1213"/>
      <c r="U257" s="1213"/>
      <c r="V257" s="1213"/>
      <c r="W257" s="1213"/>
      <c r="X257" s="1213"/>
    </row>
    <row r="258" spans="1:24" ht="13.5" thickBot="1">
      <c r="A258" s="1287"/>
      <c r="B258" s="1302"/>
      <c r="C258" s="1302"/>
      <c r="D258" s="1302"/>
      <c r="E258" s="1302"/>
      <c r="F258" s="1302" t="str">
        <f>IF(D258&gt;0,E258/D258*100," ")</f>
        <v> </v>
      </c>
      <c r="G258" s="1302" t="str">
        <f>IF(B258&gt;0,E258/B258*100," ")</f>
        <v> </v>
      </c>
      <c r="H258" s="1212"/>
      <c r="I258" s="1212"/>
      <c r="J258" s="1212"/>
      <c r="K258" s="1212"/>
      <c r="L258" s="1212"/>
      <c r="O258" s="1213"/>
      <c r="P258" s="1213"/>
      <c r="Q258" s="1213"/>
      <c r="R258" s="1213"/>
      <c r="S258" s="1213"/>
      <c r="T258" s="1213"/>
      <c r="U258" s="1213"/>
      <c r="V258" s="1213"/>
      <c r="W258" s="1213"/>
      <c r="X258" s="1213"/>
    </row>
    <row r="259" spans="1:24" ht="13.5" thickBot="1">
      <c r="A259" s="1303" t="s">
        <v>378</v>
      </c>
      <c r="B259" s="1257">
        <f>'[5]Druhova'!G255</f>
        <v>-45559380.51</v>
      </c>
      <c r="C259" s="1258">
        <f>'[5]Druhova'!B255</f>
        <v>-45529573</v>
      </c>
      <c r="D259" s="1258">
        <f>'[5]Druhova'!C255</f>
        <v>-47602389.49</v>
      </c>
      <c r="E259" s="1258">
        <f>'[5]Druhova'!D255</f>
        <v>-47442535.8</v>
      </c>
      <c r="F259" s="1258">
        <f>IF(D259=0,"",E259/D259*100)</f>
        <v>99.66</v>
      </c>
      <c r="G259" s="1259">
        <f>IF(B259=0,"",E259/B259*100)</f>
        <v>104.13</v>
      </c>
      <c r="H259" s="1212"/>
      <c r="I259" s="1212"/>
      <c r="J259" s="1212"/>
      <c r="K259" s="1212"/>
      <c r="L259" s="1212"/>
      <c r="O259" s="1213"/>
      <c r="P259" s="1213"/>
      <c r="Q259" s="1213"/>
      <c r="R259" s="1213"/>
      <c r="S259" s="1213"/>
      <c r="T259" s="1213"/>
      <c r="U259" s="1213"/>
      <c r="V259" s="1213"/>
      <c r="W259" s="1213"/>
      <c r="X259" s="1213"/>
    </row>
    <row r="260" spans="1:24" ht="12.75">
      <c r="A260" s="1287"/>
      <c r="B260" s="1302"/>
      <c r="C260" s="1302"/>
      <c r="D260" s="1302"/>
      <c r="E260" s="1302"/>
      <c r="F260" s="1302" t="str">
        <f>IF(D260&gt;0,E260/D260*100," ")</f>
        <v> </v>
      </c>
      <c r="G260" s="1302" t="str">
        <f>IF(B260&gt;0,E260/B260*100," ")</f>
        <v> </v>
      </c>
      <c r="H260" s="1212"/>
      <c r="I260" s="1212"/>
      <c r="J260" s="1212"/>
      <c r="K260" s="1212"/>
      <c r="L260" s="1212"/>
      <c r="O260" s="1213"/>
      <c r="P260" s="1213"/>
      <c r="Q260" s="1213"/>
      <c r="R260" s="1213"/>
      <c r="S260" s="1213"/>
      <c r="T260" s="1213"/>
      <c r="U260" s="1213"/>
      <c r="V260" s="1213"/>
      <c r="W260" s="1213"/>
      <c r="X260" s="1213"/>
    </row>
    <row r="261" spans="1:24" ht="12.75">
      <c r="A261" s="1304" t="s">
        <v>379</v>
      </c>
      <c r="H261" s="1212"/>
      <c r="I261" s="1212"/>
      <c r="J261" s="1212"/>
      <c r="K261" s="1212"/>
      <c r="L261" s="1212"/>
      <c r="O261" s="1213"/>
      <c r="P261" s="1213"/>
      <c r="Q261" s="1213"/>
      <c r="R261" s="1213"/>
      <c r="S261" s="1213"/>
      <c r="T261" s="1213"/>
      <c r="U261" s="1213"/>
      <c r="V261" s="1213"/>
      <c r="W261" s="1213"/>
      <c r="X261" s="1213"/>
    </row>
    <row r="262" spans="1:24" ht="12.75">
      <c r="A262" s="1304" t="s">
        <v>380</v>
      </c>
      <c r="H262" s="1212"/>
      <c r="I262" s="1212"/>
      <c r="J262" s="1212"/>
      <c r="K262" s="1212"/>
      <c r="L262" s="1212"/>
      <c r="O262" s="1213"/>
      <c r="P262" s="1213"/>
      <c r="Q262" s="1213"/>
      <c r="R262" s="1213"/>
      <c r="S262" s="1213"/>
      <c r="T262" s="1213"/>
      <c r="U262" s="1213"/>
      <c r="V262" s="1213"/>
      <c r="W262" s="1213"/>
      <c r="X262" s="1213"/>
    </row>
    <row r="263" spans="1:24" ht="12.75">
      <c r="A263" s="1305" t="s">
        <v>402</v>
      </c>
      <c r="H263" s="1212"/>
      <c r="I263" s="1212"/>
      <c r="J263" s="1212"/>
      <c r="K263" s="1212"/>
      <c r="L263" s="1212"/>
      <c r="O263" s="1213"/>
      <c r="P263" s="1213"/>
      <c r="Q263" s="1213"/>
      <c r="R263" s="1213"/>
      <c r="S263" s="1213"/>
      <c r="T263" s="1213"/>
      <c r="U263" s="1213"/>
      <c r="V263" s="1213"/>
      <c r="W263" s="1213"/>
      <c r="X263" s="1213"/>
    </row>
    <row r="264" spans="1:24" ht="12.75">
      <c r="A264" s="1306" t="s">
        <v>381</v>
      </c>
      <c r="H264" s="1212"/>
      <c r="I264" s="1212"/>
      <c r="J264" s="1212"/>
      <c r="K264" s="1212"/>
      <c r="L264" s="1212"/>
      <c r="O264" s="1213"/>
      <c r="P264" s="1213"/>
      <c r="Q264" s="1213"/>
      <c r="R264" s="1213"/>
      <c r="S264" s="1213"/>
      <c r="T264" s="1213"/>
      <c r="U264" s="1213"/>
      <c r="V264" s="1213"/>
      <c r="W264" s="1213"/>
      <c r="X264" s="1213"/>
    </row>
    <row r="265" spans="1:24" ht="12.75">
      <c r="A265" s="1307" t="s">
        <v>403</v>
      </c>
      <c r="H265" s="1212"/>
      <c r="I265" s="1212"/>
      <c r="J265" s="1212"/>
      <c r="K265" s="1212"/>
      <c r="L265" s="1212"/>
      <c r="O265" s="1213"/>
      <c r="P265" s="1213"/>
      <c r="Q265" s="1213"/>
      <c r="R265" s="1213"/>
      <c r="S265" s="1213"/>
      <c r="T265" s="1213"/>
      <c r="U265" s="1213"/>
      <c r="V265" s="1213"/>
      <c r="W265" s="1213"/>
      <c r="X265" s="1213"/>
    </row>
    <row r="266" spans="1:24" ht="12.75">
      <c r="A266" s="1304" t="s">
        <v>382</v>
      </c>
      <c r="H266" s="1212"/>
      <c r="I266" s="1212"/>
      <c r="J266" s="1212"/>
      <c r="K266" s="1212"/>
      <c r="L266" s="1212"/>
      <c r="O266" s="1213"/>
      <c r="P266" s="1213"/>
      <c r="Q266" s="1213"/>
      <c r="R266" s="1213"/>
      <c r="S266" s="1213"/>
      <c r="T266" s="1213"/>
      <c r="U266" s="1213"/>
      <c r="V266" s="1213"/>
      <c r="W266" s="1213"/>
      <c r="X266" s="1213"/>
    </row>
    <row r="267" spans="8:24" ht="12.75">
      <c r="H267" s="1212"/>
      <c r="I267" s="1212"/>
      <c r="J267" s="1212"/>
      <c r="K267" s="1212"/>
      <c r="L267" s="1212"/>
      <c r="O267" s="1213"/>
      <c r="P267" s="1213"/>
      <c r="Q267" s="1213"/>
      <c r="R267" s="1213"/>
      <c r="S267" s="1213"/>
      <c r="T267" s="1213"/>
      <c r="U267" s="1213"/>
      <c r="V267" s="1213"/>
      <c r="W267" s="1213"/>
      <c r="X267" s="1213"/>
    </row>
    <row r="268" spans="8:24" ht="12.75">
      <c r="H268" s="1212"/>
      <c r="I268" s="1212"/>
      <c r="J268" s="1212"/>
      <c r="K268" s="1212"/>
      <c r="L268" s="1212"/>
      <c r="O268" s="1213"/>
      <c r="P268" s="1213"/>
      <c r="Q268" s="1213"/>
      <c r="R268" s="1213"/>
      <c r="S268" s="1213"/>
      <c r="T268" s="1213"/>
      <c r="U268" s="1213"/>
      <c r="V268" s="1213"/>
      <c r="W268" s="1213"/>
      <c r="X268" s="1213"/>
    </row>
    <row r="269" spans="8:24" ht="12.75">
      <c r="H269" s="1212"/>
      <c r="I269" s="1212"/>
      <c r="J269" s="1212"/>
      <c r="K269" s="1212"/>
      <c r="L269" s="1212"/>
      <c r="O269" s="1213"/>
      <c r="P269" s="1213"/>
      <c r="Q269" s="1213"/>
      <c r="R269" s="1213"/>
      <c r="S269" s="1213"/>
      <c r="T269" s="1213"/>
      <c r="U269" s="1213"/>
      <c r="V269" s="1213"/>
      <c r="W269" s="1213"/>
      <c r="X269" s="1213"/>
    </row>
    <row r="270" spans="4:24" ht="12.75">
      <c r="D270" s="1213" t="s">
        <v>383</v>
      </c>
      <c r="H270" s="1212"/>
      <c r="I270" s="1212"/>
      <c r="J270" s="1212"/>
      <c r="K270" s="1212"/>
      <c r="L270" s="1212"/>
      <c r="O270" s="1213"/>
      <c r="P270" s="1213"/>
      <c r="Q270" s="1213"/>
      <c r="R270" s="1213"/>
      <c r="S270" s="1213"/>
      <c r="T270" s="1213"/>
      <c r="U270" s="1213"/>
      <c r="V270" s="1213"/>
      <c r="W270" s="1213"/>
      <c r="X270" s="1213"/>
    </row>
    <row r="271" spans="8:24" ht="12.75">
      <c r="H271" s="1212"/>
      <c r="I271" s="1212"/>
      <c r="J271" s="1212"/>
      <c r="K271" s="1212"/>
      <c r="L271" s="1212"/>
      <c r="O271" s="1213"/>
      <c r="P271" s="1213"/>
      <c r="Q271" s="1213"/>
      <c r="R271" s="1213"/>
      <c r="S271" s="1213"/>
      <c r="T271" s="1213"/>
      <c r="U271" s="1213"/>
      <c r="V271" s="1213"/>
      <c r="W271" s="1213"/>
      <c r="X271" s="1213"/>
    </row>
    <row r="272" spans="8:24" ht="12.75">
      <c r="H272" s="1212"/>
      <c r="I272" s="1212"/>
      <c r="J272" s="1212"/>
      <c r="K272" s="1212"/>
      <c r="L272" s="1212"/>
      <c r="O272" s="1213"/>
      <c r="P272" s="1213"/>
      <c r="Q272" s="1213"/>
      <c r="R272" s="1213"/>
      <c r="S272" s="1213"/>
      <c r="T272" s="1213"/>
      <c r="U272" s="1213"/>
      <c r="V272" s="1213"/>
      <c r="W272" s="1213"/>
      <c r="X272" s="1213"/>
    </row>
    <row r="273" spans="8:24" ht="12.75">
      <c r="H273" s="1212"/>
      <c r="I273" s="1212"/>
      <c r="J273" s="1212"/>
      <c r="K273" s="1212"/>
      <c r="L273" s="1212"/>
      <c r="O273" s="1213"/>
      <c r="P273" s="1213"/>
      <c r="Q273" s="1213"/>
      <c r="R273" s="1213"/>
      <c r="S273" s="1213"/>
      <c r="T273" s="1213"/>
      <c r="U273" s="1213"/>
      <c r="V273" s="1213"/>
      <c r="W273" s="1213"/>
      <c r="X273" s="1213"/>
    </row>
    <row r="274" spans="8:24" ht="12.75">
      <c r="H274" s="1212"/>
      <c r="I274" s="1212"/>
      <c r="J274" s="1212"/>
      <c r="K274" s="1212"/>
      <c r="L274" s="1212"/>
      <c r="O274" s="1213"/>
      <c r="P274" s="1213"/>
      <c r="Q274" s="1213"/>
      <c r="R274" s="1213"/>
      <c r="S274" s="1213"/>
      <c r="T274" s="1213"/>
      <c r="U274" s="1213"/>
      <c r="V274" s="1213"/>
      <c r="W274" s="1213"/>
      <c r="X274" s="1213"/>
    </row>
    <row r="275" spans="8:24" ht="12.75">
      <c r="H275" s="1212"/>
      <c r="I275" s="1212"/>
      <c r="J275" s="1212"/>
      <c r="K275" s="1212"/>
      <c r="L275" s="1212"/>
      <c r="O275" s="1213"/>
      <c r="P275" s="1213"/>
      <c r="Q275" s="1213"/>
      <c r="R275" s="1213"/>
      <c r="S275" s="1213"/>
      <c r="T275" s="1213"/>
      <c r="U275" s="1213"/>
      <c r="V275" s="1213"/>
      <c r="W275" s="1213"/>
      <c r="X275" s="1213"/>
    </row>
    <row r="276" spans="8:24" ht="12.75">
      <c r="H276" s="1212"/>
      <c r="I276" s="1212"/>
      <c r="J276" s="1212"/>
      <c r="K276" s="1212"/>
      <c r="L276" s="1212"/>
      <c r="O276" s="1213"/>
      <c r="P276" s="1213"/>
      <c r="Q276" s="1213"/>
      <c r="R276" s="1213"/>
      <c r="S276" s="1213"/>
      <c r="T276" s="1213"/>
      <c r="U276" s="1213"/>
      <c r="V276" s="1213"/>
      <c r="W276" s="1213"/>
      <c r="X276" s="1213"/>
    </row>
    <row r="277" spans="8:24" ht="12.75">
      <c r="H277" s="1212"/>
      <c r="I277" s="1212"/>
      <c r="J277" s="1212"/>
      <c r="K277" s="1212"/>
      <c r="L277" s="1212"/>
      <c r="O277" s="1213"/>
      <c r="P277" s="1213"/>
      <c r="Q277" s="1213"/>
      <c r="R277" s="1213"/>
      <c r="S277" s="1213"/>
      <c r="T277" s="1213"/>
      <c r="U277" s="1213"/>
      <c r="V277" s="1213"/>
      <c r="W277" s="1213"/>
      <c r="X277" s="1213"/>
    </row>
    <row r="278" ht="12.75">
      <c r="A278" s="1304"/>
    </row>
  </sheetData>
  <sheetProtection/>
  <mergeCells count="1">
    <mergeCell ref="F1:G1"/>
  </mergeCells>
  <printOptions horizontalCentered="1"/>
  <pageMargins left="0.7874015748031497" right="0.7874015748031497" top="0.7874015748031497" bottom="0.7874015748031497" header="0.7086614173228347" footer="0.31496062992125984"/>
  <pageSetup fitToHeight="0" fitToWidth="1" horizontalDpi="600" verticalDpi="600" orientation="portrait" paperSize="9" scale="66" r:id="rId1"/>
  <headerFooter alignWithMargins="0">
    <oddHeader>&amp;R&amp;"Arial CE,Tučné"&amp;12Tabulka č. 1&amp;"Arial CE,Obyčejné"
List č. &amp;P/&amp;N</oddHeader>
    <oddFooter>&amp;C&amp;12&amp;P+34
</oddFooter>
  </headerFooter>
  <rowBreaks count="5" manualBreakCount="5">
    <brk id="44" max="255" man="1"/>
    <brk id="98" max="255" man="1"/>
    <brk id="141" max="255" man="1"/>
    <brk id="184" max="255" man="1"/>
    <brk id="23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showGridLines="0" tabSelected="1" zoomScalePageLayoutView="0" workbookViewId="0" topLeftCell="A1">
      <selection activeCell="F20" sqref="F20"/>
    </sheetView>
  </sheetViews>
  <sheetFormatPr defaultColWidth="8.00390625" defaultRowHeight="12.75"/>
  <cols>
    <col min="1" max="1" width="19.125" style="120" customWidth="1"/>
    <col min="2" max="2" width="36.375" style="120" customWidth="1"/>
    <col min="3" max="3" width="6.75390625" style="121" customWidth="1"/>
    <col min="4" max="6" width="16.625" style="120" customWidth="1"/>
    <col min="7" max="7" width="8.375" style="120" customWidth="1"/>
    <col min="8" max="16384" width="8.00390625" style="120" customWidth="1"/>
  </cols>
  <sheetData>
    <row r="1" ht="15">
      <c r="A1" s="119"/>
    </row>
    <row r="2" ht="15" customHeight="1">
      <c r="A2" s="138" t="s">
        <v>134</v>
      </c>
    </row>
    <row r="3" spans="1:2" ht="14.25" customHeight="1" thickBot="1">
      <c r="A3" s="1358" t="s">
        <v>404</v>
      </c>
      <c r="B3" s="1358"/>
    </row>
    <row r="4" spans="1:7" s="124" customFormat="1" ht="51.75" thickBot="1">
      <c r="A4" s="122" t="s">
        <v>405</v>
      </c>
      <c r="B4" s="122" t="s">
        <v>406</v>
      </c>
      <c r="C4" s="123"/>
      <c r="D4" s="123" t="s">
        <v>483</v>
      </c>
      <c r="E4" s="123" t="s">
        <v>484</v>
      </c>
      <c r="F4" s="123" t="s">
        <v>485</v>
      </c>
      <c r="G4" s="123" t="s">
        <v>407</v>
      </c>
    </row>
    <row r="5" spans="1:7" s="127" customFormat="1" ht="12" thickBot="1">
      <c r="A5" s="125"/>
      <c r="B5" s="125"/>
      <c r="C5" s="126"/>
      <c r="D5" s="126" t="s">
        <v>408</v>
      </c>
      <c r="E5" s="126" t="s">
        <v>409</v>
      </c>
      <c r="F5" s="126" t="s">
        <v>410</v>
      </c>
      <c r="G5" s="126" t="s">
        <v>411</v>
      </c>
    </row>
    <row r="6" spans="1:7" s="131" customFormat="1" ht="21" customHeight="1" thickBot="1">
      <c r="A6" s="122" t="s">
        <v>412</v>
      </c>
      <c r="B6" s="128" t="s">
        <v>413</v>
      </c>
      <c r="C6" s="129"/>
      <c r="D6" s="130">
        <v>6762545</v>
      </c>
      <c r="E6" s="130">
        <v>7516294.955</v>
      </c>
      <c r="F6" s="130">
        <v>7177216.513719999</v>
      </c>
      <c r="G6" s="130">
        <v>95.48875551970671</v>
      </c>
    </row>
    <row r="7" spans="1:7" s="131" customFormat="1" ht="21" customHeight="1" thickBot="1">
      <c r="A7" s="128"/>
      <c r="B7" s="128" t="s">
        <v>414</v>
      </c>
      <c r="C7" s="129"/>
      <c r="D7" s="130">
        <v>52292118</v>
      </c>
      <c r="E7" s="130">
        <v>55118684.43999999</v>
      </c>
      <c r="F7" s="130">
        <v>54619752.31285</v>
      </c>
      <c r="G7" s="130">
        <v>99.09480399937135</v>
      </c>
    </row>
    <row r="8" spans="1:7" s="136" customFormat="1" ht="24.75" thickBot="1">
      <c r="A8" s="132" t="s">
        <v>415</v>
      </c>
      <c r="B8" s="133" t="s">
        <v>416</v>
      </c>
      <c r="C8" s="134" t="s">
        <v>417</v>
      </c>
      <c r="D8" s="135">
        <v>13000</v>
      </c>
      <c r="E8" s="135">
        <v>13000</v>
      </c>
      <c r="F8" s="135">
        <v>17302.09738</v>
      </c>
      <c r="G8" s="135">
        <v>133.09305676923074</v>
      </c>
    </row>
    <row r="9" spans="1:7" s="136" customFormat="1" ht="24.75" customHeight="1" thickBot="1">
      <c r="A9" s="133"/>
      <c r="B9" s="133" t="s">
        <v>418</v>
      </c>
      <c r="C9" s="134" t="s">
        <v>419</v>
      </c>
      <c r="D9" s="135">
        <v>5608927</v>
      </c>
      <c r="E9" s="135">
        <v>5608927</v>
      </c>
      <c r="F9" s="135">
        <v>5608826.1555</v>
      </c>
      <c r="G9" s="135">
        <v>99.99820207144789</v>
      </c>
    </row>
    <row r="10" spans="1:7" s="142" customFormat="1" ht="17.25" customHeight="1" thickBot="1">
      <c r="A10" s="139"/>
      <c r="B10" s="139" t="s">
        <v>420</v>
      </c>
      <c r="C10" s="140" t="s">
        <v>421</v>
      </c>
      <c r="D10" s="141">
        <v>5008052</v>
      </c>
      <c r="E10" s="141">
        <v>5008052</v>
      </c>
      <c r="F10" s="141">
        <v>5101246.82403</v>
      </c>
      <c r="G10" s="141">
        <v>101.86089968774286</v>
      </c>
    </row>
    <row r="11" spans="1:7" s="142" customFormat="1" ht="24.75" thickBot="1">
      <c r="A11" s="139"/>
      <c r="B11" s="139" t="s">
        <v>488</v>
      </c>
      <c r="C11" s="140" t="s">
        <v>422</v>
      </c>
      <c r="D11" s="141">
        <v>600875</v>
      </c>
      <c r="E11" s="141">
        <v>600875</v>
      </c>
      <c r="F11" s="141">
        <v>507579.33147</v>
      </c>
      <c r="G11" s="141">
        <v>84.47336492115666</v>
      </c>
    </row>
    <row r="12" spans="1:7" s="136" customFormat="1" ht="24.75" thickBot="1">
      <c r="A12" s="133"/>
      <c r="B12" s="133" t="s">
        <v>486</v>
      </c>
      <c r="C12" s="134" t="s">
        <v>423</v>
      </c>
      <c r="D12" s="135">
        <v>1140618</v>
      </c>
      <c r="E12" s="135">
        <v>1894367.955</v>
      </c>
      <c r="F12" s="135">
        <v>1551088.26084</v>
      </c>
      <c r="G12" s="135">
        <v>81.87893258783507</v>
      </c>
    </row>
    <row r="13" spans="1:7" s="142" customFormat="1" ht="24.75" thickBot="1">
      <c r="A13" s="139"/>
      <c r="B13" s="139" t="s">
        <v>487</v>
      </c>
      <c r="C13" s="140" t="s">
        <v>424</v>
      </c>
      <c r="D13" s="141">
        <v>540618</v>
      </c>
      <c r="E13" s="141">
        <v>1294367.955</v>
      </c>
      <c r="F13" s="141">
        <v>655979.33285</v>
      </c>
      <c r="G13" s="141">
        <v>50.679509664622366</v>
      </c>
    </row>
    <row r="14" spans="1:7" s="142" customFormat="1" ht="17.25" customHeight="1" thickBot="1">
      <c r="A14" s="139"/>
      <c r="B14" s="139" t="s">
        <v>425</v>
      </c>
      <c r="C14" s="140" t="s">
        <v>426</v>
      </c>
      <c r="D14" s="143" t="s">
        <v>427</v>
      </c>
      <c r="E14" s="143" t="s">
        <v>427</v>
      </c>
      <c r="F14" s="141">
        <v>341.42656</v>
      </c>
      <c r="G14" s="143" t="s">
        <v>427</v>
      </c>
    </row>
    <row r="15" spans="1:7" s="142" customFormat="1" ht="24.75" thickBot="1">
      <c r="A15" s="139"/>
      <c r="B15" s="139" t="s">
        <v>489</v>
      </c>
      <c r="C15" s="140" t="s">
        <v>428</v>
      </c>
      <c r="D15" s="141">
        <v>600000</v>
      </c>
      <c r="E15" s="141">
        <v>600000</v>
      </c>
      <c r="F15" s="141">
        <v>894767.50143</v>
      </c>
      <c r="G15" s="141">
        <v>149.127916905</v>
      </c>
    </row>
    <row r="16" spans="1:7" s="136" customFormat="1" ht="24.75" thickBot="1">
      <c r="A16" s="132" t="s">
        <v>429</v>
      </c>
      <c r="B16" s="133" t="s">
        <v>430</v>
      </c>
      <c r="C16" s="134" t="s">
        <v>431</v>
      </c>
      <c r="D16" s="135">
        <v>27143550</v>
      </c>
      <c r="E16" s="135">
        <v>27916601.679</v>
      </c>
      <c r="F16" s="135">
        <v>27802802.682759997</v>
      </c>
      <c r="G16" s="135">
        <v>99.59236085556356</v>
      </c>
    </row>
    <row r="17" spans="1:7" s="136" customFormat="1" ht="17.25" customHeight="1" thickBot="1">
      <c r="A17" s="133"/>
      <c r="B17" s="133" t="s">
        <v>432</v>
      </c>
      <c r="C17" s="134" t="s">
        <v>433</v>
      </c>
      <c r="D17" s="135">
        <v>6593111</v>
      </c>
      <c r="E17" s="135">
        <v>7018471.03</v>
      </c>
      <c r="F17" s="135">
        <v>7228031.788319999</v>
      </c>
      <c r="G17" s="135">
        <v>102.98584631074554</v>
      </c>
    </row>
    <row r="18" spans="1:7" s="136" customFormat="1" ht="24.75" customHeight="1" thickBot="1">
      <c r="A18" s="133"/>
      <c r="B18" s="133" t="s">
        <v>434</v>
      </c>
      <c r="C18" s="134" t="s">
        <v>435</v>
      </c>
      <c r="D18" s="135">
        <v>6559414</v>
      </c>
      <c r="E18" s="135">
        <v>7087422.572</v>
      </c>
      <c r="F18" s="135">
        <v>6995198.86236</v>
      </c>
      <c r="G18" s="135">
        <v>98.69876942283159</v>
      </c>
    </row>
    <row r="19" spans="1:7" s="136" customFormat="1" ht="24.75" customHeight="1" thickBot="1">
      <c r="A19" s="133"/>
      <c r="B19" s="133" t="s">
        <v>490</v>
      </c>
      <c r="C19" s="134" t="s">
        <v>436</v>
      </c>
      <c r="D19" s="135">
        <v>1822507</v>
      </c>
      <c r="E19" s="135">
        <v>2004089.333</v>
      </c>
      <c r="F19" s="135">
        <v>1906597.3738</v>
      </c>
      <c r="G19" s="135">
        <v>95.13534862969104</v>
      </c>
    </row>
    <row r="20" spans="1:7" s="136" customFormat="1" ht="24.75" customHeight="1" thickBot="1">
      <c r="A20" s="133"/>
      <c r="B20" s="133" t="s">
        <v>482</v>
      </c>
      <c r="C20" s="134" t="s">
        <v>437</v>
      </c>
      <c r="D20" s="135">
        <v>397935</v>
      </c>
      <c r="E20" s="135">
        <v>1147471.841</v>
      </c>
      <c r="F20" s="135">
        <v>1839993.55974</v>
      </c>
      <c r="G20" s="135">
        <v>160.35195758150195</v>
      </c>
    </row>
    <row r="21" spans="1:7" s="136" customFormat="1" ht="17.25" customHeight="1" thickBot="1">
      <c r="A21" s="133"/>
      <c r="B21" s="133" t="s">
        <v>438</v>
      </c>
      <c r="C21" s="134" t="s">
        <v>439</v>
      </c>
      <c r="D21" s="135">
        <v>48127</v>
      </c>
      <c r="E21" s="135">
        <v>217153.985</v>
      </c>
      <c r="F21" s="135">
        <v>213206.10329</v>
      </c>
      <c r="G21" s="135">
        <v>98.18198974796618</v>
      </c>
    </row>
    <row r="22" spans="1:7" s="136" customFormat="1" ht="17.25" customHeight="1" thickBot="1">
      <c r="A22" s="133"/>
      <c r="B22" s="133" t="s">
        <v>440</v>
      </c>
      <c r="C22" s="134" t="s">
        <v>441</v>
      </c>
      <c r="D22" s="135">
        <v>5024888</v>
      </c>
      <c r="E22" s="135">
        <v>5024888</v>
      </c>
      <c r="F22" s="135">
        <v>4567710.05114</v>
      </c>
      <c r="G22" s="135">
        <v>90.90172857862703</v>
      </c>
    </row>
    <row r="23" spans="1:7" s="136" customFormat="1" ht="17.25" customHeight="1" thickBot="1">
      <c r="A23" s="133"/>
      <c r="B23" s="133" t="s">
        <v>442</v>
      </c>
      <c r="C23" s="134" t="s">
        <v>443</v>
      </c>
      <c r="D23" s="135">
        <v>4702586</v>
      </c>
      <c r="E23" s="135">
        <v>4702586</v>
      </c>
      <c r="F23" s="135">
        <v>4066211.89144</v>
      </c>
      <c r="G23" s="135">
        <v>86.46757106494172</v>
      </c>
    </row>
    <row r="24" spans="1:7" s="136" customFormat="1" ht="24.75" customHeight="1" thickBot="1">
      <c r="A24" s="132" t="s">
        <v>444</v>
      </c>
      <c r="B24" s="133" t="s">
        <v>445</v>
      </c>
      <c r="C24" s="134" t="s">
        <v>446</v>
      </c>
      <c r="D24" s="135">
        <v>22120690</v>
      </c>
      <c r="E24" s="135">
        <v>22470373.74</v>
      </c>
      <c r="F24" s="135">
        <v>22751698.383330002</v>
      </c>
      <c r="G24" s="135">
        <v>101.2519802589185</v>
      </c>
    </row>
    <row r="25" spans="1:7" s="136" customFormat="1" ht="17.25" customHeight="1" thickBot="1">
      <c r="A25" s="133"/>
      <c r="B25" s="133" t="s">
        <v>447</v>
      </c>
      <c r="C25" s="134" t="s">
        <v>448</v>
      </c>
      <c r="D25" s="135">
        <v>7454390</v>
      </c>
      <c r="E25" s="135">
        <v>7514336.8149999995</v>
      </c>
      <c r="F25" s="135">
        <v>7493499.51434</v>
      </c>
      <c r="G25" s="135">
        <v>99.72269940550967</v>
      </c>
    </row>
    <row r="26" spans="1:7" s="136" customFormat="1" ht="17.25" customHeight="1" thickBot="1">
      <c r="A26" s="133"/>
      <c r="B26" s="133" t="s">
        <v>449</v>
      </c>
      <c r="C26" s="134" t="s">
        <v>450</v>
      </c>
      <c r="D26" s="135">
        <v>218298</v>
      </c>
      <c r="E26" s="135">
        <v>220045.13</v>
      </c>
      <c r="F26" s="135">
        <v>223394.71362</v>
      </c>
      <c r="G26" s="135">
        <v>101.52222574523688</v>
      </c>
    </row>
    <row r="27" spans="1:7" s="136" customFormat="1" ht="24" customHeight="1" thickBot="1">
      <c r="A27" s="133"/>
      <c r="B27" s="133" t="s">
        <v>491</v>
      </c>
      <c r="C27" s="134" t="s">
        <v>451</v>
      </c>
      <c r="D27" s="135">
        <v>17906650</v>
      </c>
      <c r="E27" s="135">
        <v>18004216.517</v>
      </c>
      <c r="F27" s="135">
        <v>18225810.56749</v>
      </c>
      <c r="G27" s="135">
        <v>101.23078974461768</v>
      </c>
    </row>
    <row r="28" spans="1:7" s="136" customFormat="1" ht="17.25" customHeight="1" thickBot="1">
      <c r="A28" s="133"/>
      <c r="B28" s="133" t="s">
        <v>452</v>
      </c>
      <c r="C28" s="134" t="s">
        <v>453</v>
      </c>
      <c r="D28" s="135">
        <v>3922975</v>
      </c>
      <c r="E28" s="135">
        <v>4004178.134</v>
      </c>
      <c r="F28" s="135">
        <v>4083108.20848</v>
      </c>
      <c r="G28" s="135">
        <v>101.97119288499665</v>
      </c>
    </row>
    <row r="29" spans="1:7" s="136" customFormat="1" ht="36.75" thickBot="1">
      <c r="A29" s="133"/>
      <c r="B29" s="133" t="s">
        <v>492</v>
      </c>
      <c r="C29" s="134" t="s">
        <v>454</v>
      </c>
      <c r="D29" s="135">
        <v>622233</v>
      </c>
      <c r="E29" s="135">
        <v>610869</v>
      </c>
      <c r="F29" s="135">
        <v>581310.5214600001</v>
      </c>
      <c r="G29" s="135">
        <v>95.16124102876395</v>
      </c>
    </row>
    <row r="30" spans="1:7" s="142" customFormat="1" ht="17.25" customHeight="1" thickBot="1">
      <c r="A30" s="139"/>
      <c r="B30" s="139" t="s">
        <v>455</v>
      </c>
      <c r="C30" s="140" t="s">
        <v>456</v>
      </c>
      <c r="D30" s="141">
        <v>622233</v>
      </c>
      <c r="E30" s="141">
        <v>610869</v>
      </c>
      <c r="F30" s="141">
        <v>581310.5214600001</v>
      </c>
      <c r="G30" s="141">
        <v>95.16124102876395</v>
      </c>
    </row>
    <row r="31" spans="1:7" s="142" customFormat="1" ht="17.25" customHeight="1" thickBot="1">
      <c r="A31" s="139"/>
      <c r="B31" s="139" t="s">
        <v>493</v>
      </c>
      <c r="C31" s="140" t="s">
        <v>457</v>
      </c>
      <c r="D31" s="141">
        <v>57088</v>
      </c>
      <c r="E31" s="141">
        <v>52258</v>
      </c>
      <c r="F31" s="141">
        <v>43379.29718</v>
      </c>
      <c r="G31" s="141">
        <v>83.00986868996135</v>
      </c>
    </row>
    <row r="32" spans="1:7" s="142" customFormat="1" ht="17.25" customHeight="1" thickBot="1">
      <c r="A32" s="139"/>
      <c r="B32" s="139" t="s">
        <v>494</v>
      </c>
      <c r="C32" s="140" t="s">
        <v>458</v>
      </c>
      <c r="D32" s="141">
        <v>565145</v>
      </c>
      <c r="E32" s="141">
        <v>558611</v>
      </c>
      <c r="F32" s="141">
        <v>537931.22428</v>
      </c>
      <c r="G32" s="141">
        <v>96.29800062655407</v>
      </c>
    </row>
    <row r="33" spans="1:7" s="142" customFormat="1" ht="17.25" customHeight="1" thickBot="1">
      <c r="A33" s="139"/>
      <c r="B33" s="139" t="s">
        <v>498</v>
      </c>
      <c r="C33" s="140" t="s">
        <v>459</v>
      </c>
      <c r="D33" s="143" t="s">
        <v>427</v>
      </c>
      <c r="E33" s="143" t="s">
        <v>427</v>
      </c>
      <c r="F33" s="143" t="s">
        <v>427</v>
      </c>
      <c r="G33" s="143" t="s">
        <v>427</v>
      </c>
    </row>
    <row r="34" spans="1:7" s="136" customFormat="1" ht="24" customHeight="1" thickBot="1">
      <c r="A34" s="133"/>
      <c r="B34" s="133" t="s">
        <v>204</v>
      </c>
      <c r="C34" s="134" t="s">
        <v>460</v>
      </c>
      <c r="D34" s="135">
        <v>565145</v>
      </c>
      <c r="E34" s="135">
        <v>557271</v>
      </c>
      <c r="F34" s="135">
        <v>536594.21211</v>
      </c>
      <c r="G34" s="135">
        <v>96.28963504470893</v>
      </c>
    </row>
    <row r="35" spans="1:7" s="136" customFormat="1" ht="24" customHeight="1" thickBot="1">
      <c r="A35" s="133"/>
      <c r="B35" s="133" t="s">
        <v>461</v>
      </c>
      <c r="C35" s="134" t="s">
        <v>462</v>
      </c>
      <c r="D35" s="137" t="s">
        <v>427</v>
      </c>
      <c r="E35" s="137" t="s">
        <v>427</v>
      </c>
      <c r="F35" s="137" t="s">
        <v>427</v>
      </c>
      <c r="G35" s="137" t="s">
        <v>427</v>
      </c>
    </row>
    <row r="36" spans="1:7" s="136" customFormat="1" ht="32.25" customHeight="1" thickBot="1">
      <c r="A36" s="133"/>
      <c r="B36" s="133" t="s">
        <v>495</v>
      </c>
      <c r="C36" s="134" t="s">
        <v>463</v>
      </c>
      <c r="D36" s="135">
        <v>52457</v>
      </c>
      <c r="E36" s="135">
        <v>47627</v>
      </c>
      <c r="F36" s="135">
        <v>42229.754179999996</v>
      </c>
      <c r="G36" s="135">
        <v>88.6676762760619</v>
      </c>
    </row>
    <row r="37" spans="1:7" s="136" customFormat="1" ht="24" customHeight="1" thickBot="1">
      <c r="A37" s="133"/>
      <c r="B37" s="133" t="s">
        <v>464</v>
      </c>
      <c r="C37" s="134" t="s">
        <v>465</v>
      </c>
      <c r="D37" s="137" t="s">
        <v>427</v>
      </c>
      <c r="E37" s="137" t="s">
        <v>427</v>
      </c>
      <c r="F37" s="137" t="s">
        <v>427</v>
      </c>
      <c r="G37" s="137" t="s">
        <v>427</v>
      </c>
    </row>
    <row r="38" spans="1:7" s="136" customFormat="1" ht="17.25" customHeight="1" thickBot="1">
      <c r="A38" s="133"/>
      <c r="B38" s="133" t="s">
        <v>466</v>
      </c>
      <c r="C38" s="134" t="s">
        <v>467</v>
      </c>
      <c r="D38" s="137" t="s">
        <v>427</v>
      </c>
      <c r="E38" s="135">
        <v>5384</v>
      </c>
      <c r="F38" s="135">
        <v>6825.51751</v>
      </c>
      <c r="G38" s="135">
        <v>126.77409936849926</v>
      </c>
    </row>
    <row r="39" spans="1:7" s="136" customFormat="1" ht="24" customHeight="1" thickBot="1">
      <c r="A39" s="133"/>
      <c r="B39" s="133" t="s">
        <v>468</v>
      </c>
      <c r="C39" s="134" t="s">
        <v>469</v>
      </c>
      <c r="D39" s="135">
        <v>56256</v>
      </c>
      <c r="E39" s="135">
        <v>56256</v>
      </c>
      <c r="F39" s="135">
        <v>50007.13567</v>
      </c>
      <c r="G39" s="135">
        <v>88.89209270122299</v>
      </c>
    </row>
    <row r="40" spans="1:7" s="136" customFormat="1" ht="24.75" customHeight="1" thickBot="1">
      <c r="A40" s="133"/>
      <c r="B40" s="133" t="s">
        <v>470</v>
      </c>
      <c r="C40" s="134" t="s">
        <v>471</v>
      </c>
      <c r="D40" s="137" t="s">
        <v>427</v>
      </c>
      <c r="E40" s="135">
        <v>47</v>
      </c>
      <c r="F40" s="135">
        <v>36.233</v>
      </c>
      <c r="G40" s="135">
        <v>77.09148936170213</v>
      </c>
    </row>
    <row r="41" spans="1:7" s="136" customFormat="1" ht="24.75" customHeight="1" thickBot="1">
      <c r="A41" s="133"/>
      <c r="B41" s="133" t="s">
        <v>472</v>
      </c>
      <c r="C41" s="134" t="s">
        <v>473</v>
      </c>
      <c r="D41" s="135">
        <v>1945</v>
      </c>
      <c r="E41" s="135">
        <v>38123.28</v>
      </c>
      <c r="F41" s="135">
        <v>14737.046970000001</v>
      </c>
      <c r="G41" s="135">
        <v>38.65629339867924</v>
      </c>
    </row>
    <row r="42" spans="1:7" s="136" customFormat="1" ht="24.75" customHeight="1" thickBot="1">
      <c r="A42" s="133"/>
      <c r="B42" s="133" t="s">
        <v>206</v>
      </c>
      <c r="C42" s="134" t="s">
        <v>474</v>
      </c>
      <c r="D42" s="135">
        <v>654849</v>
      </c>
      <c r="E42" s="135">
        <v>1404825.772</v>
      </c>
      <c r="F42" s="135">
        <v>1996466.10857</v>
      </c>
      <c r="G42" s="135">
        <v>142.11485497790252</v>
      </c>
    </row>
    <row r="43" spans="1:7" s="142" customFormat="1" ht="17.25" customHeight="1" thickBot="1">
      <c r="A43" s="139"/>
      <c r="B43" s="139" t="s">
        <v>475</v>
      </c>
      <c r="C43" s="140" t="s">
        <v>476</v>
      </c>
      <c r="D43" s="141">
        <v>114231</v>
      </c>
      <c r="E43" s="141">
        <v>116433.817</v>
      </c>
      <c r="F43" s="141">
        <v>250371.00022</v>
      </c>
      <c r="G43" s="141">
        <v>215.03288878694065</v>
      </c>
    </row>
    <row r="44" spans="1:7" s="142" customFormat="1" ht="17.25" customHeight="1" thickBot="1">
      <c r="A44" s="139"/>
      <c r="B44" s="139" t="s">
        <v>496</v>
      </c>
      <c r="C44" s="140" t="s">
        <v>477</v>
      </c>
      <c r="D44" s="141">
        <v>540618</v>
      </c>
      <c r="E44" s="141">
        <v>1288391.955</v>
      </c>
      <c r="F44" s="141">
        <v>1746095.1083499999</v>
      </c>
      <c r="G44" s="141">
        <v>135.5251483505266</v>
      </c>
    </row>
    <row r="45" spans="1:7" s="136" customFormat="1" ht="32.25" customHeight="1" thickBot="1">
      <c r="A45" s="133"/>
      <c r="B45" s="133" t="s">
        <v>499</v>
      </c>
      <c r="C45" s="134" t="s">
        <v>478</v>
      </c>
      <c r="D45" s="137" t="s">
        <v>427</v>
      </c>
      <c r="E45" s="137" t="s">
        <v>427</v>
      </c>
      <c r="F45" s="135">
        <v>39823.23436</v>
      </c>
      <c r="G45" s="137" t="s">
        <v>427</v>
      </c>
    </row>
    <row r="46" spans="1:7" s="142" customFormat="1" ht="17.25" customHeight="1" thickBot="1">
      <c r="A46" s="139"/>
      <c r="B46" s="139" t="s">
        <v>475</v>
      </c>
      <c r="C46" s="140" t="s">
        <v>479</v>
      </c>
      <c r="D46" s="143" t="s">
        <v>427</v>
      </c>
      <c r="E46" s="143" t="s">
        <v>427</v>
      </c>
      <c r="F46" s="141">
        <v>5973.485280000001</v>
      </c>
      <c r="G46" s="143" t="s">
        <v>427</v>
      </c>
    </row>
    <row r="47" spans="1:7" s="142" customFormat="1" ht="17.25" customHeight="1" thickBot="1">
      <c r="A47" s="139"/>
      <c r="B47" s="139" t="s">
        <v>497</v>
      </c>
      <c r="C47" s="140" t="s">
        <v>480</v>
      </c>
      <c r="D47" s="143" t="s">
        <v>427</v>
      </c>
      <c r="E47" s="143" t="s">
        <v>427</v>
      </c>
      <c r="F47" s="141">
        <v>33849.74908</v>
      </c>
      <c r="G47" s="143" t="s">
        <v>427</v>
      </c>
    </row>
    <row r="48" spans="1:7" s="136" customFormat="1" ht="32.25" customHeight="1" thickBot="1">
      <c r="A48" s="133"/>
      <c r="B48" s="133" t="s">
        <v>205</v>
      </c>
      <c r="C48" s="134" t="s">
        <v>481</v>
      </c>
      <c r="D48" s="135">
        <v>2202942</v>
      </c>
      <c r="E48" s="135">
        <v>3165524.371</v>
      </c>
      <c r="F48" s="135">
        <v>3059265.2974099996</v>
      </c>
      <c r="G48" s="135">
        <v>96.64323944040801</v>
      </c>
    </row>
  </sheetData>
  <sheetProtection/>
  <mergeCells count="1">
    <mergeCell ref="A3:B3"/>
  </mergeCells>
  <printOptions horizontalCentered="1" verticalCentered="1"/>
  <pageMargins left="0.984251968503937" right="0.984251968503937" top="0.984251968503937" bottom="0.7874015748031497" header="0.7086614173228347" footer="0.31496062992125984"/>
  <pageSetup fitToHeight="1" fitToWidth="1" horizontalDpi="600" verticalDpi="600" orientation="portrait" paperSize="9" scale="68" r:id="rId1"/>
  <headerFooter alignWithMargins="0">
    <oddHeader>&amp;C&amp;"Arial,Tučné"&amp;14
Plnění závazných ukazatelů státního rozpočtu&amp;R&amp;"Arial,Tučné"&amp;14Tabulka č. 2</oddHeader>
    <oddFooter>&amp;C&amp;12&amp;P+40
</oddFooter>
  </headerFooter>
  <rowBreaks count="1" manualBreakCount="1">
    <brk id="2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BM89"/>
  <sheetViews>
    <sheetView tabSelected="1" zoomScale="75" zoomScaleNormal="75" zoomScaleSheetLayoutView="75" zoomScalePageLayoutView="0" workbookViewId="0" topLeftCell="A1">
      <pane xSplit="1" ySplit="8" topLeftCell="U44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F20" sqref="F20"/>
    </sheetView>
  </sheetViews>
  <sheetFormatPr defaultColWidth="9.00390625" defaultRowHeight="12.75"/>
  <cols>
    <col min="1" max="1" width="41.375" style="37" bestFit="1" customWidth="1"/>
    <col min="2" max="2" width="17.875" style="37" customWidth="1"/>
    <col min="3" max="3" width="16.00390625" style="37" customWidth="1"/>
    <col min="4" max="4" width="19.75390625" style="37" customWidth="1"/>
    <col min="5" max="5" width="11.25390625" style="37" customWidth="1"/>
    <col min="6" max="6" width="12.00390625" style="37" customWidth="1"/>
    <col min="7" max="7" width="18.75390625" style="37" customWidth="1"/>
    <col min="8" max="8" width="16.00390625" style="37" customWidth="1"/>
    <col min="9" max="9" width="19.625" style="37" customWidth="1"/>
    <col min="10" max="10" width="10.00390625" style="37" customWidth="1"/>
    <col min="11" max="11" width="11.125" style="37" bestFit="1" customWidth="1"/>
    <col min="12" max="12" width="14.875" style="37" customWidth="1"/>
    <col min="13" max="13" width="15.75390625" style="37" customWidth="1"/>
    <col min="14" max="14" width="8.75390625" style="37" customWidth="1"/>
    <col min="15" max="15" width="14.875" style="37" customWidth="1"/>
    <col min="16" max="16" width="11.625" style="37" bestFit="1" customWidth="1"/>
    <col min="17" max="17" width="8.75390625" style="37" customWidth="1"/>
    <col min="18" max="18" width="18.625" style="37" customWidth="1"/>
    <col min="19" max="19" width="14.875" style="37" customWidth="1"/>
    <col min="20" max="20" width="19.00390625" style="37" customWidth="1"/>
    <col min="21" max="21" width="9.75390625" style="37" customWidth="1"/>
    <col min="22" max="22" width="9.375" style="37" customWidth="1"/>
    <col min="23" max="23" width="14.875" style="37" customWidth="1"/>
    <col min="24" max="24" width="15.625" style="37" customWidth="1"/>
    <col min="25" max="25" width="8.75390625" style="37" customWidth="1"/>
    <col min="26" max="26" width="14.875" style="37" customWidth="1"/>
    <col min="27" max="27" width="14.125" style="37" customWidth="1"/>
    <col min="28" max="28" width="8.625" style="37" customWidth="1"/>
    <col min="29" max="29" width="13.125" style="37" customWidth="1"/>
    <col min="30" max="30" width="13.625" style="37" customWidth="1"/>
    <col min="31" max="31" width="14.00390625" style="37" customWidth="1"/>
    <col min="32" max="32" width="8.75390625" style="37" customWidth="1"/>
    <col min="33" max="33" width="14.875" style="37" customWidth="1"/>
    <col min="34" max="34" width="10.625" style="37" customWidth="1"/>
    <col min="35" max="35" width="8.625" style="37" customWidth="1"/>
    <col min="36" max="36" width="11.375" style="37" customWidth="1"/>
    <col min="37" max="37" width="9.25390625" style="37" bestFit="1" customWidth="1"/>
    <col min="38" max="38" width="9.125" style="37" customWidth="1"/>
    <col min="39" max="39" width="12.625" style="37" customWidth="1"/>
    <col min="40" max="40" width="14.75390625" style="37" customWidth="1"/>
    <col min="41" max="41" width="18.125" style="37" customWidth="1"/>
    <col min="42" max="16384" width="9.125" style="37" customWidth="1"/>
  </cols>
  <sheetData>
    <row r="1" ht="37.5" customHeight="1" thickBot="1"/>
    <row r="2" spans="1:36" s="1149" customFormat="1" ht="57.75" customHeight="1" thickBot="1" thickTop="1">
      <c r="A2" s="1141"/>
      <c r="B2" s="1142" t="s">
        <v>618</v>
      </c>
      <c r="C2" s="1143"/>
      <c r="D2" s="1143"/>
      <c r="E2" s="1143"/>
      <c r="F2" s="1144"/>
      <c r="G2" s="1142" t="s">
        <v>619</v>
      </c>
      <c r="H2" s="1143"/>
      <c r="I2" s="1143"/>
      <c r="J2" s="1143"/>
      <c r="K2" s="1144"/>
      <c r="L2" s="1360" t="s">
        <v>620</v>
      </c>
      <c r="M2" s="1361"/>
      <c r="N2" s="1362"/>
      <c r="O2" s="1360" t="s">
        <v>621</v>
      </c>
      <c r="P2" s="1361"/>
      <c r="Q2" s="1362"/>
      <c r="R2" s="1142" t="s">
        <v>603</v>
      </c>
      <c r="S2" s="1143"/>
      <c r="T2" s="1143"/>
      <c r="U2" s="1143"/>
      <c r="V2" s="1144"/>
      <c r="W2" s="1360" t="s">
        <v>622</v>
      </c>
      <c r="X2" s="1361"/>
      <c r="Y2" s="1362"/>
      <c r="Z2" s="1360" t="s">
        <v>623</v>
      </c>
      <c r="AA2" s="1361"/>
      <c r="AB2" s="1362"/>
      <c r="AC2" s="1145" t="s">
        <v>624</v>
      </c>
      <c r="AD2" s="1146" t="s">
        <v>625</v>
      </c>
      <c r="AE2" s="1147"/>
      <c r="AF2" s="1147"/>
      <c r="AG2" s="1360" t="s">
        <v>626</v>
      </c>
      <c r="AH2" s="1361"/>
      <c r="AI2" s="1362"/>
      <c r="AJ2" s="1148"/>
    </row>
    <row r="3" spans="1:36" s="566" customFormat="1" ht="15">
      <c r="A3" s="564"/>
      <c r="B3" s="1150" t="s">
        <v>627</v>
      </c>
      <c r="C3" s="1151" t="s">
        <v>628</v>
      </c>
      <c r="D3" s="1152"/>
      <c r="E3" s="1153"/>
      <c r="F3" s="1154"/>
      <c r="G3" s="1150" t="s">
        <v>627</v>
      </c>
      <c r="H3" s="1151" t="s">
        <v>628</v>
      </c>
      <c r="I3" s="1152"/>
      <c r="J3" s="1153"/>
      <c r="K3" s="1155"/>
      <c r="L3" s="1156"/>
      <c r="M3" s="1157"/>
      <c r="N3" s="1158"/>
      <c r="O3" s="1156"/>
      <c r="P3" s="1157"/>
      <c r="Q3" s="1158"/>
      <c r="R3" s="1150" t="s">
        <v>627</v>
      </c>
      <c r="S3" s="1151" t="s">
        <v>628</v>
      </c>
      <c r="T3" s="1152"/>
      <c r="U3" s="1153"/>
      <c r="V3" s="1154"/>
      <c r="W3" s="1156"/>
      <c r="X3" s="1157"/>
      <c r="Y3" s="1158"/>
      <c r="Z3" s="1156"/>
      <c r="AA3" s="1157"/>
      <c r="AB3" s="1158"/>
      <c r="AC3" s="1170" t="s">
        <v>629</v>
      </c>
      <c r="AD3" s="1157"/>
      <c r="AE3" s="1157"/>
      <c r="AF3" s="1159"/>
      <c r="AG3" s="1156"/>
      <c r="AH3" s="1157"/>
      <c r="AI3" s="1158"/>
      <c r="AJ3" s="565" t="s">
        <v>630</v>
      </c>
    </row>
    <row r="4" spans="1:36" s="566" customFormat="1" ht="15">
      <c r="A4" s="564"/>
      <c r="B4" s="1150" t="s">
        <v>631</v>
      </c>
      <c r="C4" s="1160" t="s">
        <v>632</v>
      </c>
      <c r="D4" s="1160" t="s">
        <v>627</v>
      </c>
      <c r="E4" s="1160" t="s">
        <v>633</v>
      </c>
      <c r="F4" s="1154" t="s">
        <v>634</v>
      </c>
      <c r="G4" s="1150" t="s">
        <v>631</v>
      </c>
      <c r="H4" s="1160" t="s">
        <v>632</v>
      </c>
      <c r="I4" s="1160" t="s">
        <v>627</v>
      </c>
      <c r="J4" s="1160" t="s">
        <v>633</v>
      </c>
      <c r="K4" s="1154" t="s">
        <v>634</v>
      </c>
      <c r="L4" s="1150" t="s">
        <v>632</v>
      </c>
      <c r="M4" s="1161" t="s">
        <v>627</v>
      </c>
      <c r="N4" s="1162" t="s">
        <v>633</v>
      </c>
      <c r="O4" s="1150" t="s">
        <v>632</v>
      </c>
      <c r="P4" s="1161" t="s">
        <v>627</v>
      </c>
      <c r="Q4" s="1162" t="s">
        <v>633</v>
      </c>
      <c r="R4" s="1150" t="s">
        <v>631</v>
      </c>
      <c r="S4" s="1160" t="s">
        <v>632</v>
      </c>
      <c r="T4" s="1160" t="s">
        <v>627</v>
      </c>
      <c r="U4" s="1160" t="s">
        <v>634</v>
      </c>
      <c r="V4" s="1154" t="s">
        <v>634</v>
      </c>
      <c r="W4" s="1150" t="s">
        <v>632</v>
      </c>
      <c r="X4" s="1161" t="s">
        <v>627</v>
      </c>
      <c r="Y4" s="1154" t="s">
        <v>634</v>
      </c>
      <c r="Z4" s="1150" t="s">
        <v>632</v>
      </c>
      <c r="AA4" s="1161" t="s">
        <v>627</v>
      </c>
      <c r="AB4" s="1154" t="s">
        <v>634</v>
      </c>
      <c r="AC4" s="1170" t="s">
        <v>635</v>
      </c>
      <c r="AD4" s="1161" t="s">
        <v>632</v>
      </c>
      <c r="AE4" s="1161" t="s">
        <v>627</v>
      </c>
      <c r="AF4" s="1163" t="s">
        <v>634</v>
      </c>
      <c r="AG4" s="1150" t="s">
        <v>632</v>
      </c>
      <c r="AH4" s="1161" t="s">
        <v>627</v>
      </c>
      <c r="AI4" s="1162" t="s">
        <v>634</v>
      </c>
      <c r="AJ4" s="565" t="s">
        <v>636</v>
      </c>
    </row>
    <row r="5" spans="1:36" s="566" customFormat="1" ht="15">
      <c r="A5" s="564"/>
      <c r="B5" s="1150" t="s">
        <v>637</v>
      </c>
      <c r="C5" s="1160" t="s">
        <v>638</v>
      </c>
      <c r="D5" s="1160" t="s">
        <v>639</v>
      </c>
      <c r="E5" s="1160" t="s">
        <v>640</v>
      </c>
      <c r="F5" s="1154" t="s">
        <v>641</v>
      </c>
      <c r="G5" s="1150" t="s">
        <v>637</v>
      </c>
      <c r="H5" s="1160" t="s">
        <v>638</v>
      </c>
      <c r="I5" s="1160" t="s">
        <v>639</v>
      </c>
      <c r="J5" s="1160" t="s">
        <v>642</v>
      </c>
      <c r="K5" s="1154" t="s">
        <v>641</v>
      </c>
      <c r="L5" s="1150" t="s">
        <v>638</v>
      </c>
      <c r="M5" s="1161" t="s">
        <v>639</v>
      </c>
      <c r="N5" s="1162" t="s">
        <v>642</v>
      </c>
      <c r="O5" s="1150" t="s">
        <v>638</v>
      </c>
      <c r="P5" s="1161" t="s">
        <v>639</v>
      </c>
      <c r="Q5" s="1162" t="s">
        <v>642</v>
      </c>
      <c r="R5" s="1150" t="s">
        <v>637</v>
      </c>
      <c r="S5" s="1160" t="s">
        <v>638</v>
      </c>
      <c r="T5" s="1160" t="s">
        <v>639</v>
      </c>
      <c r="U5" s="1160" t="s">
        <v>643</v>
      </c>
      <c r="V5" s="1154" t="s">
        <v>641</v>
      </c>
      <c r="W5" s="1150" t="s">
        <v>638</v>
      </c>
      <c r="X5" s="1161" t="s">
        <v>639</v>
      </c>
      <c r="Y5" s="1154" t="s">
        <v>643</v>
      </c>
      <c r="Z5" s="1150" t="s">
        <v>638</v>
      </c>
      <c r="AA5" s="1161" t="s">
        <v>639</v>
      </c>
      <c r="AB5" s="1154" t="s">
        <v>643</v>
      </c>
      <c r="AC5" s="1170" t="s">
        <v>644</v>
      </c>
      <c r="AD5" s="1161" t="s">
        <v>638</v>
      </c>
      <c r="AE5" s="1161" t="s">
        <v>639</v>
      </c>
      <c r="AF5" s="1163" t="s">
        <v>643</v>
      </c>
      <c r="AG5" s="1150" t="s">
        <v>638</v>
      </c>
      <c r="AH5" s="1161" t="s">
        <v>639</v>
      </c>
      <c r="AI5" s="1162" t="s">
        <v>643</v>
      </c>
      <c r="AJ5" s="565" t="s">
        <v>645</v>
      </c>
    </row>
    <row r="6" spans="1:36" s="566" customFormat="1" ht="15">
      <c r="A6" s="564"/>
      <c r="B6" s="1150" t="s">
        <v>646</v>
      </c>
      <c r="C6" s="1160" t="s">
        <v>647</v>
      </c>
      <c r="D6" s="1160"/>
      <c r="E6" s="1160" t="s">
        <v>648</v>
      </c>
      <c r="F6" s="1154"/>
      <c r="G6" s="1150" t="s">
        <v>646</v>
      </c>
      <c r="H6" s="1160" t="s">
        <v>647</v>
      </c>
      <c r="I6" s="1160"/>
      <c r="J6" s="1160" t="s">
        <v>649</v>
      </c>
      <c r="K6" s="1154"/>
      <c r="L6" s="1150" t="s">
        <v>647</v>
      </c>
      <c r="M6" s="1161"/>
      <c r="N6" s="1162" t="s">
        <v>649</v>
      </c>
      <c r="O6" s="1150" t="s">
        <v>647</v>
      </c>
      <c r="P6" s="1161"/>
      <c r="Q6" s="1162" t="s">
        <v>649</v>
      </c>
      <c r="R6" s="1150" t="s">
        <v>646</v>
      </c>
      <c r="S6" s="1160" t="s">
        <v>647</v>
      </c>
      <c r="T6" s="1160"/>
      <c r="U6" s="1160" t="s">
        <v>650</v>
      </c>
      <c r="V6" s="1154"/>
      <c r="W6" s="1150" t="s">
        <v>647</v>
      </c>
      <c r="X6" s="1161"/>
      <c r="Y6" s="1154" t="s">
        <v>650</v>
      </c>
      <c r="Z6" s="1150" t="s">
        <v>647</v>
      </c>
      <c r="AA6" s="1161"/>
      <c r="AB6" s="1154" t="s">
        <v>650</v>
      </c>
      <c r="AC6" s="1170" t="s">
        <v>651</v>
      </c>
      <c r="AD6" s="1161" t="s">
        <v>647</v>
      </c>
      <c r="AE6" s="1161"/>
      <c r="AF6" s="1163" t="s">
        <v>650</v>
      </c>
      <c r="AG6" s="1150" t="s">
        <v>647</v>
      </c>
      <c r="AH6" s="1161"/>
      <c r="AI6" s="1162" t="s">
        <v>650</v>
      </c>
      <c r="AJ6" s="565" t="s">
        <v>652</v>
      </c>
    </row>
    <row r="7" spans="1:41" s="566" customFormat="1" ht="15.75" thickBot="1">
      <c r="A7" s="567"/>
      <c r="B7" s="1164" t="s">
        <v>653</v>
      </c>
      <c r="C7" s="1165" t="s">
        <v>654</v>
      </c>
      <c r="D7" s="1165" t="s">
        <v>654</v>
      </c>
      <c r="E7" s="1165"/>
      <c r="F7" s="1166" t="s">
        <v>654</v>
      </c>
      <c r="G7" s="1164" t="s">
        <v>653</v>
      </c>
      <c r="H7" s="1165" t="s">
        <v>654</v>
      </c>
      <c r="I7" s="1165" t="s">
        <v>654</v>
      </c>
      <c r="J7" s="1165" t="s">
        <v>655</v>
      </c>
      <c r="K7" s="1166" t="s">
        <v>654</v>
      </c>
      <c r="L7" s="1164" t="s">
        <v>654</v>
      </c>
      <c r="M7" s="1167" t="s">
        <v>654</v>
      </c>
      <c r="N7" s="1168" t="s">
        <v>655</v>
      </c>
      <c r="O7" s="1164" t="s">
        <v>654</v>
      </c>
      <c r="P7" s="1167" t="s">
        <v>654</v>
      </c>
      <c r="Q7" s="1168" t="s">
        <v>655</v>
      </c>
      <c r="R7" s="1164" t="s">
        <v>653</v>
      </c>
      <c r="S7" s="1165" t="s">
        <v>654</v>
      </c>
      <c r="T7" s="1165" t="s">
        <v>654</v>
      </c>
      <c r="U7" s="1165" t="s">
        <v>656</v>
      </c>
      <c r="V7" s="1166" t="s">
        <v>654</v>
      </c>
      <c r="W7" s="1164" t="s">
        <v>654</v>
      </c>
      <c r="X7" s="1167" t="s">
        <v>654</v>
      </c>
      <c r="Y7" s="1166" t="s">
        <v>656</v>
      </c>
      <c r="Z7" s="1164" t="s">
        <v>654</v>
      </c>
      <c r="AA7" s="1167" t="s">
        <v>654</v>
      </c>
      <c r="AB7" s="1166" t="s">
        <v>656</v>
      </c>
      <c r="AC7" s="1171" t="s">
        <v>654</v>
      </c>
      <c r="AD7" s="1167" t="s">
        <v>654</v>
      </c>
      <c r="AE7" s="1167" t="s">
        <v>654</v>
      </c>
      <c r="AF7" s="1169" t="s">
        <v>656</v>
      </c>
      <c r="AG7" s="1164" t="s">
        <v>654</v>
      </c>
      <c r="AH7" s="1167" t="s">
        <v>654</v>
      </c>
      <c r="AI7" s="1168" t="s">
        <v>656</v>
      </c>
      <c r="AJ7" s="568">
        <v>2013</v>
      </c>
      <c r="AM7" s="569"/>
      <c r="AN7" s="569"/>
      <c r="AO7" s="569"/>
    </row>
    <row r="8" spans="1:41" ht="20.25" customHeight="1" thickBot="1">
      <c r="A8" s="570" t="s">
        <v>644</v>
      </c>
      <c r="B8" s="571">
        <v>1</v>
      </c>
      <c r="C8" s="572">
        <v>2</v>
      </c>
      <c r="D8" s="572">
        <v>3</v>
      </c>
      <c r="E8" s="572">
        <v>4</v>
      </c>
      <c r="F8" s="572">
        <v>5</v>
      </c>
      <c r="G8" s="571">
        <v>6</v>
      </c>
      <c r="H8" s="572">
        <v>7</v>
      </c>
      <c r="I8" s="572">
        <v>8</v>
      </c>
      <c r="J8" s="572">
        <v>9</v>
      </c>
      <c r="K8" s="573">
        <v>10</v>
      </c>
      <c r="L8" s="571">
        <v>11</v>
      </c>
      <c r="M8" s="572">
        <v>12</v>
      </c>
      <c r="N8" s="573">
        <v>13</v>
      </c>
      <c r="O8" s="571">
        <v>14</v>
      </c>
      <c r="P8" s="572">
        <v>15</v>
      </c>
      <c r="Q8" s="573">
        <v>16</v>
      </c>
      <c r="R8" s="571">
        <v>17</v>
      </c>
      <c r="S8" s="572">
        <v>18</v>
      </c>
      <c r="T8" s="572">
        <v>19</v>
      </c>
      <c r="U8" s="572">
        <v>20</v>
      </c>
      <c r="V8" s="573">
        <v>21</v>
      </c>
      <c r="W8" s="571">
        <v>22</v>
      </c>
      <c r="X8" s="572">
        <v>23</v>
      </c>
      <c r="Y8" s="573">
        <v>24</v>
      </c>
      <c r="Z8" s="571">
        <v>25</v>
      </c>
      <c r="AA8" s="572">
        <v>26</v>
      </c>
      <c r="AB8" s="573">
        <v>27</v>
      </c>
      <c r="AC8" s="574">
        <v>28</v>
      </c>
      <c r="AD8" s="571">
        <v>29</v>
      </c>
      <c r="AE8" s="575">
        <v>30</v>
      </c>
      <c r="AF8" s="576">
        <v>31</v>
      </c>
      <c r="AG8" s="571">
        <v>32</v>
      </c>
      <c r="AH8" s="575">
        <v>33</v>
      </c>
      <c r="AI8" s="577">
        <v>34</v>
      </c>
      <c r="AJ8" s="578">
        <v>35</v>
      </c>
      <c r="AM8" s="579"/>
      <c r="AN8" s="579"/>
      <c r="AO8" s="579"/>
    </row>
    <row r="9" spans="1:41" s="592" customFormat="1" ht="18.75" customHeight="1">
      <c r="A9" s="580" t="s">
        <v>657</v>
      </c>
      <c r="B9" s="581"/>
      <c r="C9" s="582"/>
      <c r="D9" s="582"/>
      <c r="E9" s="583"/>
      <c r="F9" s="584"/>
      <c r="G9" s="581"/>
      <c r="H9" s="582"/>
      <c r="I9" s="582"/>
      <c r="J9" s="583"/>
      <c r="K9" s="584"/>
      <c r="L9" s="581"/>
      <c r="M9" s="582"/>
      <c r="N9" s="584"/>
      <c r="O9" s="582"/>
      <c r="P9" s="582"/>
      <c r="Q9" s="584"/>
      <c r="R9" s="581"/>
      <c r="S9" s="582"/>
      <c r="T9" s="582"/>
      <c r="U9" s="583"/>
      <c r="V9" s="584"/>
      <c r="W9" s="581"/>
      <c r="X9" s="582"/>
      <c r="Y9" s="584"/>
      <c r="Z9" s="582"/>
      <c r="AA9" s="585"/>
      <c r="AB9" s="586"/>
      <c r="AC9" s="587"/>
      <c r="AD9" s="582"/>
      <c r="AE9" s="582"/>
      <c r="AF9" s="584"/>
      <c r="AG9" s="588"/>
      <c r="AH9" s="589"/>
      <c r="AI9" s="590"/>
      <c r="AJ9" s="591"/>
      <c r="AM9" s="593"/>
      <c r="AN9" s="593"/>
      <c r="AO9" s="594"/>
    </row>
    <row r="10" spans="1:41" s="592" customFormat="1" ht="18.75" customHeight="1">
      <c r="A10" s="595" t="s">
        <v>658</v>
      </c>
      <c r="B10" s="596">
        <f>IF(C10+D10=B15+B46,B46+B15,"chyba")</f>
        <v>22120690000</v>
      </c>
      <c r="C10" s="597">
        <f>C15+C46</f>
        <v>291065000</v>
      </c>
      <c r="D10" s="597">
        <f>D15+D46</f>
        <v>21829625000</v>
      </c>
      <c r="E10" s="597">
        <f>E15+E46</f>
        <v>64542</v>
      </c>
      <c r="F10" s="598">
        <f>IF(E10=0,0,ROUND(D10/E10/12,0))</f>
        <v>28185</v>
      </c>
      <c r="G10" s="596">
        <f>IF(H10+I10=G15+G46,G46+G15,"chyba")</f>
        <v>22470373740</v>
      </c>
      <c r="H10" s="597">
        <f>H15+H46</f>
        <v>461979089</v>
      </c>
      <c r="I10" s="597">
        <f>I15+I46</f>
        <v>22008394651</v>
      </c>
      <c r="J10" s="597">
        <f>J15+J46</f>
        <v>64763</v>
      </c>
      <c r="K10" s="598">
        <f>IF(J10=0,0,ROUND(I10/J10/12,0))</f>
        <v>28319</v>
      </c>
      <c r="L10" s="596">
        <f aca="true" t="shared" si="0" ref="L10:Q10">L15+L46</f>
        <v>37839652</v>
      </c>
      <c r="M10" s="599">
        <f t="shared" si="0"/>
        <v>336238564</v>
      </c>
      <c r="N10" s="600">
        <f t="shared" si="0"/>
        <v>51</v>
      </c>
      <c r="O10" s="597">
        <f t="shared" si="0"/>
        <v>0</v>
      </c>
      <c r="P10" s="599">
        <f t="shared" si="0"/>
        <v>0</v>
      </c>
      <c r="Q10" s="600">
        <f t="shared" si="0"/>
        <v>0</v>
      </c>
      <c r="R10" s="596">
        <f>IF(S10+T10=R15+R46,R46+R15,"chyba")</f>
        <v>22751698383</v>
      </c>
      <c r="S10" s="597">
        <f>S15+S46</f>
        <v>442779607</v>
      </c>
      <c r="T10" s="597">
        <f>T15+T46</f>
        <v>22308918776</v>
      </c>
      <c r="U10" s="597">
        <f>U15+U46</f>
        <v>62427</v>
      </c>
      <c r="V10" s="598">
        <f>IF(U10=0,0,ROUND(T10/U10/12,0))</f>
        <v>29780</v>
      </c>
      <c r="W10" s="596">
        <f aca="true" t="shared" si="1" ref="W10:AJ10">W15+W46</f>
        <v>16957560</v>
      </c>
      <c r="X10" s="599">
        <f t="shared" si="1"/>
        <v>307187929</v>
      </c>
      <c r="Y10" s="600">
        <f t="shared" si="1"/>
        <v>51</v>
      </c>
      <c r="Z10" s="597">
        <f t="shared" si="1"/>
        <v>0</v>
      </c>
      <c r="AA10" s="599">
        <f t="shared" si="1"/>
        <v>0</v>
      </c>
      <c r="AB10" s="600">
        <f t="shared" si="1"/>
        <v>0</v>
      </c>
      <c r="AC10" s="601">
        <f t="shared" si="1"/>
        <v>0</v>
      </c>
      <c r="AD10" s="597">
        <f t="shared" si="1"/>
        <v>2443294</v>
      </c>
      <c r="AE10" s="599">
        <f t="shared" si="1"/>
        <v>15906855</v>
      </c>
      <c r="AF10" s="600">
        <f t="shared" si="1"/>
        <v>0</v>
      </c>
      <c r="AG10" s="596">
        <f t="shared" si="1"/>
        <v>0</v>
      </c>
      <c r="AH10" s="599">
        <f t="shared" si="1"/>
        <v>0</v>
      </c>
      <c r="AI10" s="600">
        <f t="shared" si="1"/>
        <v>0</v>
      </c>
      <c r="AJ10" s="602">
        <f t="shared" si="1"/>
        <v>0</v>
      </c>
      <c r="AM10" s="593"/>
      <c r="AN10" s="593"/>
      <c r="AO10" s="594"/>
    </row>
    <row r="11" spans="1:41" s="592" customFormat="1" ht="18.75" customHeight="1">
      <c r="A11" s="603" t="s">
        <v>659</v>
      </c>
      <c r="B11" s="604"/>
      <c r="C11" s="605"/>
      <c r="D11" s="605"/>
      <c r="E11" s="605"/>
      <c r="F11" s="606"/>
      <c r="G11" s="604"/>
      <c r="H11" s="605"/>
      <c r="I11" s="605"/>
      <c r="J11" s="605"/>
      <c r="K11" s="598"/>
      <c r="L11" s="604"/>
      <c r="M11" s="607"/>
      <c r="N11" s="608"/>
      <c r="O11" s="605"/>
      <c r="P11" s="607"/>
      <c r="Q11" s="608"/>
      <c r="R11" s="604"/>
      <c r="S11" s="605"/>
      <c r="T11" s="605"/>
      <c r="U11" s="605"/>
      <c r="V11" s="598"/>
      <c r="W11" s="604"/>
      <c r="X11" s="607"/>
      <c r="Y11" s="608"/>
      <c r="Z11" s="605"/>
      <c r="AA11" s="607"/>
      <c r="AB11" s="608"/>
      <c r="AC11" s="609"/>
      <c r="AD11" s="605"/>
      <c r="AE11" s="607"/>
      <c r="AF11" s="608"/>
      <c r="AG11" s="604"/>
      <c r="AH11" s="607"/>
      <c r="AI11" s="608"/>
      <c r="AJ11" s="610"/>
      <c r="AM11" s="593"/>
      <c r="AN11" s="593"/>
      <c r="AO11" s="594"/>
    </row>
    <row r="12" spans="1:41" s="553" customFormat="1" ht="18.75" customHeight="1">
      <c r="A12" s="611" t="s">
        <v>660</v>
      </c>
      <c r="B12" s="612">
        <f>C12+D12</f>
        <v>0</v>
      </c>
      <c r="C12" s="625"/>
      <c r="D12" s="625"/>
      <c r="E12" s="1126"/>
      <c r="F12" s="613">
        <f>IF(E12=0,0,ROUND(D12/E12/12,0))</f>
        <v>0</v>
      </c>
      <c r="G12" s="614">
        <f>H12+I12</f>
        <v>9259000</v>
      </c>
      <c r="H12" s="703">
        <v>6624000</v>
      </c>
      <c r="I12" s="703">
        <v>2635000</v>
      </c>
      <c r="J12" s="703"/>
      <c r="K12" s="598">
        <f>IF(J12=0,0,ROUND(I12/J12/12,0))</f>
        <v>0</v>
      </c>
      <c r="L12" s="614">
        <v>1247775</v>
      </c>
      <c r="M12" s="703">
        <v>760380</v>
      </c>
      <c r="N12" s="695"/>
      <c r="O12" s="703"/>
      <c r="P12" s="703"/>
      <c r="Q12" s="703"/>
      <c r="R12" s="614">
        <f>S12+T12</f>
        <v>8842149</v>
      </c>
      <c r="S12" s="703">
        <v>6222904</v>
      </c>
      <c r="T12" s="703">
        <v>2619245</v>
      </c>
      <c r="U12" s="703"/>
      <c r="V12" s="598">
        <f>IF(U12=0,0,ROUND(T12/U12/12,0))</f>
        <v>0</v>
      </c>
      <c r="W12" s="614">
        <v>1054035</v>
      </c>
      <c r="X12" s="703">
        <v>760300</v>
      </c>
      <c r="Y12" s="695"/>
      <c r="Z12" s="703"/>
      <c r="AA12" s="703"/>
      <c r="AB12" s="703"/>
      <c r="AC12" s="1127"/>
      <c r="AD12" s="703">
        <f>'[4]tab. 3 mzdy'!AD13</f>
        <v>0</v>
      </c>
      <c r="AE12" s="703">
        <f>'[4]tab. 3 mzdy'!AE13</f>
        <v>0</v>
      </c>
      <c r="AF12" s="703">
        <f>'[4]tab. 3 mzdy'!AF13</f>
        <v>0</v>
      </c>
      <c r="AG12" s="614"/>
      <c r="AH12" s="1128"/>
      <c r="AI12" s="1129"/>
      <c r="AJ12" s="615"/>
      <c r="AM12" s="616"/>
      <c r="AN12" s="616"/>
      <c r="AO12" s="617"/>
    </row>
    <row r="13" spans="1:41" s="592" customFormat="1" ht="18.75" customHeight="1" thickBot="1">
      <c r="A13" s="618" t="s">
        <v>661</v>
      </c>
      <c r="B13" s="619"/>
      <c r="C13" s="620"/>
      <c r="D13" s="620">
        <f>D18+D48</f>
        <v>17906650000</v>
      </c>
      <c r="E13" s="620">
        <f>E18+E48</f>
        <v>48598</v>
      </c>
      <c r="F13" s="621">
        <f>IF(E13=0,0,ROUND(D13/E13/12,0))</f>
        <v>30705</v>
      </c>
      <c r="G13" s="619"/>
      <c r="H13" s="620"/>
      <c r="I13" s="620">
        <f>I18+I48</f>
        <v>18004216517</v>
      </c>
      <c r="J13" s="620">
        <f>J18+J48</f>
        <v>48598</v>
      </c>
      <c r="K13" s="622">
        <f>IF(J13=0,0,ROUND(I13/J13/12,0))</f>
        <v>30873</v>
      </c>
      <c r="L13" s="612"/>
      <c r="M13" s="623">
        <f>M18+M48</f>
        <v>233653523</v>
      </c>
      <c r="N13" s="624">
        <f>N18+N48</f>
        <v>1</v>
      </c>
      <c r="O13" s="625"/>
      <c r="P13" s="623">
        <f>P18+P48</f>
        <v>0</v>
      </c>
      <c r="Q13" s="624">
        <f>Q18+Q48</f>
        <v>0</v>
      </c>
      <c r="R13" s="612"/>
      <c r="S13" s="625"/>
      <c r="T13" s="623">
        <f>T18+T48</f>
        <v>18225810568</v>
      </c>
      <c r="U13" s="624">
        <f>U18+U48</f>
        <v>47468</v>
      </c>
      <c r="V13" s="626">
        <f>IF(U13=0,0,ROUND(T13/U13/12,0))</f>
        <v>31997</v>
      </c>
      <c r="W13" s="612"/>
      <c r="X13" s="623">
        <f>X18+X48</f>
        <v>219855134</v>
      </c>
      <c r="Y13" s="624">
        <f>Y18+Y48</f>
        <v>1</v>
      </c>
      <c r="Z13" s="620"/>
      <c r="AA13" s="627">
        <f>AA18+AA48</f>
        <v>0</v>
      </c>
      <c r="AB13" s="628">
        <f>AB18+AB48</f>
        <v>0</v>
      </c>
      <c r="AC13" s="629"/>
      <c r="AD13" s="620"/>
      <c r="AE13" s="627">
        <f>AE18+AE48</f>
        <v>13613445</v>
      </c>
      <c r="AF13" s="628">
        <f>AF18+AF48</f>
        <v>0</v>
      </c>
      <c r="AG13" s="619"/>
      <c r="AH13" s="627">
        <f>AH18+AH48</f>
        <v>0</v>
      </c>
      <c r="AI13" s="628">
        <f>AI18+AI48</f>
        <v>0</v>
      </c>
      <c r="AJ13" s="630"/>
      <c r="AM13" s="616"/>
      <c r="AN13" s="616"/>
      <c r="AO13" s="617"/>
    </row>
    <row r="14" spans="1:41" s="592" customFormat="1" ht="18.75" customHeight="1">
      <c r="A14" s="631" t="s">
        <v>662</v>
      </c>
      <c r="B14" s="632"/>
      <c r="C14" s="583"/>
      <c r="D14" s="583"/>
      <c r="E14" s="583"/>
      <c r="F14" s="584"/>
      <c r="G14" s="632"/>
      <c r="H14" s="583"/>
      <c r="I14" s="583"/>
      <c r="J14" s="583"/>
      <c r="K14" s="584"/>
      <c r="L14" s="632"/>
      <c r="M14" s="585"/>
      <c r="N14" s="590"/>
      <c r="O14" s="632"/>
      <c r="P14" s="585"/>
      <c r="Q14" s="590"/>
      <c r="R14" s="633"/>
      <c r="S14" s="634"/>
      <c r="T14" s="634"/>
      <c r="U14" s="634"/>
      <c r="V14" s="584"/>
      <c r="W14" s="632"/>
      <c r="X14" s="585"/>
      <c r="Y14" s="590"/>
      <c r="Z14" s="632"/>
      <c r="AA14" s="585"/>
      <c r="AB14" s="590"/>
      <c r="AC14" s="635"/>
      <c r="AD14" s="583"/>
      <c r="AE14" s="585"/>
      <c r="AF14" s="590"/>
      <c r="AG14" s="632"/>
      <c r="AH14" s="585"/>
      <c r="AI14" s="590"/>
      <c r="AJ14" s="636"/>
      <c r="AM14" s="593"/>
      <c r="AN14" s="593"/>
      <c r="AO14" s="594"/>
    </row>
    <row r="15" spans="1:41" s="592" customFormat="1" ht="18.75" customHeight="1">
      <c r="A15" s="637" t="s">
        <v>663</v>
      </c>
      <c r="B15" s="596">
        <f>C15+D15</f>
        <v>21477143000</v>
      </c>
      <c r="C15" s="597">
        <f>C20+C31+C42</f>
        <v>271405000</v>
      </c>
      <c r="D15" s="597">
        <f>D20+D31+D42</f>
        <v>21205738000</v>
      </c>
      <c r="E15" s="597">
        <f>E20+E31+E42</f>
        <v>62464</v>
      </c>
      <c r="F15" s="598">
        <f>IF(E15=0,0,ROUND(D15/E15/12,0))</f>
        <v>28291</v>
      </c>
      <c r="G15" s="596">
        <f>H15+I15</f>
        <v>21764933869</v>
      </c>
      <c r="H15" s="597">
        <f>H20+H31+H42</f>
        <v>438891110</v>
      </c>
      <c r="I15" s="597">
        <f>I20+I31+I42</f>
        <v>21326042759</v>
      </c>
      <c r="J15" s="597">
        <f>J20+J31+J42</f>
        <v>62485</v>
      </c>
      <c r="K15" s="598">
        <f>IF(J15=0,0,ROUND(I15/J15/12,0))</f>
        <v>28442</v>
      </c>
      <c r="L15" s="596">
        <f aca="true" t="shared" si="2" ref="L15:Q15">L20+L31+L42</f>
        <v>34417126</v>
      </c>
      <c r="M15" s="599">
        <f t="shared" si="2"/>
        <v>334353371</v>
      </c>
      <c r="N15" s="600">
        <f t="shared" si="2"/>
        <v>51</v>
      </c>
      <c r="O15" s="596">
        <f t="shared" si="2"/>
        <v>0</v>
      </c>
      <c r="P15" s="599">
        <f t="shared" si="2"/>
        <v>0</v>
      </c>
      <c r="Q15" s="600">
        <f t="shared" si="2"/>
        <v>0</v>
      </c>
      <c r="R15" s="604">
        <f>S15+T15</f>
        <v>22056972132</v>
      </c>
      <c r="S15" s="607">
        <f>S20+S31+S42</f>
        <v>419304130</v>
      </c>
      <c r="T15" s="607">
        <f>T20+T31+T42</f>
        <v>21637668002</v>
      </c>
      <c r="U15" s="607">
        <f>U20+U31+U42</f>
        <v>60439</v>
      </c>
      <c r="V15" s="598">
        <f>IF(U15=0,0,ROUND(T15/U15/12,0))</f>
        <v>29834</v>
      </c>
      <c r="W15" s="596">
        <f aca="true" t="shared" si="3" ref="W15:AJ15">W20+W31+W42</f>
        <v>13555934</v>
      </c>
      <c r="X15" s="599">
        <f t="shared" si="3"/>
        <v>305547183</v>
      </c>
      <c r="Y15" s="600">
        <f t="shared" si="3"/>
        <v>51</v>
      </c>
      <c r="Z15" s="596">
        <f t="shared" si="3"/>
        <v>0</v>
      </c>
      <c r="AA15" s="599">
        <f t="shared" si="3"/>
        <v>0</v>
      </c>
      <c r="AB15" s="600">
        <f t="shared" si="3"/>
        <v>0</v>
      </c>
      <c r="AC15" s="601">
        <f t="shared" si="3"/>
        <v>0</v>
      </c>
      <c r="AD15" s="597">
        <f t="shared" si="3"/>
        <v>2443294</v>
      </c>
      <c r="AE15" s="599">
        <f t="shared" si="3"/>
        <v>15906855</v>
      </c>
      <c r="AF15" s="600">
        <f t="shared" si="3"/>
        <v>0</v>
      </c>
      <c r="AG15" s="596">
        <f t="shared" si="3"/>
        <v>0</v>
      </c>
      <c r="AH15" s="599">
        <f t="shared" si="3"/>
        <v>0</v>
      </c>
      <c r="AI15" s="600">
        <f t="shared" si="3"/>
        <v>0</v>
      </c>
      <c r="AJ15" s="638">
        <f t="shared" si="3"/>
        <v>0</v>
      </c>
      <c r="AM15" s="593"/>
      <c r="AN15" s="593"/>
      <c r="AO15" s="594"/>
    </row>
    <row r="16" spans="1:41" s="592" customFormat="1" ht="18.75" customHeight="1">
      <c r="A16" s="603" t="s">
        <v>659</v>
      </c>
      <c r="B16" s="604"/>
      <c r="C16" s="605"/>
      <c r="D16" s="605"/>
      <c r="E16" s="605"/>
      <c r="F16" s="606"/>
      <c r="G16" s="604"/>
      <c r="H16" s="605"/>
      <c r="I16" s="605"/>
      <c r="J16" s="605"/>
      <c r="K16" s="606"/>
      <c r="L16" s="604"/>
      <c r="M16" s="607"/>
      <c r="N16" s="608"/>
      <c r="O16" s="604"/>
      <c r="P16" s="607"/>
      <c r="Q16" s="608"/>
      <c r="R16" s="604"/>
      <c r="S16" s="607"/>
      <c r="T16" s="607"/>
      <c r="U16" s="607"/>
      <c r="V16" s="606"/>
      <c r="W16" s="604"/>
      <c r="X16" s="607"/>
      <c r="Y16" s="608"/>
      <c r="Z16" s="604"/>
      <c r="AA16" s="607"/>
      <c r="AB16" s="608"/>
      <c r="AC16" s="609"/>
      <c r="AD16" s="605"/>
      <c r="AE16" s="607"/>
      <c r="AF16" s="608"/>
      <c r="AG16" s="604"/>
      <c r="AH16" s="607"/>
      <c r="AI16" s="608"/>
      <c r="AJ16" s="639"/>
      <c r="AM16" s="593"/>
      <c r="AN16" s="593"/>
      <c r="AO16" s="594"/>
    </row>
    <row r="17" spans="1:41" s="553" customFormat="1" ht="18.75" customHeight="1" thickBot="1">
      <c r="A17" s="640" t="s">
        <v>660</v>
      </c>
      <c r="B17" s="619">
        <f>C17+D17</f>
        <v>0</v>
      </c>
      <c r="C17" s="620"/>
      <c r="D17" s="620"/>
      <c r="E17" s="641"/>
      <c r="F17" s="621">
        <f>IF(E17=0,0,ROUND(D17/E17/12,0))</f>
        <v>0</v>
      </c>
      <c r="G17" s="612">
        <f>H17+I17</f>
        <v>8259000</v>
      </c>
      <c r="H17" s="625">
        <v>5624000</v>
      </c>
      <c r="I17" s="625">
        <v>2635000</v>
      </c>
      <c r="J17" s="625"/>
      <c r="K17" s="626">
        <f>IF(J17=0,0,ROUND(I17/J17/12,0))</f>
        <v>0</v>
      </c>
      <c r="L17" s="619"/>
      <c r="M17" s="620"/>
      <c r="N17" s="621"/>
      <c r="O17" s="619"/>
      <c r="P17" s="620"/>
      <c r="Q17" s="621"/>
      <c r="R17" s="619">
        <f>S17+T17</f>
        <v>8560749</v>
      </c>
      <c r="S17" s="627">
        <v>5941504</v>
      </c>
      <c r="T17" s="627">
        <v>2619245</v>
      </c>
      <c r="U17" s="627"/>
      <c r="V17" s="622">
        <f>IF(U17=0,0,ROUND(T17/U17/12,0))</f>
        <v>0</v>
      </c>
      <c r="W17" s="619">
        <v>1028035</v>
      </c>
      <c r="X17" s="620">
        <v>760300</v>
      </c>
      <c r="Y17" s="621"/>
      <c r="Z17" s="619"/>
      <c r="AA17" s="620"/>
      <c r="AB17" s="620"/>
      <c r="AC17" s="629"/>
      <c r="AD17" s="620"/>
      <c r="AE17" s="620"/>
      <c r="AF17" s="620"/>
      <c r="AG17" s="619"/>
      <c r="AH17" s="627"/>
      <c r="AI17" s="628"/>
      <c r="AJ17" s="642"/>
      <c r="AM17" s="616"/>
      <c r="AN17" s="616"/>
      <c r="AO17" s="617"/>
    </row>
    <row r="18" spans="1:41" s="592" customFormat="1" ht="18.75" customHeight="1" thickBot="1">
      <c r="A18" s="643" t="s">
        <v>661</v>
      </c>
      <c r="B18" s="644"/>
      <c r="C18" s="645"/>
      <c r="D18" s="645">
        <f>D22+D44</f>
        <v>17767056000</v>
      </c>
      <c r="E18" s="645">
        <f>E22+E44</f>
        <v>48307</v>
      </c>
      <c r="F18" s="646">
        <f>IF(E18=0,0,ROUND(D18/E18/12,0))</f>
        <v>30650</v>
      </c>
      <c r="G18" s="647"/>
      <c r="H18" s="648"/>
      <c r="I18" s="648">
        <f>I22+I44</f>
        <v>17867587741</v>
      </c>
      <c r="J18" s="648">
        <f>J22+J44</f>
        <v>48307</v>
      </c>
      <c r="K18" s="649">
        <f>IF(J18=0,0,ROUND(I18/J18/12,0))</f>
        <v>30823</v>
      </c>
      <c r="L18" s="650"/>
      <c r="M18" s="651">
        <f>M22+M44</f>
        <v>233423523</v>
      </c>
      <c r="N18" s="652">
        <f>N22+N44</f>
        <v>1</v>
      </c>
      <c r="O18" s="650"/>
      <c r="P18" s="651">
        <f>P22+P44</f>
        <v>0</v>
      </c>
      <c r="Q18" s="783">
        <f>Q22+Q44</f>
        <v>0</v>
      </c>
      <c r="R18" s="644"/>
      <c r="S18" s="653"/>
      <c r="T18" s="653">
        <f>T22+T44</f>
        <v>18099743478</v>
      </c>
      <c r="U18" s="653">
        <f>U22+U44</f>
        <v>47188</v>
      </c>
      <c r="V18" s="622">
        <f>IF(U18=0,0,ROUND(T18/U18/12,0))</f>
        <v>31964</v>
      </c>
      <c r="W18" s="650"/>
      <c r="X18" s="651">
        <f>X22+X44</f>
        <v>219795134</v>
      </c>
      <c r="Y18" s="652">
        <f>Y22+Y44</f>
        <v>1</v>
      </c>
      <c r="Z18" s="654"/>
      <c r="AA18" s="651">
        <f>AA22+AA44</f>
        <v>0</v>
      </c>
      <c r="AB18" s="652">
        <f>AB22+AB44</f>
        <v>0</v>
      </c>
      <c r="AC18" s="655"/>
      <c r="AD18" s="654"/>
      <c r="AE18" s="651">
        <f>AE22+AE44</f>
        <v>13613445</v>
      </c>
      <c r="AF18" s="652">
        <f>AF22+AF44</f>
        <v>0</v>
      </c>
      <c r="AG18" s="650"/>
      <c r="AH18" s="651">
        <f>AH22+AH44</f>
        <v>0</v>
      </c>
      <c r="AI18" s="652">
        <f>AI22+AI44</f>
        <v>0</v>
      </c>
      <c r="AJ18" s="656"/>
      <c r="AM18" s="616"/>
      <c r="AN18" s="616"/>
      <c r="AO18" s="617"/>
    </row>
    <row r="19" spans="1:41" s="592" customFormat="1" ht="18.75" customHeight="1">
      <c r="A19" s="657" t="s">
        <v>664</v>
      </c>
      <c r="B19" s="632"/>
      <c r="C19" s="583"/>
      <c r="D19" s="583"/>
      <c r="E19" s="583"/>
      <c r="F19" s="584"/>
      <c r="G19" s="632"/>
      <c r="H19" s="583"/>
      <c r="I19" s="583"/>
      <c r="J19" s="583"/>
      <c r="K19" s="584"/>
      <c r="L19" s="632"/>
      <c r="M19" s="585"/>
      <c r="N19" s="590"/>
      <c r="O19" s="632"/>
      <c r="P19" s="585"/>
      <c r="Q19" s="590"/>
      <c r="R19" s="658"/>
      <c r="S19" s="659"/>
      <c r="T19" s="659"/>
      <c r="U19" s="660"/>
      <c r="V19" s="584"/>
      <c r="W19" s="661"/>
      <c r="X19" s="662"/>
      <c r="Y19" s="590"/>
      <c r="Z19" s="632"/>
      <c r="AA19" s="585"/>
      <c r="AB19" s="590"/>
      <c r="AC19" s="635"/>
      <c r="AD19" s="583"/>
      <c r="AE19" s="585"/>
      <c r="AF19" s="590"/>
      <c r="AG19" s="632"/>
      <c r="AH19" s="585"/>
      <c r="AI19" s="590"/>
      <c r="AJ19" s="636"/>
      <c r="AM19" s="593"/>
      <c r="AN19" s="593"/>
      <c r="AO19" s="594"/>
    </row>
    <row r="20" spans="1:41" s="592" customFormat="1" ht="18.75" customHeight="1" thickBot="1">
      <c r="A20" s="1130" t="s">
        <v>778</v>
      </c>
      <c r="B20" s="663">
        <f>C20+D20</f>
        <v>3674077000</v>
      </c>
      <c r="C20" s="664">
        <v>118817000</v>
      </c>
      <c r="D20" s="664">
        <v>3555260000</v>
      </c>
      <c r="E20" s="664">
        <v>9548</v>
      </c>
      <c r="F20" s="665">
        <f>IF(E20=0,0,ROUND(D20/E20/12,0))</f>
        <v>31030</v>
      </c>
      <c r="G20" s="663">
        <f>H20+I20</f>
        <v>3418503986</v>
      </c>
      <c r="H20" s="664">
        <v>116385770</v>
      </c>
      <c r="I20" s="664">
        <v>3302118216</v>
      </c>
      <c r="J20" s="664">
        <v>9409</v>
      </c>
      <c r="K20" s="665">
        <f>IF(J20=0,0,ROUND(I20/J20/12,0))</f>
        <v>29246</v>
      </c>
      <c r="L20" s="619">
        <v>25701988</v>
      </c>
      <c r="M20" s="620">
        <v>209673715</v>
      </c>
      <c r="N20" s="621">
        <v>51</v>
      </c>
      <c r="O20" s="619"/>
      <c r="P20" s="620"/>
      <c r="Q20" s="621"/>
      <c r="R20" s="663">
        <f>S20+T20</f>
        <v>3585944328</v>
      </c>
      <c r="S20" s="641">
        <v>94034497</v>
      </c>
      <c r="T20" s="641">
        <v>3491909831</v>
      </c>
      <c r="U20" s="620">
        <v>8733</v>
      </c>
      <c r="V20" s="665">
        <f>IF(U20=0,0,ROUND(T20/U20/12,0))</f>
        <v>33321</v>
      </c>
      <c r="W20" s="619">
        <v>11480983</v>
      </c>
      <c r="X20" s="620">
        <v>196426445</v>
      </c>
      <c r="Y20" s="621">
        <v>51</v>
      </c>
      <c r="Z20" s="619"/>
      <c r="AA20" s="620"/>
      <c r="AB20" s="621"/>
      <c r="AC20" s="700"/>
      <c r="AD20" s="620">
        <v>44288</v>
      </c>
      <c r="AE20" s="620">
        <v>811928</v>
      </c>
      <c r="AF20" s="620"/>
      <c r="AG20" s="663"/>
      <c r="AH20" s="698"/>
      <c r="AI20" s="699"/>
      <c r="AJ20" s="666"/>
      <c r="AM20" s="593"/>
      <c r="AN20" s="593"/>
      <c r="AO20" s="594"/>
    </row>
    <row r="21" spans="1:41" s="592" customFormat="1" ht="18.75" customHeight="1">
      <c r="A21" s="667" t="s">
        <v>659</v>
      </c>
      <c r="B21" s="596"/>
      <c r="C21" s="597"/>
      <c r="D21" s="597"/>
      <c r="E21" s="597"/>
      <c r="F21" s="598"/>
      <c r="G21" s="633"/>
      <c r="H21" s="668"/>
      <c r="I21" s="668"/>
      <c r="J21" s="668"/>
      <c r="K21" s="669"/>
      <c r="L21" s="596"/>
      <c r="M21" s="599"/>
      <c r="N21" s="600"/>
      <c r="O21" s="596"/>
      <c r="P21" s="599"/>
      <c r="Q21" s="600"/>
      <c r="R21" s="670"/>
      <c r="S21" s="671"/>
      <c r="T21" s="671"/>
      <c r="U21" s="668"/>
      <c r="V21" s="669"/>
      <c r="W21" s="672"/>
      <c r="X21" s="673"/>
      <c r="Y21" s="600"/>
      <c r="Z21" s="596"/>
      <c r="AA21" s="599"/>
      <c r="AB21" s="600"/>
      <c r="AC21" s="601"/>
      <c r="AD21" s="597"/>
      <c r="AE21" s="599"/>
      <c r="AF21" s="600"/>
      <c r="AG21" s="596"/>
      <c r="AH21" s="599"/>
      <c r="AI21" s="600"/>
      <c r="AJ21" s="638"/>
      <c r="AM21" s="593"/>
      <c r="AN21" s="593"/>
      <c r="AO21" s="594"/>
    </row>
    <row r="22" spans="1:41" s="592" customFormat="1" ht="18.75" customHeight="1" thickBot="1">
      <c r="A22" s="674" t="s">
        <v>661</v>
      </c>
      <c r="B22" s="675"/>
      <c r="C22" s="676"/>
      <c r="D22" s="676">
        <v>2292736000</v>
      </c>
      <c r="E22" s="676">
        <v>5005</v>
      </c>
      <c r="F22" s="677">
        <f>IF(E22=0,0,ROUND(D22/E22/12,0))</f>
        <v>38174</v>
      </c>
      <c r="G22" s="675"/>
      <c r="H22" s="676"/>
      <c r="I22" s="676">
        <v>2053778751</v>
      </c>
      <c r="J22" s="676">
        <v>4899</v>
      </c>
      <c r="K22" s="626">
        <f>IF(J22=0,0,ROUND(I22/J22/12,0))</f>
        <v>34935</v>
      </c>
      <c r="L22" s="675"/>
      <c r="M22" s="625">
        <v>115814452</v>
      </c>
      <c r="N22" s="613">
        <v>1</v>
      </c>
      <c r="O22" s="675"/>
      <c r="P22" s="625"/>
      <c r="Q22" s="613"/>
      <c r="R22" s="678"/>
      <c r="S22" s="679"/>
      <c r="T22" s="641">
        <v>2169523932</v>
      </c>
      <c r="U22" s="620">
        <v>4760</v>
      </c>
      <c r="V22" s="622">
        <f>IF(U22=0,0,ROUND(T22/U22/12,0))</f>
        <v>37982</v>
      </c>
      <c r="W22" s="680"/>
      <c r="X22" s="625">
        <v>115799508</v>
      </c>
      <c r="Y22" s="613">
        <v>1</v>
      </c>
      <c r="Z22" s="675"/>
      <c r="AA22" s="625"/>
      <c r="AB22" s="613"/>
      <c r="AC22" s="681"/>
      <c r="AD22" s="676"/>
      <c r="AE22" s="625"/>
      <c r="AF22" s="625"/>
      <c r="AG22" s="675"/>
      <c r="AH22" s="1131"/>
      <c r="AI22" s="1132"/>
      <c r="AJ22" s="682"/>
      <c r="AM22" s="593"/>
      <c r="AN22" s="593"/>
      <c r="AO22" s="594"/>
    </row>
    <row r="23" spans="1:41" s="592" customFormat="1" ht="18.75" customHeight="1" thickBot="1">
      <c r="A23" s="683"/>
      <c r="B23" s="684"/>
      <c r="C23" s="685"/>
      <c r="D23" s="685"/>
      <c r="E23" s="685"/>
      <c r="F23" s="649"/>
      <c r="G23" s="684"/>
      <c r="H23" s="685"/>
      <c r="I23" s="685"/>
      <c r="J23" s="685"/>
      <c r="K23" s="649"/>
      <c r="L23" s="684"/>
      <c r="M23" s="686"/>
      <c r="N23" s="687"/>
      <c r="O23" s="685"/>
      <c r="P23" s="686"/>
      <c r="Q23" s="687"/>
      <c r="R23" s="684"/>
      <c r="S23" s="685"/>
      <c r="T23" s="685"/>
      <c r="U23" s="685"/>
      <c r="V23" s="649"/>
      <c r="W23" s="684"/>
      <c r="X23" s="686"/>
      <c r="Y23" s="687"/>
      <c r="Z23" s="684"/>
      <c r="AA23" s="686"/>
      <c r="AB23" s="687"/>
      <c r="AC23" s="688"/>
      <c r="AD23" s="684"/>
      <c r="AE23" s="686"/>
      <c r="AF23" s="687"/>
      <c r="AG23" s="684"/>
      <c r="AH23" s="686"/>
      <c r="AI23" s="687"/>
      <c r="AJ23" s="689"/>
      <c r="AM23" s="593"/>
      <c r="AN23" s="593"/>
      <c r="AO23" s="594"/>
    </row>
    <row r="24" spans="1:41" s="553" customFormat="1" ht="18.75" customHeight="1" thickBot="1">
      <c r="A24" s="667" t="s">
        <v>779</v>
      </c>
      <c r="B24" s="690">
        <f aca="true" t="shared" si="4" ref="B24:B31">C24+D24</f>
        <v>306188000</v>
      </c>
      <c r="C24" s="691">
        <v>10500000</v>
      </c>
      <c r="D24" s="691">
        <v>295688000</v>
      </c>
      <c r="E24" s="691">
        <v>1151</v>
      </c>
      <c r="F24" s="692">
        <f aca="true" t="shared" si="5" ref="F24:F31">IF(E24=0,0,ROUND(D24/E24/12,0))</f>
        <v>21408</v>
      </c>
      <c r="G24" s="690">
        <f aca="true" t="shared" si="6" ref="G24:G31">H24+I24</f>
        <v>311660700</v>
      </c>
      <c r="H24" s="691">
        <v>15277844</v>
      </c>
      <c r="I24" s="691">
        <v>296382856</v>
      </c>
      <c r="J24" s="691">
        <v>1151</v>
      </c>
      <c r="K24" s="598">
        <f aca="true" t="shared" si="7" ref="K24:K31">IF(J24=0,0,ROUND(I24/J24/12,0))</f>
        <v>21458</v>
      </c>
      <c r="L24" s="690">
        <v>2791335</v>
      </c>
      <c r="M24" s="691">
        <v>4258087</v>
      </c>
      <c r="N24" s="692"/>
      <c r="O24" s="691"/>
      <c r="P24" s="691"/>
      <c r="Q24" s="691"/>
      <c r="R24" s="690">
        <f aca="true" t="shared" si="8" ref="R24:R31">S24+T24</f>
        <v>315832379</v>
      </c>
      <c r="S24" s="691">
        <v>16542749</v>
      </c>
      <c r="T24" s="691">
        <v>299289630</v>
      </c>
      <c r="U24" s="691">
        <v>1120</v>
      </c>
      <c r="V24" s="598">
        <f aca="true" t="shared" si="9" ref="V24:V31">IF(U24=0,0,ROUND(T24/U24/12,0))</f>
        <v>22269</v>
      </c>
      <c r="W24" s="690">
        <v>1915151</v>
      </c>
      <c r="X24" s="691">
        <v>3794096</v>
      </c>
      <c r="Y24" s="692"/>
      <c r="Z24" s="691"/>
      <c r="AA24" s="691"/>
      <c r="AB24" s="691"/>
      <c r="AC24" s="1133"/>
      <c r="AD24" s="690">
        <v>289800</v>
      </c>
      <c r="AE24" s="691"/>
      <c r="AF24" s="692"/>
      <c r="AG24" s="690"/>
      <c r="AH24" s="1134"/>
      <c r="AI24" s="1135"/>
      <c r="AJ24" s="693"/>
      <c r="AM24" s="616"/>
      <c r="AN24" s="616"/>
      <c r="AO24" s="617"/>
    </row>
    <row r="25" spans="1:41" s="592" customFormat="1" ht="15" hidden="1">
      <c r="A25" s="694" t="s">
        <v>780</v>
      </c>
      <c r="B25" s="596">
        <f t="shared" si="4"/>
        <v>0</v>
      </c>
      <c r="C25" s="597">
        <v>0</v>
      </c>
      <c r="D25" s="597">
        <v>0</v>
      </c>
      <c r="E25" s="597"/>
      <c r="F25" s="695">
        <f t="shared" si="5"/>
        <v>0</v>
      </c>
      <c r="G25" s="596">
        <f t="shared" si="6"/>
        <v>0</v>
      </c>
      <c r="H25" s="597"/>
      <c r="I25" s="597"/>
      <c r="J25" s="597"/>
      <c r="K25" s="598">
        <f t="shared" si="7"/>
        <v>0</v>
      </c>
      <c r="L25" s="596"/>
      <c r="M25" s="599"/>
      <c r="N25" s="600"/>
      <c r="O25" s="597"/>
      <c r="P25" s="599"/>
      <c r="Q25" s="600"/>
      <c r="R25" s="596">
        <f t="shared" si="8"/>
        <v>0</v>
      </c>
      <c r="S25" s="597"/>
      <c r="T25" s="597"/>
      <c r="U25" s="597"/>
      <c r="V25" s="598">
        <f t="shared" si="9"/>
        <v>0</v>
      </c>
      <c r="W25" s="596"/>
      <c r="X25" s="599"/>
      <c r="Y25" s="600"/>
      <c r="Z25" s="597"/>
      <c r="AA25" s="599"/>
      <c r="AB25" s="600"/>
      <c r="AC25" s="601"/>
      <c r="AD25" s="596"/>
      <c r="AE25" s="599"/>
      <c r="AF25" s="600"/>
      <c r="AG25" s="596"/>
      <c r="AH25" s="599"/>
      <c r="AI25" s="600"/>
      <c r="AJ25" s="638"/>
      <c r="AM25" s="593"/>
      <c r="AN25" s="593"/>
      <c r="AO25" s="594"/>
    </row>
    <row r="26" spans="1:41" s="592" customFormat="1" ht="15" hidden="1">
      <c r="A26" s="694" t="s">
        <v>780</v>
      </c>
      <c r="B26" s="596">
        <f t="shared" si="4"/>
        <v>0</v>
      </c>
      <c r="C26" s="597">
        <v>0</v>
      </c>
      <c r="D26" s="597">
        <v>0</v>
      </c>
      <c r="E26" s="597"/>
      <c r="F26" s="695">
        <f t="shared" si="5"/>
        <v>0</v>
      </c>
      <c r="G26" s="596">
        <f t="shared" si="6"/>
        <v>0</v>
      </c>
      <c r="H26" s="597"/>
      <c r="I26" s="597"/>
      <c r="J26" s="597"/>
      <c r="K26" s="598">
        <f t="shared" si="7"/>
        <v>0</v>
      </c>
      <c r="L26" s="596"/>
      <c r="M26" s="599"/>
      <c r="N26" s="600"/>
      <c r="O26" s="597"/>
      <c r="P26" s="599"/>
      <c r="Q26" s="600"/>
      <c r="R26" s="596">
        <f t="shared" si="8"/>
        <v>0</v>
      </c>
      <c r="S26" s="597"/>
      <c r="T26" s="597"/>
      <c r="U26" s="597"/>
      <c r="V26" s="598">
        <f t="shared" si="9"/>
        <v>0</v>
      </c>
      <c r="W26" s="596"/>
      <c r="X26" s="599"/>
      <c r="Y26" s="600"/>
      <c r="Z26" s="597"/>
      <c r="AA26" s="599"/>
      <c r="AB26" s="600"/>
      <c r="AC26" s="601"/>
      <c r="AD26" s="596"/>
      <c r="AE26" s="599"/>
      <c r="AF26" s="600"/>
      <c r="AG26" s="596"/>
      <c r="AH26" s="599"/>
      <c r="AI26" s="600"/>
      <c r="AJ26" s="638"/>
      <c r="AM26" s="593"/>
      <c r="AN26" s="593"/>
      <c r="AO26" s="594"/>
    </row>
    <row r="27" spans="1:41" s="592" customFormat="1" ht="15" hidden="1">
      <c r="A27" s="694" t="s">
        <v>780</v>
      </c>
      <c r="B27" s="596">
        <f t="shared" si="4"/>
        <v>0</v>
      </c>
      <c r="C27" s="597">
        <v>0</v>
      </c>
      <c r="D27" s="597">
        <v>0</v>
      </c>
      <c r="E27" s="597"/>
      <c r="F27" s="695">
        <f t="shared" si="5"/>
        <v>0</v>
      </c>
      <c r="G27" s="596">
        <f t="shared" si="6"/>
        <v>0</v>
      </c>
      <c r="H27" s="597"/>
      <c r="I27" s="597"/>
      <c r="J27" s="597"/>
      <c r="K27" s="598">
        <f t="shared" si="7"/>
        <v>0</v>
      </c>
      <c r="L27" s="596"/>
      <c r="M27" s="599"/>
      <c r="N27" s="600"/>
      <c r="O27" s="597"/>
      <c r="P27" s="599"/>
      <c r="Q27" s="600"/>
      <c r="R27" s="596">
        <f t="shared" si="8"/>
        <v>0</v>
      </c>
      <c r="S27" s="597"/>
      <c r="T27" s="597"/>
      <c r="U27" s="597"/>
      <c r="V27" s="598">
        <f t="shared" si="9"/>
        <v>0</v>
      </c>
      <c r="W27" s="596"/>
      <c r="X27" s="599"/>
      <c r="Y27" s="600"/>
      <c r="Z27" s="597"/>
      <c r="AA27" s="599"/>
      <c r="AB27" s="600"/>
      <c r="AC27" s="601"/>
      <c r="AD27" s="596"/>
      <c r="AE27" s="599"/>
      <c r="AF27" s="600"/>
      <c r="AG27" s="596"/>
      <c r="AH27" s="599"/>
      <c r="AI27" s="600"/>
      <c r="AJ27" s="638"/>
      <c r="AM27" s="593"/>
      <c r="AN27" s="593"/>
      <c r="AO27" s="594"/>
    </row>
    <row r="28" spans="1:41" s="592" customFormat="1" ht="15" hidden="1">
      <c r="A28" s="694" t="s">
        <v>780</v>
      </c>
      <c r="B28" s="596">
        <f t="shared" si="4"/>
        <v>0</v>
      </c>
      <c r="C28" s="597">
        <v>0</v>
      </c>
      <c r="D28" s="597">
        <v>0</v>
      </c>
      <c r="E28" s="597"/>
      <c r="F28" s="695">
        <f t="shared" si="5"/>
        <v>0</v>
      </c>
      <c r="G28" s="596">
        <f t="shared" si="6"/>
        <v>0</v>
      </c>
      <c r="H28" s="597"/>
      <c r="I28" s="597"/>
      <c r="J28" s="597"/>
      <c r="K28" s="598">
        <f t="shared" si="7"/>
        <v>0</v>
      </c>
      <c r="L28" s="596"/>
      <c r="M28" s="599"/>
      <c r="N28" s="600"/>
      <c r="O28" s="597"/>
      <c r="P28" s="599"/>
      <c r="Q28" s="600"/>
      <c r="R28" s="596">
        <f t="shared" si="8"/>
        <v>0</v>
      </c>
      <c r="S28" s="597"/>
      <c r="T28" s="597"/>
      <c r="U28" s="597"/>
      <c r="V28" s="598">
        <f t="shared" si="9"/>
        <v>0</v>
      </c>
      <c r="W28" s="596"/>
      <c r="X28" s="599"/>
      <c r="Y28" s="600"/>
      <c r="Z28" s="597"/>
      <c r="AA28" s="599"/>
      <c r="AB28" s="600"/>
      <c r="AC28" s="601"/>
      <c r="AD28" s="596"/>
      <c r="AE28" s="599"/>
      <c r="AF28" s="600"/>
      <c r="AG28" s="596"/>
      <c r="AH28" s="599"/>
      <c r="AI28" s="600"/>
      <c r="AJ28" s="638"/>
      <c r="AM28" s="593"/>
      <c r="AN28" s="593"/>
      <c r="AO28" s="594"/>
    </row>
    <row r="29" spans="1:41" s="592" customFormat="1" ht="15" hidden="1">
      <c r="A29" s="694" t="s">
        <v>780</v>
      </c>
      <c r="B29" s="596">
        <f t="shared" si="4"/>
        <v>0</v>
      </c>
      <c r="C29" s="597">
        <v>0</v>
      </c>
      <c r="D29" s="597">
        <v>0</v>
      </c>
      <c r="E29" s="597"/>
      <c r="F29" s="695">
        <f t="shared" si="5"/>
        <v>0</v>
      </c>
      <c r="G29" s="596">
        <f t="shared" si="6"/>
        <v>0</v>
      </c>
      <c r="H29" s="597"/>
      <c r="I29" s="597"/>
      <c r="J29" s="597"/>
      <c r="K29" s="598">
        <f t="shared" si="7"/>
        <v>0</v>
      </c>
      <c r="L29" s="596"/>
      <c r="M29" s="599"/>
      <c r="N29" s="600"/>
      <c r="O29" s="597"/>
      <c r="P29" s="599"/>
      <c r="Q29" s="600"/>
      <c r="R29" s="596">
        <f t="shared" si="8"/>
        <v>0</v>
      </c>
      <c r="S29" s="597"/>
      <c r="T29" s="597"/>
      <c r="U29" s="597"/>
      <c r="V29" s="598">
        <f t="shared" si="9"/>
        <v>0</v>
      </c>
      <c r="W29" s="596"/>
      <c r="X29" s="599"/>
      <c r="Y29" s="600"/>
      <c r="Z29" s="597"/>
      <c r="AA29" s="599"/>
      <c r="AB29" s="600"/>
      <c r="AC29" s="601"/>
      <c r="AD29" s="596"/>
      <c r="AE29" s="599"/>
      <c r="AF29" s="600"/>
      <c r="AG29" s="596"/>
      <c r="AH29" s="599"/>
      <c r="AI29" s="600"/>
      <c r="AJ29" s="638"/>
      <c r="AM29" s="593"/>
      <c r="AN29" s="593"/>
      <c r="AO29" s="594"/>
    </row>
    <row r="30" spans="1:41" s="592" customFormat="1" ht="15.75" hidden="1" thickBot="1">
      <c r="A30" s="694" t="s">
        <v>780</v>
      </c>
      <c r="B30" s="596">
        <f t="shared" si="4"/>
        <v>0</v>
      </c>
      <c r="C30" s="597">
        <v>0</v>
      </c>
      <c r="D30" s="597">
        <v>0</v>
      </c>
      <c r="E30" s="597"/>
      <c r="F30" s="695">
        <f t="shared" si="5"/>
        <v>0</v>
      </c>
      <c r="G30" s="596">
        <f t="shared" si="6"/>
        <v>0</v>
      </c>
      <c r="H30" s="597"/>
      <c r="I30" s="597"/>
      <c r="J30" s="597"/>
      <c r="K30" s="598">
        <f t="shared" si="7"/>
        <v>0</v>
      </c>
      <c r="L30" s="596"/>
      <c r="M30" s="599"/>
      <c r="N30" s="600"/>
      <c r="O30" s="597"/>
      <c r="P30" s="599"/>
      <c r="Q30" s="600"/>
      <c r="R30" s="696">
        <f t="shared" si="8"/>
        <v>0</v>
      </c>
      <c r="S30" s="660"/>
      <c r="T30" s="660"/>
      <c r="U30" s="660"/>
      <c r="V30" s="598">
        <f t="shared" si="9"/>
        <v>0</v>
      </c>
      <c r="W30" s="596"/>
      <c r="X30" s="599"/>
      <c r="Y30" s="600"/>
      <c r="Z30" s="597"/>
      <c r="AA30" s="599"/>
      <c r="AB30" s="600"/>
      <c r="AC30" s="601"/>
      <c r="AD30" s="596"/>
      <c r="AE30" s="599"/>
      <c r="AF30" s="600"/>
      <c r="AG30" s="596"/>
      <c r="AH30" s="599"/>
      <c r="AI30" s="600"/>
      <c r="AJ30" s="638"/>
      <c r="AM30" s="593"/>
      <c r="AN30" s="593"/>
      <c r="AO30" s="594"/>
    </row>
    <row r="31" spans="1:41" s="592" customFormat="1" ht="18.75" customHeight="1" thickBot="1">
      <c r="A31" s="697" t="s">
        <v>781</v>
      </c>
      <c r="B31" s="675">
        <f t="shared" si="4"/>
        <v>306188000</v>
      </c>
      <c r="C31" s="676">
        <f>SUM(C24:C30)</f>
        <v>10500000</v>
      </c>
      <c r="D31" s="676">
        <f>SUM(D24:D30)</f>
        <v>295688000</v>
      </c>
      <c r="E31" s="676">
        <f>SUM(E24:E30)</f>
        <v>1151</v>
      </c>
      <c r="F31" s="613">
        <f t="shared" si="5"/>
        <v>21408</v>
      </c>
      <c r="G31" s="663">
        <f t="shared" si="6"/>
        <v>311660700</v>
      </c>
      <c r="H31" s="664">
        <f>SUM(H24:H30)</f>
        <v>15277844</v>
      </c>
      <c r="I31" s="664">
        <f>SUM(I24:I30)</f>
        <v>296382856</v>
      </c>
      <c r="J31" s="664">
        <f>SUM(J24:J30)</f>
        <v>1151</v>
      </c>
      <c r="K31" s="622">
        <f t="shared" si="7"/>
        <v>21458</v>
      </c>
      <c r="L31" s="663">
        <f aca="true" t="shared" si="10" ref="L31:Q31">SUM(L24:L30)</f>
        <v>2791335</v>
      </c>
      <c r="M31" s="698">
        <f t="shared" si="10"/>
        <v>4258087</v>
      </c>
      <c r="N31" s="699">
        <f t="shared" si="10"/>
        <v>0</v>
      </c>
      <c r="O31" s="664">
        <f t="shared" si="10"/>
        <v>0</v>
      </c>
      <c r="P31" s="698">
        <f t="shared" si="10"/>
        <v>0</v>
      </c>
      <c r="Q31" s="699">
        <f t="shared" si="10"/>
        <v>0</v>
      </c>
      <c r="R31" s="684">
        <f t="shared" si="8"/>
        <v>315832379</v>
      </c>
      <c r="S31" s="685">
        <f>SUM(S24:S30)</f>
        <v>16542749</v>
      </c>
      <c r="T31" s="685">
        <f>SUM(T24:T30)</f>
        <v>299289630</v>
      </c>
      <c r="U31" s="685">
        <f>SUM(U24:U30)</f>
        <v>1120</v>
      </c>
      <c r="V31" s="622">
        <f t="shared" si="9"/>
        <v>22269</v>
      </c>
      <c r="W31" s="663">
        <f aca="true" t="shared" si="11" ref="W31:AJ31">SUM(W24:W30)</f>
        <v>1915151</v>
      </c>
      <c r="X31" s="698">
        <f t="shared" si="11"/>
        <v>3794096</v>
      </c>
      <c r="Y31" s="699">
        <f t="shared" si="11"/>
        <v>0</v>
      </c>
      <c r="Z31" s="664">
        <f t="shared" si="11"/>
        <v>0</v>
      </c>
      <c r="AA31" s="698">
        <f t="shared" si="11"/>
        <v>0</v>
      </c>
      <c r="AB31" s="699">
        <f t="shared" si="11"/>
        <v>0</v>
      </c>
      <c r="AC31" s="700">
        <f t="shared" si="11"/>
        <v>0</v>
      </c>
      <c r="AD31" s="663">
        <f t="shared" si="11"/>
        <v>289800</v>
      </c>
      <c r="AE31" s="698">
        <f t="shared" si="11"/>
        <v>0</v>
      </c>
      <c r="AF31" s="699">
        <f t="shared" si="11"/>
        <v>0</v>
      </c>
      <c r="AG31" s="663">
        <f t="shared" si="11"/>
        <v>0</v>
      </c>
      <c r="AH31" s="698">
        <f t="shared" si="11"/>
        <v>0</v>
      </c>
      <c r="AI31" s="699">
        <f t="shared" si="11"/>
        <v>0</v>
      </c>
      <c r="AJ31" s="666">
        <f t="shared" si="11"/>
        <v>0</v>
      </c>
      <c r="AM31" s="593"/>
      <c r="AN31" s="593"/>
      <c r="AO31" s="594"/>
    </row>
    <row r="32" spans="1:41" s="592" customFormat="1" ht="18.75" customHeight="1">
      <c r="A32" s="667"/>
      <c r="B32" s="633"/>
      <c r="C32" s="668"/>
      <c r="D32" s="668"/>
      <c r="E32" s="668"/>
      <c r="F32" s="669"/>
      <c r="G32" s="633"/>
      <c r="H32" s="668"/>
      <c r="I32" s="668"/>
      <c r="J32" s="668"/>
      <c r="K32" s="669"/>
      <c r="L32" s="633"/>
      <c r="M32" s="634"/>
      <c r="N32" s="701"/>
      <c r="O32" s="597"/>
      <c r="P32" s="599"/>
      <c r="Q32" s="600"/>
      <c r="R32" s="596"/>
      <c r="S32" s="597"/>
      <c r="T32" s="597"/>
      <c r="U32" s="597"/>
      <c r="V32" s="669"/>
      <c r="W32" s="633"/>
      <c r="X32" s="634"/>
      <c r="Y32" s="701"/>
      <c r="Z32" s="597"/>
      <c r="AA32" s="599"/>
      <c r="AB32" s="600"/>
      <c r="AC32" s="702"/>
      <c r="AD32" s="633"/>
      <c r="AE32" s="634"/>
      <c r="AF32" s="701"/>
      <c r="AG32" s="596"/>
      <c r="AH32" s="599"/>
      <c r="AI32" s="600"/>
      <c r="AJ32" s="602"/>
      <c r="AM32" s="593"/>
      <c r="AN32" s="593"/>
      <c r="AO32" s="594"/>
    </row>
    <row r="33" spans="1:41" s="553" customFormat="1" ht="18.75" customHeight="1">
      <c r="A33" s="603" t="s">
        <v>782</v>
      </c>
      <c r="B33" s="614">
        <f>C33+D33</f>
        <v>13932492000</v>
      </c>
      <c r="C33" s="703">
        <v>83305000</v>
      </c>
      <c r="D33" s="703">
        <v>13849187000</v>
      </c>
      <c r="E33" s="703">
        <v>42095</v>
      </c>
      <c r="F33" s="695">
        <f>IF(E33=0,0,ROUND(D33/E33/12,0))</f>
        <v>27417</v>
      </c>
      <c r="G33" s="614">
        <f>H33+I33</f>
        <v>14403835790</v>
      </c>
      <c r="H33" s="703">
        <v>203834496</v>
      </c>
      <c r="I33" s="703">
        <v>14200001294</v>
      </c>
      <c r="J33" s="703">
        <v>42233</v>
      </c>
      <c r="K33" s="598">
        <f>IF(J33=0,0,ROUND(I33/J33/12,0))</f>
        <v>28019</v>
      </c>
      <c r="L33" s="614">
        <v>3744597</v>
      </c>
      <c r="M33" s="703">
        <v>91007654</v>
      </c>
      <c r="N33" s="695"/>
      <c r="O33" s="703"/>
      <c r="P33" s="703"/>
      <c r="Q33" s="703"/>
      <c r="R33" s="614">
        <f>S33+T33</f>
        <v>14492968541</v>
      </c>
      <c r="S33" s="703">
        <v>203453900</v>
      </c>
      <c r="T33" s="703">
        <v>14289514641</v>
      </c>
      <c r="U33" s="703">
        <v>41198</v>
      </c>
      <c r="V33" s="598">
        <f>IF(U33=0,0,ROUND(T33/U33/12,0))</f>
        <v>28904</v>
      </c>
      <c r="W33" s="614">
        <v>89800</v>
      </c>
      <c r="X33" s="703">
        <v>89526172</v>
      </c>
      <c r="Y33" s="695"/>
      <c r="Z33" s="703"/>
      <c r="AA33" s="703"/>
      <c r="AB33" s="703"/>
      <c r="AC33" s="1127"/>
      <c r="AD33" s="614"/>
      <c r="AE33" s="703">
        <v>1481482</v>
      </c>
      <c r="AF33" s="695"/>
      <c r="AG33" s="614"/>
      <c r="AH33" s="1128"/>
      <c r="AI33" s="1129"/>
      <c r="AJ33" s="615"/>
      <c r="AM33" s="616"/>
      <c r="AN33" s="616"/>
      <c r="AO33" s="617"/>
    </row>
    <row r="34" spans="1:41" s="592" customFormat="1" ht="18.75" customHeight="1">
      <c r="A34" s="603" t="s">
        <v>659</v>
      </c>
      <c r="B34" s="604"/>
      <c r="C34" s="605"/>
      <c r="D34" s="605"/>
      <c r="E34" s="605"/>
      <c r="F34" s="606"/>
      <c r="G34" s="604"/>
      <c r="H34" s="605"/>
      <c r="I34" s="605"/>
      <c r="J34" s="605"/>
      <c r="K34" s="606"/>
      <c r="L34" s="604"/>
      <c r="M34" s="607"/>
      <c r="N34" s="608"/>
      <c r="O34" s="605"/>
      <c r="P34" s="607"/>
      <c r="Q34" s="608"/>
      <c r="R34" s="604"/>
      <c r="S34" s="605"/>
      <c r="T34" s="605"/>
      <c r="U34" s="605"/>
      <c r="V34" s="606"/>
      <c r="W34" s="604"/>
      <c r="X34" s="607"/>
      <c r="Y34" s="608"/>
      <c r="Z34" s="605"/>
      <c r="AA34" s="607"/>
      <c r="AB34" s="608"/>
      <c r="AC34" s="609"/>
      <c r="AD34" s="604"/>
      <c r="AE34" s="607"/>
      <c r="AF34" s="608"/>
      <c r="AG34" s="604"/>
      <c r="AH34" s="607"/>
      <c r="AI34" s="608"/>
      <c r="AJ34" s="610"/>
      <c r="AM34" s="593"/>
      <c r="AN34" s="593"/>
      <c r="AO34" s="594"/>
    </row>
    <row r="35" spans="1:41" s="553" customFormat="1" ht="18.75" customHeight="1" thickBot="1">
      <c r="A35" s="618" t="s">
        <v>661</v>
      </c>
      <c r="B35" s="619"/>
      <c r="C35" s="620"/>
      <c r="D35" s="620">
        <v>12142021000</v>
      </c>
      <c r="E35" s="620">
        <v>34239</v>
      </c>
      <c r="F35" s="621">
        <f>IF(E35=0,0,ROUND(D35/E35/12,0))</f>
        <v>29552</v>
      </c>
      <c r="G35" s="619"/>
      <c r="H35" s="620"/>
      <c r="I35" s="620">
        <v>12459391597</v>
      </c>
      <c r="J35" s="620">
        <v>34319</v>
      </c>
      <c r="K35" s="622">
        <f>IF(J35=0,0,ROUND(I35/J35/12,0))</f>
        <v>30254</v>
      </c>
      <c r="L35" s="619"/>
      <c r="M35" s="620">
        <v>89518979</v>
      </c>
      <c r="N35" s="621"/>
      <c r="O35" s="625"/>
      <c r="P35" s="625"/>
      <c r="Q35" s="625"/>
      <c r="R35" s="619"/>
      <c r="S35" s="620"/>
      <c r="T35" s="620">
        <v>12547712288</v>
      </c>
      <c r="U35" s="620">
        <v>33627</v>
      </c>
      <c r="V35" s="622">
        <f>IF(U35=0,0,ROUND(T35/U35/12,0))</f>
        <v>31095</v>
      </c>
      <c r="W35" s="619"/>
      <c r="X35" s="620">
        <v>89518979</v>
      </c>
      <c r="Y35" s="621"/>
      <c r="Z35" s="625"/>
      <c r="AA35" s="625"/>
      <c r="AB35" s="625"/>
      <c r="AC35" s="629"/>
      <c r="AD35" s="619"/>
      <c r="AE35" s="620"/>
      <c r="AF35" s="621"/>
      <c r="AG35" s="619"/>
      <c r="AH35" s="627"/>
      <c r="AI35" s="628"/>
      <c r="AJ35" s="630"/>
      <c r="AM35" s="616"/>
      <c r="AN35" s="616"/>
      <c r="AO35" s="617"/>
    </row>
    <row r="36" spans="1:41" s="553" customFormat="1" ht="18.75" customHeight="1">
      <c r="A36" s="603" t="s">
        <v>783</v>
      </c>
      <c r="B36" s="614">
        <f>C36+D36</f>
        <v>3564386000</v>
      </c>
      <c r="C36" s="703">
        <v>58783000</v>
      </c>
      <c r="D36" s="703">
        <v>3505603000</v>
      </c>
      <c r="E36" s="703">
        <v>9670</v>
      </c>
      <c r="F36" s="695">
        <f>IF(E36=0,0,ROUND(D36/E36/12,0))</f>
        <v>30210</v>
      </c>
      <c r="G36" s="704">
        <f>H36+I36</f>
        <v>3630933393</v>
      </c>
      <c r="H36" s="705">
        <v>103393000</v>
      </c>
      <c r="I36" s="705">
        <v>3527540393</v>
      </c>
      <c r="J36" s="705">
        <v>9692</v>
      </c>
      <c r="K36" s="669">
        <f>IF(J36=0,0,ROUND(I36/J36/12,0))</f>
        <v>30330</v>
      </c>
      <c r="L36" s="704">
        <v>2179206</v>
      </c>
      <c r="M36" s="705">
        <v>29413915</v>
      </c>
      <c r="N36" s="734"/>
      <c r="O36" s="704"/>
      <c r="P36" s="705"/>
      <c r="Q36" s="734"/>
      <c r="R36" s="690">
        <f>S36+T36</f>
        <v>3662226884</v>
      </c>
      <c r="S36" s="691">
        <v>105272984</v>
      </c>
      <c r="T36" s="691">
        <v>3556953900</v>
      </c>
      <c r="U36" s="691">
        <v>9388</v>
      </c>
      <c r="V36" s="669">
        <f>IF(U36=0,0,ROUND(T36/U36/12,0))</f>
        <v>31574</v>
      </c>
      <c r="W36" s="704">
        <v>70000</v>
      </c>
      <c r="X36" s="705">
        <v>15800470</v>
      </c>
      <c r="Y36" s="734"/>
      <c r="Z36" s="704"/>
      <c r="AA36" s="705"/>
      <c r="AB36" s="734"/>
      <c r="AC36" s="1136"/>
      <c r="AD36" s="691">
        <v>2109206</v>
      </c>
      <c r="AE36" s="691">
        <v>13613445</v>
      </c>
      <c r="AF36" s="691"/>
      <c r="AG36" s="614"/>
      <c r="AH36" s="1128"/>
      <c r="AI36" s="1129"/>
      <c r="AJ36" s="615"/>
      <c r="AM36" s="616"/>
      <c r="AN36" s="616"/>
      <c r="AO36" s="617"/>
    </row>
    <row r="37" spans="1:41" s="592" customFormat="1" ht="18.75" customHeight="1">
      <c r="A37" s="603" t="s">
        <v>659</v>
      </c>
      <c r="B37" s="604"/>
      <c r="C37" s="605"/>
      <c r="D37" s="605"/>
      <c r="E37" s="605"/>
      <c r="F37" s="606"/>
      <c r="G37" s="604"/>
      <c r="H37" s="605"/>
      <c r="I37" s="605"/>
      <c r="J37" s="605"/>
      <c r="K37" s="606"/>
      <c r="L37" s="604"/>
      <c r="M37" s="607"/>
      <c r="N37" s="608"/>
      <c r="O37" s="604"/>
      <c r="P37" s="607"/>
      <c r="Q37" s="608"/>
      <c r="R37" s="604"/>
      <c r="S37" s="605"/>
      <c r="T37" s="605"/>
      <c r="U37" s="605"/>
      <c r="V37" s="606"/>
      <c r="W37" s="604"/>
      <c r="X37" s="607"/>
      <c r="Y37" s="608"/>
      <c r="Z37" s="604"/>
      <c r="AA37" s="607"/>
      <c r="AB37" s="608"/>
      <c r="AC37" s="609"/>
      <c r="AD37" s="605"/>
      <c r="AE37" s="607"/>
      <c r="AF37" s="608"/>
      <c r="AG37" s="604"/>
      <c r="AH37" s="607"/>
      <c r="AI37" s="608"/>
      <c r="AJ37" s="610"/>
      <c r="AM37" s="593"/>
      <c r="AN37" s="593"/>
      <c r="AO37" s="594"/>
    </row>
    <row r="38" spans="1:41" s="553" customFormat="1" ht="18.75" customHeight="1" thickBot="1">
      <c r="A38" s="618" t="s">
        <v>661</v>
      </c>
      <c r="B38" s="619"/>
      <c r="C38" s="620"/>
      <c r="D38" s="620">
        <v>3332299000</v>
      </c>
      <c r="E38" s="620">
        <v>9063</v>
      </c>
      <c r="F38" s="621">
        <f>IF(E38=0,0,ROUND(D38/E38/12,0))</f>
        <v>30640</v>
      </c>
      <c r="G38" s="619"/>
      <c r="H38" s="620"/>
      <c r="I38" s="620">
        <v>3354417393</v>
      </c>
      <c r="J38" s="620">
        <v>9089</v>
      </c>
      <c r="K38" s="622">
        <f>IF(J38=0,0,ROUND(I38/J38/12,0))</f>
        <v>30755</v>
      </c>
      <c r="L38" s="619"/>
      <c r="M38" s="620">
        <v>28090092</v>
      </c>
      <c r="N38" s="621"/>
      <c r="O38" s="619"/>
      <c r="P38" s="620"/>
      <c r="Q38" s="621"/>
      <c r="R38" s="619"/>
      <c r="S38" s="620"/>
      <c r="T38" s="703">
        <v>3382507258</v>
      </c>
      <c r="U38" s="703">
        <v>8801</v>
      </c>
      <c r="V38" s="622">
        <f>IF(U38=0,0,ROUND(T38/U38/12,0))</f>
        <v>32028</v>
      </c>
      <c r="W38" s="619"/>
      <c r="X38" s="620">
        <v>14476647</v>
      </c>
      <c r="Y38" s="621"/>
      <c r="Z38" s="619"/>
      <c r="AA38" s="620"/>
      <c r="AB38" s="621"/>
      <c r="AC38" s="629"/>
      <c r="AD38" s="620"/>
      <c r="AE38" s="703">
        <v>13613445</v>
      </c>
      <c r="AF38" s="703"/>
      <c r="AG38" s="619"/>
      <c r="AH38" s="627"/>
      <c r="AI38" s="628"/>
      <c r="AJ38" s="630"/>
      <c r="AM38" s="616"/>
      <c r="AN38" s="616"/>
      <c r="AO38" s="617"/>
    </row>
    <row r="39" spans="1:41" s="592" customFormat="1" ht="15" hidden="1">
      <c r="A39" s="706" t="s">
        <v>784</v>
      </c>
      <c r="B39" s="604">
        <f>C39+D39</f>
        <v>0</v>
      </c>
      <c r="C39" s="605">
        <v>0</v>
      </c>
      <c r="D39" s="605">
        <v>0</v>
      </c>
      <c r="E39" s="605"/>
      <c r="F39" s="606">
        <f>IF(E39=0,0,ROUND(D39/E39/12,0))</f>
        <v>0</v>
      </c>
      <c r="G39" s="633">
        <f>H39+I39</f>
        <v>0</v>
      </c>
      <c r="H39" s="668"/>
      <c r="I39" s="668"/>
      <c r="J39" s="668"/>
      <c r="K39" s="669">
        <f>IF(J39=0,0,ROUND(I39/J39/12,0))</f>
        <v>0</v>
      </c>
      <c r="L39" s="596"/>
      <c r="M39" s="599"/>
      <c r="N39" s="600"/>
      <c r="O39" s="596"/>
      <c r="P39" s="599"/>
      <c r="Q39" s="600"/>
      <c r="R39" s="604">
        <f>S39+T39</f>
        <v>0</v>
      </c>
      <c r="S39" s="605"/>
      <c r="T39" s="605"/>
      <c r="U39" s="605"/>
      <c r="V39" s="669">
        <f>IF(U39=0,0,ROUND(T39/U39/12,0))</f>
        <v>0</v>
      </c>
      <c r="W39" s="596"/>
      <c r="X39" s="599"/>
      <c r="Y39" s="600"/>
      <c r="Z39" s="596"/>
      <c r="AA39" s="599"/>
      <c r="AB39" s="600"/>
      <c r="AC39" s="707"/>
      <c r="AD39" s="604"/>
      <c r="AE39" s="607"/>
      <c r="AF39" s="608"/>
      <c r="AG39" s="604"/>
      <c r="AH39" s="607"/>
      <c r="AI39" s="608"/>
      <c r="AJ39" s="610"/>
      <c r="AM39" s="593"/>
      <c r="AN39" s="593"/>
      <c r="AO39" s="594"/>
    </row>
    <row r="40" spans="1:41" s="592" customFormat="1" ht="15" hidden="1">
      <c r="A40" s="603" t="s">
        <v>659</v>
      </c>
      <c r="B40" s="604"/>
      <c r="C40" s="605"/>
      <c r="D40" s="605"/>
      <c r="E40" s="605"/>
      <c r="F40" s="606"/>
      <c r="G40" s="604"/>
      <c r="H40" s="605"/>
      <c r="I40" s="605"/>
      <c r="J40" s="605"/>
      <c r="K40" s="606"/>
      <c r="L40" s="604"/>
      <c r="M40" s="607"/>
      <c r="N40" s="608"/>
      <c r="O40" s="604"/>
      <c r="P40" s="607"/>
      <c r="Q40" s="608"/>
      <c r="R40" s="604"/>
      <c r="S40" s="605"/>
      <c r="T40" s="605"/>
      <c r="U40" s="605"/>
      <c r="V40" s="606"/>
      <c r="W40" s="604"/>
      <c r="X40" s="607"/>
      <c r="Y40" s="608"/>
      <c r="Z40" s="604"/>
      <c r="AA40" s="607"/>
      <c r="AB40" s="608"/>
      <c r="AC40" s="707"/>
      <c r="AD40" s="604"/>
      <c r="AE40" s="607"/>
      <c r="AF40" s="608"/>
      <c r="AG40" s="604"/>
      <c r="AH40" s="607"/>
      <c r="AI40" s="608"/>
      <c r="AJ40" s="610"/>
      <c r="AM40" s="593"/>
      <c r="AN40" s="593"/>
      <c r="AO40" s="594"/>
    </row>
    <row r="41" spans="1:41" s="592" customFormat="1" ht="15.75" hidden="1" thickBot="1">
      <c r="A41" s="618" t="s">
        <v>661</v>
      </c>
      <c r="B41" s="663"/>
      <c r="C41" s="664"/>
      <c r="D41" s="664">
        <v>0</v>
      </c>
      <c r="E41" s="664"/>
      <c r="F41" s="665">
        <f>IF(E41=0,0,ROUND(D41/E41/12,0))</f>
        <v>0</v>
      </c>
      <c r="G41" s="663"/>
      <c r="H41" s="664"/>
      <c r="I41" s="664"/>
      <c r="J41" s="664"/>
      <c r="K41" s="622">
        <f>IF(J41=0,0,ROUND(I41/J41/12,0))</f>
        <v>0</v>
      </c>
      <c r="L41" s="663"/>
      <c r="M41" s="698"/>
      <c r="N41" s="699"/>
      <c r="O41" s="663"/>
      <c r="P41" s="698"/>
      <c r="Q41" s="699"/>
      <c r="R41" s="663"/>
      <c r="S41" s="664"/>
      <c r="T41" s="664"/>
      <c r="U41" s="664"/>
      <c r="V41" s="622">
        <f>IF(U41=0,0,ROUND(T41/U41/12,0))</f>
        <v>0</v>
      </c>
      <c r="W41" s="663"/>
      <c r="X41" s="698"/>
      <c r="Y41" s="699"/>
      <c r="Z41" s="663"/>
      <c r="AA41" s="698"/>
      <c r="AB41" s="699"/>
      <c r="AC41" s="708"/>
      <c r="AD41" s="663"/>
      <c r="AE41" s="698"/>
      <c r="AF41" s="699"/>
      <c r="AG41" s="663"/>
      <c r="AH41" s="698"/>
      <c r="AI41" s="699"/>
      <c r="AJ41" s="709"/>
      <c r="AM41" s="593"/>
      <c r="AN41" s="593"/>
      <c r="AO41" s="594"/>
    </row>
    <row r="42" spans="1:41" s="592" customFormat="1" ht="18.75" customHeight="1">
      <c r="A42" s="710" t="s">
        <v>785</v>
      </c>
      <c r="B42" s="633">
        <f>C42+D42</f>
        <v>17496878000</v>
      </c>
      <c r="C42" s="668">
        <f>C33+C36+C39</f>
        <v>142088000</v>
      </c>
      <c r="D42" s="668">
        <f>D33+D36+D39</f>
        <v>17354790000</v>
      </c>
      <c r="E42" s="668">
        <f>E33+E36+E39</f>
        <v>51765</v>
      </c>
      <c r="F42" s="669">
        <f>IF(E42=0,0,ROUND(D42/E42/12,0))</f>
        <v>27938</v>
      </c>
      <c r="G42" s="633">
        <f>H42+I42</f>
        <v>18034769183</v>
      </c>
      <c r="H42" s="668">
        <f>H33+H36+H39</f>
        <v>307227496</v>
      </c>
      <c r="I42" s="668">
        <f>I33+I36+I39</f>
        <v>17727541687</v>
      </c>
      <c r="J42" s="668">
        <f>J33+J36+J39</f>
        <v>51925</v>
      </c>
      <c r="K42" s="669">
        <f>IF(J42=0,0,ROUND(I42/J42/12,0))</f>
        <v>28451</v>
      </c>
      <c r="L42" s="668">
        <f aca="true" t="shared" si="12" ref="L42:Q42">L33+L36+L39</f>
        <v>5923803</v>
      </c>
      <c r="M42" s="634">
        <f t="shared" si="12"/>
        <v>120421569</v>
      </c>
      <c r="N42" s="701">
        <f t="shared" si="12"/>
        <v>0</v>
      </c>
      <c r="O42" s="633">
        <f t="shared" si="12"/>
        <v>0</v>
      </c>
      <c r="P42" s="634">
        <f t="shared" si="12"/>
        <v>0</v>
      </c>
      <c r="Q42" s="701">
        <f t="shared" si="12"/>
        <v>0</v>
      </c>
      <c r="R42" s="633">
        <f>S42+T42</f>
        <v>18155195425</v>
      </c>
      <c r="S42" s="668">
        <f>S33+S36+S39</f>
        <v>308726884</v>
      </c>
      <c r="T42" s="668">
        <f>T33+T36+T39</f>
        <v>17846468541</v>
      </c>
      <c r="U42" s="668">
        <f>U33+U36+U39</f>
        <v>50586</v>
      </c>
      <c r="V42" s="669">
        <f>IF(U42=0,0,ROUND(T42/U42/12,0))</f>
        <v>29400</v>
      </c>
      <c r="W42" s="633">
        <f aca="true" t="shared" si="13" ref="W42:AJ42">W33+W36+W39</f>
        <v>159800</v>
      </c>
      <c r="X42" s="634">
        <f t="shared" si="13"/>
        <v>105326642</v>
      </c>
      <c r="Y42" s="701">
        <f t="shared" si="13"/>
        <v>0</v>
      </c>
      <c r="Z42" s="633">
        <f t="shared" si="13"/>
        <v>0</v>
      </c>
      <c r="AA42" s="634">
        <f t="shared" si="13"/>
        <v>0</v>
      </c>
      <c r="AB42" s="701">
        <f t="shared" si="13"/>
        <v>0</v>
      </c>
      <c r="AC42" s="711">
        <f t="shared" si="13"/>
        <v>0</v>
      </c>
      <c r="AD42" s="633">
        <f t="shared" si="13"/>
        <v>2109206</v>
      </c>
      <c r="AE42" s="634">
        <f t="shared" si="13"/>
        <v>15094927</v>
      </c>
      <c r="AF42" s="701">
        <f t="shared" si="13"/>
        <v>0</v>
      </c>
      <c r="AG42" s="633">
        <f t="shared" si="13"/>
        <v>0</v>
      </c>
      <c r="AH42" s="634">
        <f t="shared" si="13"/>
        <v>0</v>
      </c>
      <c r="AI42" s="701">
        <f t="shared" si="13"/>
        <v>0</v>
      </c>
      <c r="AJ42" s="712">
        <f t="shared" si="13"/>
        <v>0</v>
      </c>
      <c r="AM42" s="593"/>
      <c r="AN42" s="593"/>
      <c r="AO42" s="594"/>
    </row>
    <row r="43" spans="1:41" s="592" customFormat="1" ht="18.75" customHeight="1">
      <c r="A43" s="603" t="s">
        <v>659</v>
      </c>
      <c r="B43" s="604"/>
      <c r="C43" s="605"/>
      <c r="D43" s="605"/>
      <c r="E43" s="605"/>
      <c r="F43" s="606"/>
      <c r="G43" s="604"/>
      <c r="H43" s="605"/>
      <c r="I43" s="605"/>
      <c r="J43" s="605"/>
      <c r="K43" s="606"/>
      <c r="L43" s="605"/>
      <c r="M43" s="607"/>
      <c r="N43" s="608"/>
      <c r="O43" s="604"/>
      <c r="P43" s="607"/>
      <c r="Q43" s="608"/>
      <c r="R43" s="604"/>
      <c r="S43" s="605"/>
      <c r="T43" s="605"/>
      <c r="U43" s="605"/>
      <c r="V43" s="606"/>
      <c r="W43" s="604"/>
      <c r="X43" s="607"/>
      <c r="Y43" s="608"/>
      <c r="Z43" s="604"/>
      <c r="AA43" s="607"/>
      <c r="AB43" s="608"/>
      <c r="AC43" s="707"/>
      <c r="AD43" s="604"/>
      <c r="AE43" s="607"/>
      <c r="AF43" s="608"/>
      <c r="AG43" s="604"/>
      <c r="AH43" s="607"/>
      <c r="AI43" s="608"/>
      <c r="AJ43" s="610"/>
      <c r="AM43" s="593"/>
      <c r="AN43" s="593"/>
      <c r="AO43" s="594"/>
    </row>
    <row r="44" spans="1:41" s="553" customFormat="1" ht="18.75" customHeight="1" thickBot="1">
      <c r="A44" s="618" t="s">
        <v>661</v>
      </c>
      <c r="B44" s="619"/>
      <c r="C44" s="620"/>
      <c r="D44" s="620">
        <f>D35+D38+D41</f>
        <v>15474320000</v>
      </c>
      <c r="E44" s="620">
        <f>E35+E38+E41</f>
        <v>43302</v>
      </c>
      <c r="F44" s="621">
        <f>IF(E44=0,0,ROUND(D44/E44/12,0))</f>
        <v>29780</v>
      </c>
      <c r="G44" s="619"/>
      <c r="H44" s="620"/>
      <c r="I44" s="620">
        <f>I35+I38+I41</f>
        <v>15813808990</v>
      </c>
      <c r="J44" s="620">
        <f>J35+J38+J41</f>
        <v>43408</v>
      </c>
      <c r="K44" s="622">
        <f>IF(J44=0,0,ROUND(I44/J44/12,0))</f>
        <v>30359</v>
      </c>
      <c r="L44" s="620"/>
      <c r="M44" s="627">
        <f>M35+M38+M41</f>
        <v>117609071</v>
      </c>
      <c r="N44" s="628">
        <f>N35+N38+N41</f>
        <v>0</v>
      </c>
      <c r="O44" s="619"/>
      <c r="P44" s="627">
        <f>P35+P38+P41</f>
        <v>0</v>
      </c>
      <c r="Q44" s="628">
        <f>Q35+Q38+Q41</f>
        <v>0</v>
      </c>
      <c r="R44" s="619"/>
      <c r="S44" s="620"/>
      <c r="T44" s="620">
        <f>T35+T38+T41</f>
        <v>15930219546</v>
      </c>
      <c r="U44" s="620">
        <f>U35+U38+U41</f>
        <v>42428</v>
      </c>
      <c r="V44" s="622">
        <f>IF(U44=0,0,ROUND(T44/U44/12,0))</f>
        <v>31289</v>
      </c>
      <c r="W44" s="619"/>
      <c r="X44" s="627">
        <f>X35+X38+X41</f>
        <v>103995626</v>
      </c>
      <c r="Y44" s="628">
        <f>Y35+Y38+Y41</f>
        <v>0</v>
      </c>
      <c r="Z44" s="619"/>
      <c r="AA44" s="627">
        <f>AA35+AA38+AA41</f>
        <v>0</v>
      </c>
      <c r="AB44" s="628">
        <f>AB35+AB38+AB41</f>
        <v>0</v>
      </c>
      <c r="AC44" s="713"/>
      <c r="AD44" s="619"/>
      <c r="AE44" s="627">
        <f>AE35+AE38+AE41</f>
        <v>13613445</v>
      </c>
      <c r="AF44" s="628">
        <f>AF35+AF38+AF41</f>
        <v>0</v>
      </c>
      <c r="AG44" s="619"/>
      <c r="AH44" s="627">
        <f>AH35+AH38+AH41</f>
        <v>0</v>
      </c>
      <c r="AI44" s="628">
        <f>AI35+AI38+AI41</f>
        <v>0</v>
      </c>
      <c r="AJ44" s="630"/>
      <c r="AM44" s="616"/>
      <c r="AN44" s="616"/>
      <c r="AO44" s="617"/>
    </row>
    <row r="45" spans="1:41" s="592" customFormat="1" ht="18.75" customHeight="1" thickBot="1">
      <c r="A45" s="714"/>
      <c r="B45" s="715"/>
      <c r="C45" s="716"/>
      <c r="D45" s="716"/>
      <c r="E45" s="716"/>
      <c r="F45" s="622"/>
      <c r="G45" s="717"/>
      <c r="H45" s="718"/>
      <c r="I45" s="718"/>
      <c r="J45" s="716"/>
      <c r="K45" s="622"/>
      <c r="L45" s="715"/>
      <c r="M45" s="719"/>
      <c r="N45" s="720"/>
      <c r="O45" s="715"/>
      <c r="P45" s="719"/>
      <c r="Q45" s="720"/>
      <c r="R45" s="715"/>
      <c r="S45" s="716"/>
      <c r="T45" s="716"/>
      <c r="U45" s="716"/>
      <c r="V45" s="622"/>
      <c r="W45" s="715"/>
      <c r="X45" s="719"/>
      <c r="Y45" s="720"/>
      <c r="Z45" s="715"/>
      <c r="AA45" s="719"/>
      <c r="AB45" s="720"/>
      <c r="AC45" s="721"/>
      <c r="AD45" s="715"/>
      <c r="AE45" s="719"/>
      <c r="AF45" s="720"/>
      <c r="AG45" s="715"/>
      <c r="AH45" s="719"/>
      <c r="AI45" s="720"/>
      <c r="AJ45" s="722"/>
      <c r="AM45" s="593"/>
      <c r="AN45" s="593"/>
      <c r="AO45" s="594"/>
    </row>
    <row r="46" spans="1:41" s="592" customFormat="1" ht="18.75" customHeight="1">
      <c r="A46" s="710" t="s">
        <v>786</v>
      </c>
      <c r="B46" s="633">
        <f>C46+D46</f>
        <v>643547000</v>
      </c>
      <c r="C46" s="668">
        <v>19660000</v>
      </c>
      <c r="D46" s="668">
        <v>623887000</v>
      </c>
      <c r="E46" s="668">
        <v>2078</v>
      </c>
      <c r="F46" s="669">
        <f>IF(E46=0,0,ROUND(D46/E46/12,0))</f>
        <v>25020</v>
      </c>
      <c r="G46" s="633">
        <f>H46+I46</f>
        <v>705439871</v>
      </c>
      <c r="H46" s="668">
        <v>23087979</v>
      </c>
      <c r="I46" s="668">
        <v>682351892</v>
      </c>
      <c r="J46" s="668">
        <v>2278</v>
      </c>
      <c r="K46" s="598">
        <f>IF(J46=0,0,ROUND(I46/J46/12,0))</f>
        <v>24962</v>
      </c>
      <c r="L46" s="704">
        <v>3422526</v>
      </c>
      <c r="M46" s="705">
        <v>1885193</v>
      </c>
      <c r="N46" s="734"/>
      <c r="O46" s="703"/>
      <c r="P46" s="703"/>
      <c r="Q46" s="703"/>
      <c r="R46" s="633">
        <f>S46+T46</f>
        <v>694726251</v>
      </c>
      <c r="S46" s="703">
        <v>23475477</v>
      </c>
      <c r="T46" s="703">
        <v>671250774</v>
      </c>
      <c r="U46" s="703">
        <v>1988</v>
      </c>
      <c r="V46" s="598">
        <f>IF(U46=0,0,ROUND(T46/U46/12,0))</f>
        <v>28138</v>
      </c>
      <c r="W46" s="704">
        <v>3401626</v>
      </c>
      <c r="X46" s="705">
        <v>1640746</v>
      </c>
      <c r="Y46" s="734"/>
      <c r="Z46" s="703"/>
      <c r="AA46" s="703"/>
      <c r="AB46" s="703"/>
      <c r="AC46" s="702"/>
      <c r="AD46" s="703"/>
      <c r="AE46" s="703"/>
      <c r="AF46" s="703"/>
      <c r="AG46" s="633"/>
      <c r="AH46" s="634"/>
      <c r="AI46" s="701"/>
      <c r="AJ46" s="712"/>
      <c r="AM46" s="593"/>
      <c r="AN46" s="593"/>
      <c r="AO46" s="594"/>
    </row>
    <row r="47" spans="1:41" s="592" customFormat="1" ht="18.75" customHeight="1">
      <c r="A47" s="603" t="s">
        <v>659</v>
      </c>
      <c r="B47" s="604"/>
      <c r="C47" s="605"/>
      <c r="D47" s="605"/>
      <c r="E47" s="605"/>
      <c r="F47" s="606"/>
      <c r="G47" s="604"/>
      <c r="H47" s="605"/>
      <c r="I47" s="605"/>
      <c r="J47" s="605"/>
      <c r="K47" s="606"/>
      <c r="L47" s="604"/>
      <c r="M47" s="607"/>
      <c r="N47" s="608"/>
      <c r="O47" s="605"/>
      <c r="P47" s="607"/>
      <c r="Q47" s="608"/>
      <c r="R47" s="604"/>
      <c r="S47" s="605"/>
      <c r="T47" s="605"/>
      <c r="U47" s="605"/>
      <c r="V47" s="606"/>
      <c r="W47" s="604"/>
      <c r="X47" s="607"/>
      <c r="Y47" s="608"/>
      <c r="Z47" s="605"/>
      <c r="AA47" s="607"/>
      <c r="AB47" s="608"/>
      <c r="AC47" s="609"/>
      <c r="AD47" s="605"/>
      <c r="AE47" s="607"/>
      <c r="AF47" s="608"/>
      <c r="AG47" s="604"/>
      <c r="AH47" s="607"/>
      <c r="AI47" s="608"/>
      <c r="AJ47" s="610"/>
      <c r="AM47" s="593"/>
      <c r="AN47" s="593"/>
      <c r="AO47" s="594"/>
    </row>
    <row r="48" spans="1:41" s="592" customFormat="1" ht="18.75" customHeight="1" thickBot="1">
      <c r="A48" s="618" t="s">
        <v>661</v>
      </c>
      <c r="B48" s="663"/>
      <c r="C48" s="664"/>
      <c r="D48" s="664">
        <v>139594000</v>
      </c>
      <c r="E48" s="664">
        <v>291</v>
      </c>
      <c r="F48" s="665">
        <f>IF(E48=0,0,ROUND(D48/E48/12,0))</f>
        <v>39975</v>
      </c>
      <c r="G48" s="663"/>
      <c r="H48" s="664"/>
      <c r="I48" s="664">
        <v>136628776</v>
      </c>
      <c r="J48" s="664">
        <v>291</v>
      </c>
      <c r="K48" s="598">
        <f>IF(J48=0,0,ROUND(I48/J48/12,0))</f>
        <v>39126</v>
      </c>
      <c r="L48" s="663"/>
      <c r="M48" s="620">
        <v>230000</v>
      </c>
      <c r="N48" s="621"/>
      <c r="O48" s="664"/>
      <c r="P48" s="703"/>
      <c r="Q48" s="703"/>
      <c r="R48" s="663"/>
      <c r="S48" s="664"/>
      <c r="T48" s="703">
        <v>126067090</v>
      </c>
      <c r="U48" s="703">
        <v>280</v>
      </c>
      <c r="V48" s="598">
        <f>IF(U48=0,0,ROUND(T48/U48/12,0))</f>
        <v>37520</v>
      </c>
      <c r="W48" s="663"/>
      <c r="X48" s="620">
        <v>60000</v>
      </c>
      <c r="Y48" s="621"/>
      <c r="Z48" s="664"/>
      <c r="AA48" s="703"/>
      <c r="AB48" s="703"/>
      <c r="AC48" s="700"/>
      <c r="AD48" s="664"/>
      <c r="AE48" s="703"/>
      <c r="AF48" s="703"/>
      <c r="AG48" s="663"/>
      <c r="AH48" s="698"/>
      <c r="AI48" s="699"/>
      <c r="AJ48" s="709"/>
      <c r="AM48" s="593"/>
      <c r="AN48" s="593"/>
      <c r="AO48" s="594"/>
    </row>
    <row r="49" spans="1:41" s="592" customFormat="1" ht="18.75" customHeight="1" thickBot="1">
      <c r="A49" s="723"/>
      <c r="B49" s="684"/>
      <c r="C49" s="685"/>
      <c r="D49" s="685"/>
      <c r="E49" s="685"/>
      <c r="F49" s="649"/>
      <c r="G49" s="684"/>
      <c r="H49" s="685"/>
      <c r="I49" s="685"/>
      <c r="J49" s="685"/>
      <c r="K49" s="649"/>
      <c r="L49" s="632"/>
      <c r="M49" s="585"/>
      <c r="N49" s="590"/>
      <c r="O49" s="684"/>
      <c r="P49" s="686"/>
      <c r="Q49" s="687"/>
      <c r="R49" s="632"/>
      <c r="S49" s="583"/>
      <c r="T49" s="583"/>
      <c r="U49" s="583"/>
      <c r="V49" s="649"/>
      <c r="W49" s="684"/>
      <c r="X49" s="686"/>
      <c r="Y49" s="687"/>
      <c r="Z49" s="684"/>
      <c r="AA49" s="686"/>
      <c r="AB49" s="687"/>
      <c r="AC49" s="724"/>
      <c r="AD49" s="684"/>
      <c r="AE49" s="686"/>
      <c r="AF49" s="687"/>
      <c r="AG49" s="684"/>
      <c r="AH49" s="686"/>
      <c r="AI49" s="687"/>
      <c r="AJ49" s="725"/>
      <c r="AM49" s="593"/>
      <c r="AN49" s="593"/>
      <c r="AO49" s="594"/>
    </row>
    <row r="50" spans="1:41" s="592" customFormat="1" ht="18.75" customHeight="1" thickBot="1">
      <c r="A50" s="710" t="s">
        <v>787</v>
      </c>
      <c r="B50" s="633">
        <f>C50+D50</f>
        <v>230904000</v>
      </c>
      <c r="C50" s="668">
        <v>8222000</v>
      </c>
      <c r="D50" s="668">
        <v>222682000</v>
      </c>
      <c r="E50" s="668">
        <v>1098</v>
      </c>
      <c r="F50" s="669">
        <f>IF(E50=0,0,ROUND(D50/E50/12,0))</f>
        <v>16901</v>
      </c>
      <c r="G50" s="633">
        <f>H50+I50</f>
        <v>226707000</v>
      </c>
      <c r="H50" s="668">
        <v>9238000</v>
      </c>
      <c r="I50" s="668">
        <v>217469000</v>
      </c>
      <c r="J50" s="668">
        <v>1098</v>
      </c>
      <c r="K50" s="598">
        <f>IF(J50=0,0,ROUND(I50/J50/12,0))</f>
        <v>16505</v>
      </c>
      <c r="L50" s="704">
        <v>586191</v>
      </c>
      <c r="M50" s="1137">
        <v>11205737</v>
      </c>
      <c r="N50" s="1138">
        <v>0</v>
      </c>
      <c r="O50" s="703">
        <v>0</v>
      </c>
      <c r="P50" s="703">
        <v>0</v>
      </c>
      <c r="Q50" s="1138">
        <v>0</v>
      </c>
      <c r="R50" s="633">
        <f>S50+T50</f>
        <v>237167867</v>
      </c>
      <c r="S50" s="1137">
        <v>9644213</v>
      </c>
      <c r="T50" s="1137">
        <v>227523654</v>
      </c>
      <c r="U50" s="1137">
        <f>46+958</f>
        <v>1004</v>
      </c>
      <c r="V50" s="598">
        <f>IF(U50=0,0,ROUND(T50/U50/12,0))</f>
        <v>18885</v>
      </c>
      <c r="W50" s="703">
        <v>0</v>
      </c>
      <c r="X50" s="703">
        <v>620000</v>
      </c>
      <c r="Y50" s="703"/>
      <c r="Z50" s="703"/>
      <c r="AA50" s="703"/>
      <c r="AB50" s="1139"/>
      <c r="AC50" s="702"/>
      <c r="AD50" s="703">
        <v>586191</v>
      </c>
      <c r="AE50" s="703">
        <v>10585737</v>
      </c>
      <c r="AF50" s="703"/>
      <c r="AG50" s="633"/>
      <c r="AH50" s="634"/>
      <c r="AI50" s="701"/>
      <c r="AJ50" s="712">
        <f>464916.67+76301</f>
        <v>541218</v>
      </c>
      <c r="AM50" s="593"/>
      <c r="AN50" s="593"/>
      <c r="AO50" s="594"/>
    </row>
    <row r="51" spans="1:41" s="592" customFormat="1" ht="15.75" hidden="1" thickBot="1">
      <c r="A51" s="726" t="s">
        <v>788</v>
      </c>
      <c r="B51" s="696"/>
      <c r="C51" s="660"/>
      <c r="D51" s="660"/>
      <c r="E51" s="660"/>
      <c r="F51" s="626"/>
      <c r="G51" s="696"/>
      <c r="H51" s="660"/>
      <c r="I51" s="660"/>
      <c r="J51" s="660"/>
      <c r="K51" s="594"/>
      <c r="L51" s="663"/>
      <c r="M51" s="698"/>
      <c r="N51" s="699"/>
      <c r="O51" s="660"/>
      <c r="P51" s="727"/>
      <c r="Q51" s="728"/>
      <c r="R51" s="663"/>
      <c r="S51" s="698"/>
      <c r="T51" s="698"/>
      <c r="U51" s="698"/>
      <c r="V51" s="594"/>
      <c r="W51" s="660"/>
      <c r="X51" s="727"/>
      <c r="Y51" s="729"/>
      <c r="Z51" s="696"/>
      <c r="AA51" s="727"/>
      <c r="AB51" s="728"/>
      <c r="AC51" s="700"/>
      <c r="AD51" s="660"/>
      <c r="AE51" s="727"/>
      <c r="AF51" s="729"/>
      <c r="AG51" s="696"/>
      <c r="AH51" s="727"/>
      <c r="AI51" s="729"/>
      <c r="AJ51" s="730"/>
      <c r="AM51" s="593"/>
      <c r="AN51" s="593"/>
      <c r="AO51" s="594"/>
    </row>
    <row r="52" spans="1:41" s="592" customFormat="1" ht="15.75" hidden="1" thickBot="1">
      <c r="A52" s="731" t="s">
        <v>789</v>
      </c>
      <c r="B52" s="684">
        <f>C52+D52</f>
        <v>0</v>
      </c>
      <c r="C52" s="685">
        <v>0</v>
      </c>
      <c r="D52" s="685">
        <v>0</v>
      </c>
      <c r="E52" s="685"/>
      <c r="F52" s="732">
        <f>IF(E52=0,0,ROUND(D52/E52/12,0))</f>
        <v>0</v>
      </c>
      <c r="G52" s="684">
        <f>H52+I52</f>
        <v>0</v>
      </c>
      <c r="H52" s="685"/>
      <c r="I52" s="685"/>
      <c r="J52" s="685"/>
      <c r="K52" s="649">
        <f>IF(J52=0,0,ROUND(I52/J52/12,0))</f>
        <v>0</v>
      </c>
      <c r="L52" s="715"/>
      <c r="M52" s="719"/>
      <c r="N52" s="720"/>
      <c r="O52" s="684"/>
      <c r="P52" s="686"/>
      <c r="Q52" s="687"/>
      <c r="R52" s="721"/>
      <c r="S52" s="719"/>
      <c r="T52" s="719"/>
      <c r="U52" s="719"/>
      <c r="V52" s="649">
        <f>IF(U52=0,0,ROUND(T52/U52/12,0))</f>
        <v>0</v>
      </c>
      <c r="W52" s="684"/>
      <c r="X52" s="686"/>
      <c r="Y52" s="687"/>
      <c r="Z52" s="684"/>
      <c r="AA52" s="686"/>
      <c r="AB52" s="687"/>
      <c r="AC52" s="721"/>
      <c r="AD52" s="684"/>
      <c r="AE52" s="686"/>
      <c r="AF52" s="687"/>
      <c r="AG52" s="684"/>
      <c r="AH52" s="686"/>
      <c r="AI52" s="687"/>
      <c r="AJ52" s="725"/>
      <c r="AM52" s="593"/>
      <c r="AN52" s="593"/>
      <c r="AO52" s="594"/>
    </row>
    <row r="53" spans="1:41" s="592" customFormat="1" ht="15" hidden="1">
      <c r="A53" s="733" t="s">
        <v>790</v>
      </c>
      <c r="B53" s="633">
        <f>C53+D53</f>
        <v>0</v>
      </c>
      <c r="C53" s="668">
        <v>0</v>
      </c>
      <c r="D53" s="668">
        <v>0</v>
      </c>
      <c r="E53" s="668"/>
      <c r="F53" s="734">
        <f>IF(E53=0,0,ROUND(D53/E53/12,0))</f>
        <v>0</v>
      </c>
      <c r="G53" s="633">
        <f>H53+I53</f>
        <v>0</v>
      </c>
      <c r="H53" s="668"/>
      <c r="I53" s="668"/>
      <c r="J53" s="668"/>
      <c r="K53" s="669">
        <f>IF(J53=0,0,ROUND(I53/J53/12,0))</f>
        <v>0</v>
      </c>
      <c r="L53" s="633"/>
      <c r="M53" s="634"/>
      <c r="N53" s="701"/>
      <c r="O53" s="633"/>
      <c r="P53" s="634"/>
      <c r="Q53" s="701"/>
      <c r="R53" s="711"/>
      <c r="S53" s="634"/>
      <c r="T53" s="634"/>
      <c r="U53" s="634"/>
      <c r="V53" s="669">
        <f>IF(U53=0,0,ROUND(T53/U53/12,0))</f>
        <v>0</v>
      </c>
      <c r="W53" s="633"/>
      <c r="X53" s="634"/>
      <c r="Y53" s="701"/>
      <c r="Z53" s="633"/>
      <c r="AA53" s="634"/>
      <c r="AB53" s="701"/>
      <c r="AC53" s="711"/>
      <c r="AD53" s="633"/>
      <c r="AE53" s="634"/>
      <c r="AF53" s="701"/>
      <c r="AG53" s="633"/>
      <c r="AH53" s="634"/>
      <c r="AI53" s="701"/>
      <c r="AJ53" s="712"/>
      <c r="AM53" s="593"/>
      <c r="AN53" s="593"/>
      <c r="AO53" s="594"/>
    </row>
    <row r="54" spans="1:41" s="592" customFormat="1" ht="15" hidden="1">
      <c r="A54" s="735" t="s">
        <v>791</v>
      </c>
      <c r="B54" s="604"/>
      <c r="C54" s="605"/>
      <c r="D54" s="605"/>
      <c r="E54" s="605"/>
      <c r="F54" s="695"/>
      <c r="G54" s="736"/>
      <c r="H54" s="737"/>
      <c r="I54" s="737"/>
      <c r="J54" s="605"/>
      <c r="K54" s="695"/>
      <c r="L54" s="604"/>
      <c r="M54" s="607"/>
      <c r="N54" s="608"/>
      <c r="O54" s="604"/>
      <c r="P54" s="607"/>
      <c r="Q54" s="608"/>
      <c r="R54" s="707"/>
      <c r="S54" s="607"/>
      <c r="T54" s="607"/>
      <c r="U54" s="607"/>
      <c r="V54" s="695"/>
      <c r="W54" s="604"/>
      <c r="X54" s="607"/>
      <c r="Y54" s="608"/>
      <c r="Z54" s="604"/>
      <c r="AA54" s="607"/>
      <c r="AB54" s="608"/>
      <c r="AC54" s="707"/>
      <c r="AD54" s="604"/>
      <c r="AE54" s="607"/>
      <c r="AF54" s="608"/>
      <c r="AG54" s="604"/>
      <c r="AH54" s="607"/>
      <c r="AI54" s="608"/>
      <c r="AJ54" s="610"/>
      <c r="AM54" s="593"/>
      <c r="AN54" s="593"/>
      <c r="AO54" s="594"/>
    </row>
    <row r="55" spans="1:41" s="592" customFormat="1" ht="15" hidden="1">
      <c r="A55" s="735" t="s">
        <v>792</v>
      </c>
      <c r="B55" s="604"/>
      <c r="C55" s="605"/>
      <c r="D55" s="605">
        <v>0</v>
      </c>
      <c r="E55" s="605"/>
      <c r="F55" s="695">
        <f>IF(E55=0,0,ROUND(D55/E55/12,0))</f>
        <v>0</v>
      </c>
      <c r="G55" s="736"/>
      <c r="H55" s="737"/>
      <c r="I55" s="737"/>
      <c r="J55" s="605"/>
      <c r="K55" s="598">
        <f>IF(J55=0,0,ROUND(I55/J55/12,0))</f>
        <v>0</v>
      </c>
      <c r="L55" s="604"/>
      <c r="M55" s="607"/>
      <c r="N55" s="608"/>
      <c r="O55" s="604"/>
      <c r="P55" s="607"/>
      <c r="Q55" s="608"/>
      <c r="R55" s="707"/>
      <c r="S55" s="607"/>
      <c r="T55" s="607"/>
      <c r="U55" s="607"/>
      <c r="V55" s="598">
        <f>IF(U55=0,0,ROUND(T55/U55/12,0))</f>
        <v>0</v>
      </c>
      <c r="W55" s="604"/>
      <c r="X55" s="607"/>
      <c r="Y55" s="608"/>
      <c r="Z55" s="604"/>
      <c r="AA55" s="607"/>
      <c r="AB55" s="608"/>
      <c r="AC55" s="707"/>
      <c r="AD55" s="604"/>
      <c r="AE55" s="607"/>
      <c r="AF55" s="608"/>
      <c r="AG55" s="604"/>
      <c r="AH55" s="607"/>
      <c r="AI55" s="608"/>
      <c r="AJ55" s="610"/>
      <c r="AM55" s="593"/>
      <c r="AN55" s="593"/>
      <c r="AO55" s="594"/>
    </row>
    <row r="56" spans="1:41" s="592" customFormat="1" ht="15.75" hidden="1" thickBot="1">
      <c r="A56" s="738" t="s">
        <v>793</v>
      </c>
      <c r="B56" s="663"/>
      <c r="C56" s="664"/>
      <c r="D56" s="664">
        <v>0</v>
      </c>
      <c r="E56" s="664"/>
      <c r="F56" s="621">
        <f>IF(E56=0,0,ROUND(D56/E56/12,0))</f>
        <v>0</v>
      </c>
      <c r="G56" s="739"/>
      <c r="H56" s="740"/>
      <c r="I56" s="740"/>
      <c r="J56" s="664"/>
      <c r="K56" s="622">
        <f>IF(J56=0,0,ROUND(I56/J56/12,0))</f>
        <v>0</v>
      </c>
      <c r="L56" s="663"/>
      <c r="M56" s="698"/>
      <c r="N56" s="699"/>
      <c r="O56" s="663"/>
      <c r="P56" s="698"/>
      <c r="Q56" s="699"/>
      <c r="R56" s="708"/>
      <c r="S56" s="698"/>
      <c r="T56" s="698"/>
      <c r="U56" s="698"/>
      <c r="V56" s="622">
        <f>IF(U56=0,0,ROUND(T56/U56/12,0))</f>
        <v>0</v>
      </c>
      <c r="W56" s="663"/>
      <c r="X56" s="698"/>
      <c r="Y56" s="699"/>
      <c r="Z56" s="663"/>
      <c r="AA56" s="698"/>
      <c r="AB56" s="699"/>
      <c r="AC56" s="708"/>
      <c r="AD56" s="663"/>
      <c r="AE56" s="698"/>
      <c r="AF56" s="699"/>
      <c r="AG56" s="663"/>
      <c r="AH56" s="698"/>
      <c r="AI56" s="699"/>
      <c r="AJ56" s="709"/>
      <c r="AM56" s="593"/>
      <c r="AN56" s="593"/>
      <c r="AO56" s="594"/>
    </row>
    <row r="57" spans="1:41" s="592" customFormat="1" ht="15" hidden="1">
      <c r="A57" s="741" t="s">
        <v>794</v>
      </c>
      <c r="B57" s="596">
        <f>C57+D57</f>
        <v>0</v>
      </c>
      <c r="C57" s="597">
        <v>0</v>
      </c>
      <c r="D57" s="597">
        <v>0</v>
      </c>
      <c r="E57" s="597"/>
      <c r="F57" s="692">
        <f>IF(E57=0,0,ROUND(D57/E57/12,0))</f>
        <v>0</v>
      </c>
      <c r="G57" s="596">
        <f>H57+I57</f>
        <v>0</v>
      </c>
      <c r="H57" s="597"/>
      <c r="I57" s="597"/>
      <c r="J57" s="597"/>
      <c r="K57" s="692">
        <f>IF(J57=0,0,ROUND(I57/J57/12*1000,0))</f>
        <v>0</v>
      </c>
      <c r="L57" s="596"/>
      <c r="M57" s="599"/>
      <c r="N57" s="600"/>
      <c r="O57" s="596"/>
      <c r="P57" s="599"/>
      <c r="Q57" s="600"/>
      <c r="R57" s="742"/>
      <c r="S57" s="634"/>
      <c r="T57" s="634"/>
      <c r="U57" s="634"/>
      <c r="V57" s="692">
        <f>IF(U57=0,0,ROUND(T57/U57/12*1000,0))</f>
        <v>0</v>
      </c>
      <c r="W57" s="596"/>
      <c r="X57" s="599"/>
      <c r="Y57" s="600"/>
      <c r="Z57" s="596"/>
      <c r="AA57" s="599"/>
      <c r="AB57" s="600"/>
      <c r="AC57" s="742"/>
      <c r="AD57" s="596"/>
      <c r="AE57" s="599"/>
      <c r="AF57" s="600"/>
      <c r="AG57" s="596"/>
      <c r="AH57" s="599"/>
      <c r="AI57" s="600"/>
      <c r="AJ57" s="602"/>
      <c r="AM57" s="593"/>
      <c r="AN57" s="593"/>
      <c r="AO57" s="594"/>
    </row>
    <row r="58" spans="1:41" ht="15" hidden="1">
      <c r="A58" s="735" t="s">
        <v>791</v>
      </c>
      <c r="B58" s="604"/>
      <c r="C58" s="605"/>
      <c r="D58" s="605"/>
      <c r="E58" s="605"/>
      <c r="F58" s="695"/>
      <c r="G58" s="736"/>
      <c r="H58" s="737"/>
      <c r="I58" s="737"/>
      <c r="J58" s="605"/>
      <c r="K58" s="695"/>
      <c r="L58" s="604"/>
      <c r="M58" s="607"/>
      <c r="N58" s="608"/>
      <c r="O58" s="604"/>
      <c r="P58" s="607"/>
      <c r="Q58" s="608"/>
      <c r="R58" s="707"/>
      <c r="S58" s="607"/>
      <c r="T58" s="607"/>
      <c r="U58" s="607"/>
      <c r="V58" s="695"/>
      <c r="W58" s="604"/>
      <c r="X58" s="607"/>
      <c r="Y58" s="608"/>
      <c r="Z58" s="604"/>
      <c r="AA58" s="607"/>
      <c r="AB58" s="608"/>
      <c r="AC58" s="707"/>
      <c r="AD58" s="604"/>
      <c r="AE58" s="607"/>
      <c r="AF58" s="608"/>
      <c r="AG58" s="604"/>
      <c r="AH58" s="607"/>
      <c r="AI58" s="608"/>
      <c r="AJ58" s="610"/>
      <c r="AK58" s="91"/>
      <c r="AM58" s="593"/>
      <c r="AN58" s="593"/>
      <c r="AO58" s="594"/>
    </row>
    <row r="59" spans="1:41" ht="15" hidden="1">
      <c r="A59" s="735" t="s">
        <v>792</v>
      </c>
      <c r="B59" s="604"/>
      <c r="C59" s="605"/>
      <c r="D59" s="605">
        <v>0</v>
      </c>
      <c r="E59" s="605"/>
      <c r="F59" s="695">
        <f>IF(E59=0,0,ROUND(D59/E59/12,0))</f>
        <v>0</v>
      </c>
      <c r="G59" s="736"/>
      <c r="H59" s="737"/>
      <c r="I59" s="737"/>
      <c r="J59" s="605"/>
      <c r="K59" s="598">
        <f>IF(J59=0,0,ROUND(I59/J59/12,0))</f>
        <v>0</v>
      </c>
      <c r="L59" s="604"/>
      <c r="M59" s="607"/>
      <c r="N59" s="608"/>
      <c r="O59" s="604"/>
      <c r="P59" s="607"/>
      <c r="Q59" s="608"/>
      <c r="R59" s="707"/>
      <c r="S59" s="607"/>
      <c r="T59" s="607"/>
      <c r="U59" s="607"/>
      <c r="V59" s="598">
        <f>IF(U59=0,0,ROUND(T59/U59/12,0))</f>
        <v>0</v>
      </c>
      <c r="W59" s="604"/>
      <c r="X59" s="607"/>
      <c r="Y59" s="608"/>
      <c r="Z59" s="604"/>
      <c r="AA59" s="607"/>
      <c r="AB59" s="608"/>
      <c r="AC59" s="707"/>
      <c r="AD59" s="604"/>
      <c r="AE59" s="607"/>
      <c r="AF59" s="608"/>
      <c r="AG59" s="604"/>
      <c r="AH59" s="607"/>
      <c r="AI59" s="608"/>
      <c r="AJ59" s="610"/>
      <c r="AK59" s="91"/>
      <c r="AM59" s="593"/>
      <c r="AN59" s="593"/>
      <c r="AO59" s="594"/>
    </row>
    <row r="60" spans="1:41" ht="15.75" hidden="1" thickBot="1">
      <c r="A60" s="738" t="s">
        <v>793</v>
      </c>
      <c r="B60" s="663"/>
      <c r="C60" s="664"/>
      <c r="D60" s="664">
        <v>0</v>
      </c>
      <c r="E60" s="664"/>
      <c r="F60" s="621">
        <f>IF(E60=0,0,ROUND(D60/E60/12,0))</f>
        <v>0</v>
      </c>
      <c r="G60" s="739"/>
      <c r="H60" s="740"/>
      <c r="I60" s="740"/>
      <c r="J60" s="664"/>
      <c r="K60" s="598">
        <f>IF(J60=0,0,ROUND(I60/J60/12,0))</f>
        <v>0</v>
      </c>
      <c r="L60" s="663"/>
      <c r="M60" s="698"/>
      <c r="N60" s="699"/>
      <c r="O60" s="663"/>
      <c r="P60" s="698"/>
      <c r="Q60" s="699"/>
      <c r="R60" s="708"/>
      <c r="S60" s="698"/>
      <c r="T60" s="698"/>
      <c r="U60" s="698"/>
      <c r="V60" s="598">
        <f>IF(U60=0,0,ROUND(T60/U60/12,0))</f>
        <v>0</v>
      </c>
      <c r="W60" s="663"/>
      <c r="X60" s="698"/>
      <c r="Y60" s="699"/>
      <c r="Z60" s="663"/>
      <c r="AA60" s="698"/>
      <c r="AB60" s="699"/>
      <c r="AC60" s="708"/>
      <c r="AD60" s="663"/>
      <c r="AE60" s="698"/>
      <c r="AF60" s="699"/>
      <c r="AG60" s="663"/>
      <c r="AH60" s="698"/>
      <c r="AI60" s="699"/>
      <c r="AJ60" s="709"/>
      <c r="AK60" s="91"/>
      <c r="AM60" s="593"/>
      <c r="AN60" s="593"/>
      <c r="AO60" s="594"/>
    </row>
    <row r="61" spans="1:41" ht="18.75" customHeight="1">
      <c r="A61" s="743" t="s">
        <v>659</v>
      </c>
      <c r="B61" s="633"/>
      <c r="C61" s="668"/>
      <c r="D61" s="668"/>
      <c r="E61" s="668"/>
      <c r="F61" s="669"/>
      <c r="G61" s="744"/>
      <c r="H61" s="745"/>
      <c r="I61" s="745"/>
      <c r="J61" s="668"/>
      <c r="K61" s="669"/>
      <c r="L61" s="633"/>
      <c r="M61" s="634"/>
      <c r="N61" s="701"/>
      <c r="O61" s="668"/>
      <c r="P61" s="634"/>
      <c r="Q61" s="701"/>
      <c r="R61" s="711"/>
      <c r="S61" s="634"/>
      <c r="T61" s="634"/>
      <c r="U61" s="634"/>
      <c r="V61" s="669"/>
      <c r="W61" s="633"/>
      <c r="X61" s="634"/>
      <c r="Y61" s="746"/>
      <c r="Z61" s="633"/>
      <c r="AA61" s="634"/>
      <c r="AB61" s="701"/>
      <c r="AC61" s="702"/>
      <c r="AD61" s="668"/>
      <c r="AE61" s="634"/>
      <c r="AF61" s="701"/>
      <c r="AG61" s="633"/>
      <c r="AH61" s="634"/>
      <c r="AI61" s="701"/>
      <c r="AJ61" s="712"/>
      <c r="AK61" s="91"/>
      <c r="AM61" s="593"/>
      <c r="AN61" s="593"/>
      <c r="AO61" s="594"/>
    </row>
    <row r="62" spans="1:41" s="553" customFormat="1" ht="18.75" customHeight="1">
      <c r="A62" s="603" t="s">
        <v>660</v>
      </c>
      <c r="B62" s="614">
        <f>C62+D62</f>
        <v>0</v>
      </c>
      <c r="C62" s="703"/>
      <c r="D62" s="703"/>
      <c r="E62" s="703"/>
      <c r="F62" s="695">
        <f>IF(E62=0,0,ROUND(D62/E62/12,0))</f>
        <v>0</v>
      </c>
      <c r="G62" s="614">
        <f>H62+I62</f>
        <v>0</v>
      </c>
      <c r="H62" s="1140"/>
      <c r="I62" s="1140"/>
      <c r="J62" s="703"/>
      <c r="K62" s="598">
        <f>IF(J62=0,0,ROUND(I62/J62/12,0))</f>
        <v>0</v>
      </c>
      <c r="L62" s="614"/>
      <c r="M62" s="703"/>
      <c r="N62" s="695"/>
      <c r="O62" s="703"/>
      <c r="P62" s="703"/>
      <c r="Q62" s="703"/>
      <c r="R62" s="614">
        <f>S62+T62</f>
        <v>0</v>
      </c>
      <c r="S62" s="703"/>
      <c r="T62" s="703"/>
      <c r="U62" s="703"/>
      <c r="V62" s="598">
        <f>IF(U62=0,0,ROUND(T62/U62/12,0))</f>
        <v>0</v>
      </c>
      <c r="W62" s="703"/>
      <c r="X62" s="703"/>
      <c r="Y62" s="1139"/>
      <c r="Z62" s="614"/>
      <c r="AA62" s="703"/>
      <c r="AB62" s="695"/>
      <c r="AC62" s="1127"/>
      <c r="AD62" s="703"/>
      <c r="AE62" s="703"/>
      <c r="AF62" s="703"/>
      <c r="AG62" s="614"/>
      <c r="AH62" s="1128"/>
      <c r="AI62" s="1129"/>
      <c r="AJ62" s="615"/>
      <c r="AM62" s="616"/>
      <c r="AN62" s="616"/>
      <c r="AO62" s="617"/>
    </row>
    <row r="63" spans="1:41" s="196" customFormat="1" ht="18.75" customHeight="1" thickBot="1">
      <c r="A63" s="1351"/>
      <c r="B63" s="675"/>
      <c r="C63" s="676"/>
      <c r="D63" s="676"/>
      <c r="E63" s="676"/>
      <c r="F63" s="677"/>
      <c r="G63" s="1352"/>
      <c r="H63" s="1353"/>
      <c r="I63" s="1353"/>
      <c r="J63" s="676"/>
      <c r="K63" s="677"/>
      <c r="L63" s="675"/>
      <c r="M63" s="1131"/>
      <c r="N63" s="1132"/>
      <c r="O63" s="676"/>
      <c r="P63" s="1131"/>
      <c r="Q63" s="1132"/>
      <c r="R63" s="675"/>
      <c r="S63" s="676"/>
      <c r="T63" s="676"/>
      <c r="U63" s="676"/>
      <c r="V63" s="677"/>
      <c r="W63" s="675"/>
      <c r="X63" s="1131"/>
      <c r="Y63" s="1354"/>
      <c r="Z63" s="675"/>
      <c r="AA63" s="1131"/>
      <c r="AB63" s="1132"/>
      <c r="AC63" s="681"/>
      <c r="AD63" s="676"/>
      <c r="AE63" s="1131"/>
      <c r="AF63" s="1132"/>
      <c r="AG63" s="675"/>
      <c r="AH63" s="1131"/>
      <c r="AI63" s="1132"/>
      <c r="AJ63" s="1355"/>
      <c r="AK63" s="747"/>
      <c r="AM63" s="593"/>
      <c r="AN63" s="593"/>
      <c r="AO63" s="594"/>
    </row>
    <row r="64" spans="1:41" s="196" customFormat="1" ht="18.75" customHeight="1" thickTop="1">
      <c r="A64" s="748" t="s">
        <v>795</v>
      </c>
      <c r="B64" s="749"/>
      <c r="C64" s="749"/>
      <c r="D64" s="749"/>
      <c r="E64" s="749"/>
      <c r="F64" s="750"/>
      <c r="G64" s="751"/>
      <c r="H64" s="751"/>
      <c r="I64" s="751"/>
      <c r="J64" s="749"/>
      <c r="K64" s="750"/>
      <c r="L64" s="752"/>
      <c r="M64" s="753"/>
      <c r="N64" s="754"/>
      <c r="O64" s="752"/>
      <c r="P64" s="753"/>
      <c r="Q64" s="754"/>
      <c r="R64" s="749"/>
      <c r="S64" s="749"/>
      <c r="T64" s="749"/>
      <c r="U64" s="749"/>
      <c r="V64" s="750"/>
      <c r="W64" s="752"/>
      <c r="X64" s="753"/>
      <c r="Y64" s="754"/>
      <c r="Z64" s="752"/>
      <c r="AA64" s="753"/>
      <c r="AB64" s="754"/>
      <c r="AC64" s="1356"/>
      <c r="AD64" s="752"/>
      <c r="AE64" s="753"/>
      <c r="AF64" s="754"/>
      <c r="AG64" s="752"/>
      <c r="AH64" s="753"/>
      <c r="AI64" s="754"/>
      <c r="AJ64" s="755"/>
      <c r="AK64" s="747"/>
      <c r="AM64" s="593"/>
      <c r="AN64" s="593"/>
      <c r="AO64" s="594"/>
    </row>
    <row r="65" spans="1:41" s="1180" customFormat="1" ht="18.75" customHeight="1">
      <c r="A65" s="756" t="s">
        <v>796</v>
      </c>
      <c r="B65" s="1172">
        <f>IF(B10+B50=C65+D65,B10+B50,"chyba")</f>
        <v>22351594000</v>
      </c>
      <c r="C65" s="1172">
        <f>C10+C50</f>
        <v>299287000</v>
      </c>
      <c r="D65" s="1172">
        <f>D10+D50</f>
        <v>22052307000</v>
      </c>
      <c r="E65" s="1172">
        <f>E10+E50</f>
        <v>65640</v>
      </c>
      <c r="F65" s="1173">
        <f>IF(E65=0,0,ROUND(D65/E65/12,0))</f>
        <v>27997</v>
      </c>
      <c r="G65" s="1172">
        <f>IF(G10+G50=H65+I65,G10+G50,"chyba")</f>
        <v>22697080740</v>
      </c>
      <c r="H65" s="1172">
        <f>H10+H50</f>
        <v>471217089</v>
      </c>
      <c r="I65" s="1172">
        <f>I10+I50</f>
        <v>22225863651</v>
      </c>
      <c r="J65" s="1172">
        <f>J10+J50</f>
        <v>65861</v>
      </c>
      <c r="K65" s="1173">
        <f>IF(J65=0,0,ROUND(I65/J65/12,0))</f>
        <v>28122</v>
      </c>
      <c r="L65" s="1174">
        <f aca="true" t="shared" si="14" ref="L65:Q65">L10+L50</f>
        <v>38425843</v>
      </c>
      <c r="M65" s="1175">
        <f t="shared" si="14"/>
        <v>347444301</v>
      </c>
      <c r="N65" s="1176">
        <f t="shared" si="14"/>
        <v>51</v>
      </c>
      <c r="O65" s="1174">
        <f t="shared" si="14"/>
        <v>0</v>
      </c>
      <c r="P65" s="1175">
        <f t="shared" si="14"/>
        <v>0</v>
      </c>
      <c r="Q65" s="1176">
        <f t="shared" si="14"/>
        <v>0</v>
      </c>
      <c r="R65" s="1172">
        <f>IF(R10+R50=S65+T65,R10+R50,"chyba")</f>
        <v>22988866250</v>
      </c>
      <c r="S65" s="1172">
        <f>S10+S50</f>
        <v>452423820</v>
      </c>
      <c r="T65" s="1172">
        <f>T10+T50</f>
        <v>22536442430</v>
      </c>
      <c r="U65" s="1172">
        <f>U10+U50</f>
        <v>63431</v>
      </c>
      <c r="V65" s="1173">
        <f>IF(U65=0,0,ROUND(T65/U65/12,0))</f>
        <v>29608</v>
      </c>
      <c r="W65" s="1174">
        <f aca="true" t="shared" si="15" ref="W65:AJ65">W10+W50</f>
        <v>16957560</v>
      </c>
      <c r="X65" s="1175">
        <f t="shared" si="15"/>
        <v>307807929</v>
      </c>
      <c r="Y65" s="1176">
        <f t="shared" si="15"/>
        <v>51</v>
      </c>
      <c r="Z65" s="1174">
        <f t="shared" si="15"/>
        <v>0</v>
      </c>
      <c r="AA65" s="1175">
        <f t="shared" si="15"/>
        <v>0</v>
      </c>
      <c r="AB65" s="1176">
        <f t="shared" si="15"/>
        <v>0</v>
      </c>
      <c r="AC65" s="1177">
        <f t="shared" si="15"/>
        <v>0</v>
      </c>
      <c r="AD65" s="1174">
        <f t="shared" si="15"/>
        <v>3029485</v>
      </c>
      <c r="AE65" s="1175">
        <f t="shared" si="15"/>
        <v>26492592</v>
      </c>
      <c r="AF65" s="1176">
        <f t="shared" si="15"/>
        <v>0</v>
      </c>
      <c r="AG65" s="1174">
        <f t="shared" si="15"/>
        <v>0</v>
      </c>
      <c r="AH65" s="1175">
        <f t="shared" si="15"/>
        <v>0</v>
      </c>
      <c r="AI65" s="1176">
        <f t="shared" si="15"/>
        <v>0</v>
      </c>
      <c r="AJ65" s="1178">
        <f t="shared" si="15"/>
        <v>541218</v>
      </c>
      <c r="AK65" s="1179"/>
      <c r="AM65" s="1181"/>
      <c r="AN65" s="1181"/>
      <c r="AO65" s="1182"/>
    </row>
    <row r="66" spans="1:41" s="196" customFormat="1" ht="15" customHeight="1" thickBot="1">
      <c r="A66" s="757"/>
      <c r="B66" s="758"/>
      <c r="C66" s="758"/>
      <c r="D66" s="758"/>
      <c r="E66" s="759"/>
      <c r="F66" s="760"/>
      <c r="G66" s="758"/>
      <c r="H66" s="758"/>
      <c r="I66" s="758"/>
      <c r="J66" s="759"/>
      <c r="K66" s="761"/>
      <c r="L66" s="762"/>
      <c r="M66" s="763"/>
      <c r="N66" s="761"/>
      <c r="O66" s="762"/>
      <c r="P66" s="763"/>
      <c r="Q66" s="761"/>
      <c r="R66" s="758"/>
      <c r="S66" s="758"/>
      <c r="T66" s="758"/>
      <c r="U66" s="759"/>
      <c r="V66" s="761"/>
      <c r="W66" s="764"/>
      <c r="X66" s="765"/>
      <c r="Y66" s="761"/>
      <c r="Z66" s="766"/>
      <c r="AA66" s="767"/>
      <c r="AB66" s="761"/>
      <c r="AC66" s="768"/>
      <c r="AD66" s="766"/>
      <c r="AE66" s="767"/>
      <c r="AF66" s="761"/>
      <c r="AG66" s="762"/>
      <c r="AH66" s="763"/>
      <c r="AI66" s="761"/>
      <c r="AJ66" s="769"/>
      <c r="AK66" s="747"/>
      <c r="AM66" s="593"/>
      <c r="AN66" s="593"/>
      <c r="AO66" s="594"/>
    </row>
    <row r="67" spans="2:65" ht="5.25" customHeight="1" thickTop="1">
      <c r="B67" s="770"/>
      <c r="C67" s="770"/>
      <c r="D67" s="770"/>
      <c r="E67" s="770"/>
      <c r="F67" s="770"/>
      <c r="G67" s="770"/>
      <c r="H67" s="770"/>
      <c r="I67" s="770"/>
      <c r="J67" s="770"/>
      <c r="K67" s="770"/>
      <c r="L67" s="770"/>
      <c r="M67" s="770"/>
      <c r="N67" s="770"/>
      <c r="O67" s="770"/>
      <c r="P67" s="770"/>
      <c r="Q67" s="770"/>
      <c r="R67" s="770"/>
      <c r="S67" s="770"/>
      <c r="T67" s="770"/>
      <c r="U67" s="770"/>
      <c r="V67" s="770"/>
      <c r="W67" s="770"/>
      <c r="X67" s="770"/>
      <c r="Y67" s="770"/>
      <c r="Z67" s="770"/>
      <c r="AA67" s="770"/>
      <c r="AB67" s="770"/>
      <c r="AC67" s="770"/>
      <c r="AD67" s="770"/>
      <c r="AE67" s="770"/>
      <c r="AF67" s="770"/>
      <c r="AG67" s="770"/>
      <c r="AH67" s="770"/>
      <c r="AI67" s="770"/>
      <c r="AJ67" s="770"/>
      <c r="AK67" s="770"/>
      <c r="AL67" s="770"/>
      <c r="AM67" s="770"/>
      <c r="AN67" s="770"/>
      <c r="AO67" s="770"/>
      <c r="AP67" s="770"/>
      <c r="AQ67" s="770"/>
      <c r="AR67" s="770"/>
      <c r="AS67" s="770"/>
      <c r="AT67" s="770"/>
      <c r="AU67" s="770"/>
      <c r="AV67" s="770"/>
      <c r="AW67" s="770"/>
      <c r="AX67" s="770"/>
      <c r="AY67" s="770"/>
      <c r="AZ67" s="770"/>
      <c r="BA67" s="770"/>
      <c r="BB67" s="770"/>
      <c r="BC67" s="770"/>
      <c r="BD67" s="770"/>
      <c r="BE67" s="770"/>
      <c r="BF67" s="770"/>
      <c r="BG67" s="770"/>
      <c r="BH67" s="770"/>
      <c r="BI67" s="770"/>
      <c r="BJ67" s="770"/>
      <c r="BK67" s="770"/>
      <c r="BL67" s="770"/>
      <c r="BM67" s="770"/>
    </row>
    <row r="68" spans="2:37" s="196" customFormat="1" ht="15" customHeight="1" hidden="1">
      <c r="B68" s="771" t="s">
        <v>797</v>
      </c>
      <c r="C68" s="772"/>
      <c r="D68" s="772"/>
      <c r="E68" s="772"/>
      <c r="F68" s="772"/>
      <c r="G68" s="773"/>
      <c r="H68" s="773"/>
      <c r="I68" s="773"/>
      <c r="J68" s="773"/>
      <c r="K68" s="773"/>
      <c r="L68" s="772"/>
      <c r="M68" s="772"/>
      <c r="N68" s="772"/>
      <c r="O68" s="772"/>
      <c r="P68" s="772"/>
      <c r="Q68" s="772"/>
      <c r="R68" s="772"/>
      <c r="S68" s="772"/>
      <c r="T68" s="772"/>
      <c r="U68" s="91"/>
      <c r="V68" s="747"/>
      <c r="W68" s="747"/>
      <c r="X68" s="747"/>
      <c r="Y68" s="747"/>
      <c r="Z68" s="747"/>
      <c r="AA68" s="747"/>
      <c r="AB68" s="747"/>
      <c r="AC68" s="747"/>
      <c r="AD68" s="747"/>
      <c r="AF68" s="774"/>
      <c r="AG68" s="747"/>
      <c r="AH68" s="747"/>
      <c r="AI68" s="747"/>
      <c r="AJ68" s="774"/>
      <c r="AK68" s="747"/>
    </row>
    <row r="69" spans="2:37" s="196" customFormat="1" ht="15" customHeight="1" hidden="1">
      <c r="B69" s="775" t="s">
        <v>0</v>
      </c>
      <c r="C69" s="775"/>
      <c r="D69" s="775"/>
      <c r="E69" s="775"/>
      <c r="F69" s="775"/>
      <c r="G69" s="775"/>
      <c r="H69" s="775"/>
      <c r="I69" s="775"/>
      <c r="J69" s="775"/>
      <c r="K69" s="775"/>
      <c r="L69" s="775"/>
      <c r="M69" s="775"/>
      <c r="N69" s="775"/>
      <c r="O69" s="775"/>
      <c r="P69" s="775"/>
      <c r="Q69" s="775"/>
      <c r="R69" s="775"/>
      <c r="S69" s="775"/>
      <c r="T69" s="775"/>
      <c r="U69" s="91"/>
      <c r="V69" s="747"/>
      <c r="W69" s="747"/>
      <c r="X69" s="747"/>
      <c r="Y69" s="747"/>
      <c r="Z69" s="747"/>
      <c r="AA69" s="747"/>
      <c r="AB69" s="747"/>
      <c r="AC69" s="747"/>
      <c r="AD69" s="747"/>
      <c r="AF69" s="774"/>
      <c r="AG69" s="747"/>
      <c r="AH69" s="747"/>
      <c r="AI69" s="747"/>
      <c r="AJ69" s="774"/>
      <c r="AK69" s="747"/>
    </row>
    <row r="70" spans="1:37" s="196" customFormat="1" ht="15" customHeight="1" hidden="1">
      <c r="A70" s="566"/>
      <c r="B70" s="775" t="s">
        <v>798</v>
      </c>
      <c r="C70" s="775"/>
      <c r="D70" s="775"/>
      <c r="E70" s="775"/>
      <c r="F70" s="775"/>
      <c r="G70" s="775"/>
      <c r="H70" s="775"/>
      <c r="I70" s="775"/>
      <c r="J70" s="775"/>
      <c r="K70" s="775"/>
      <c r="L70" s="775"/>
      <c r="M70" s="775"/>
      <c r="N70" s="775"/>
      <c r="O70" s="775"/>
      <c r="P70" s="775"/>
      <c r="Q70" s="775"/>
      <c r="R70" s="775"/>
      <c r="S70" s="775"/>
      <c r="T70" s="775"/>
      <c r="U70" s="91"/>
      <c r="V70" s="747"/>
      <c r="W70" s="747"/>
      <c r="X70" s="747"/>
      <c r="Y70" s="747"/>
      <c r="Z70" s="747"/>
      <c r="AA70" s="747"/>
      <c r="AB70" s="747"/>
      <c r="AC70" s="747"/>
      <c r="AD70" s="747"/>
      <c r="AF70" s="774"/>
      <c r="AG70" s="747"/>
      <c r="AH70" s="747"/>
      <c r="AI70" s="747"/>
      <c r="AJ70" s="774"/>
      <c r="AK70" s="747"/>
    </row>
    <row r="71" spans="2:37" s="196" customFormat="1" ht="15" customHeight="1" hidden="1">
      <c r="B71" s="775" t="s">
        <v>799</v>
      </c>
      <c r="C71" s="775"/>
      <c r="D71" s="775"/>
      <c r="E71" s="775"/>
      <c r="F71" s="775"/>
      <c r="G71" s="775"/>
      <c r="H71" s="775"/>
      <c r="I71" s="775"/>
      <c r="J71" s="775"/>
      <c r="K71" s="775"/>
      <c r="L71" s="775"/>
      <c r="M71" s="775"/>
      <c r="N71" s="775"/>
      <c r="O71" s="775"/>
      <c r="P71" s="775"/>
      <c r="Q71" s="775"/>
      <c r="R71" s="775"/>
      <c r="S71" s="775"/>
      <c r="T71" s="775"/>
      <c r="U71" s="747"/>
      <c r="V71" s="747"/>
      <c r="W71" s="747"/>
      <c r="X71" s="747"/>
      <c r="Y71" s="747"/>
      <c r="Z71" s="747"/>
      <c r="AA71" s="747"/>
      <c r="AB71" s="747"/>
      <c r="AC71" s="747"/>
      <c r="AD71" s="747"/>
      <c r="AF71" s="774"/>
      <c r="AG71" s="747"/>
      <c r="AH71" s="747"/>
      <c r="AI71" s="747"/>
      <c r="AJ71" s="774"/>
      <c r="AK71" s="747"/>
    </row>
    <row r="72" spans="2:37" s="196" customFormat="1" ht="15" customHeight="1" hidden="1">
      <c r="B72" s="775"/>
      <c r="C72" s="775"/>
      <c r="D72" s="775"/>
      <c r="E72" s="775"/>
      <c r="F72" s="775"/>
      <c r="G72" s="775"/>
      <c r="H72" s="775"/>
      <c r="I72" s="775"/>
      <c r="J72" s="775"/>
      <c r="K72" s="775"/>
      <c r="L72" s="775"/>
      <c r="M72" s="775"/>
      <c r="N72" s="775"/>
      <c r="O72" s="775"/>
      <c r="P72" s="775"/>
      <c r="Q72" s="775"/>
      <c r="R72" s="775"/>
      <c r="S72" s="775"/>
      <c r="T72" s="775"/>
      <c r="U72" s="747"/>
      <c r="V72" s="747"/>
      <c r="W72" s="747"/>
      <c r="X72" s="747"/>
      <c r="Y72" s="747"/>
      <c r="Z72" s="747"/>
      <c r="AA72" s="747"/>
      <c r="AB72" s="747"/>
      <c r="AC72" s="747"/>
      <c r="AD72" s="747"/>
      <c r="AF72" s="774"/>
      <c r="AG72" s="747"/>
      <c r="AH72" s="747"/>
      <c r="AI72" s="747"/>
      <c r="AJ72" s="774"/>
      <c r="AK72" s="747"/>
    </row>
    <row r="73" spans="1:36" s="566" customFormat="1" ht="15" customHeight="1" hidden="1">
      <c r="A73" s="196"/>
      <c r="B73" s="775" t="s">
        <v>800</v>
      </c>
      <c r="C73" s="775"/>
      <c r="D73" s="775"/>
      <c r="E73" s="775"/>
      <c r="F73" s="775"/>
      <c r="G73" s="775"/>
      <c r="H73" s="775"/>
      <c r="I73" s="775"/>
      <c r="J73" s="775"/>
      <c r="K73" s="775"/>
      <c r="L73" s="775"/>
      <c r="M73" s="775"/>
      <c r="N73" s="775"/>
      <c r="O73" s="775"/>
      <c r="P73" s="775"/>
      <c r="Q73" s="775"/>
      <c r="R73" s="775"/>
      <c r="S73" s="775"/>
      <c r="T73" s="775"/>
      <c r="U73" s="747"/>
      <c r="V73" s="776"/>
      <c r="W73" s="776"/>
      <c r="X73" s="776"/>
      <c r="Y73" s="776"/>
      <c r="Z73" s="776"/>
      <c r="AA73" s="776"/>
      <c r="AB73" s="776"/>
      <c r="AC73" s="776"/>
      <c r="AD73" s="776"/>
      <c r="AE73" s="776"/>
      <c r="AF73" s="776"/>
      <c r="AG73" s="776"/>
      <c r="AH73" s="776"/>
      <c r="AI73" s="776"/>
      <c r="AJ73" s="776"/>
    </row>
    <row r="74" spans="1:36" s="566" customFormat="1" ht="15" customHeight="1" hidden="1">
      <c r="A74" s="196"/>
      <c r="B74" s="775" t="s">
        <v>801</v>
      </c>
      <c r="C74" s="775"/>
      <c r="D74" s="775"/>
      <c r="E74" s="775"/>
      <c r="F74" s="775"/>
      <c r="G74" s="775"/>
      <c r="H74" s="775"/>
      <c r="I74" s="775"/>
      <c r="J74" s="775"/>
      <c r="K74" s="775"/>
      <c r="L74" s="775"/>
      <c r="M74" s="775"/>
      <c r="N74" s="775"/>
      <c r="O74" s="775"/>
      <c r="P74" s="775"/>
      <c r="Q74" s="775"/>
      <c r="R74" s="775"/>
      <c r="S74" s="775"/>
      <c r="T74" s="775"/>
      <c r="U74" s="747"/>
      <c r="V74" s="776"/>
      <c r="W74" s="776"/>
      <c r="X74" s="776"/>
      <c r="Y74" s="776"/>
      <c r="Z74" s="776"/>
      <c r="AA74" s="776"/>
      <c r="AB74" s="776"/>
      <c r="AC74" s="776"/>
      <c r="AD74" s="776"/>
      <c r="AE74" s="776"/>
      <c r="AF74" s="776"/>
      <c r="AG74" s="776"/>
      <c r="AH74" s="776"/>
      <c r="AI74" s="776"/>
      <c r="AJ74" s="776"/>
    </row>
    <row r="75" spans="1:37" s="196" customFormat="1" ht="15" customHeight="1" hidden="1">
      <c r="A75" s="747"/>
      <c r="B75" s="775" t="s">
        <v>802</v>
      </c>
      <c r="C75" s="775"/>
      <c r="D75" s="775"/>
      <c r="E75" s="775"/>
      <c r="F75" s="775"/>
      <c r="G75" s="775"/>
      <c r="H75" s="775"/>
      <c r="I75" s="775"/>
      <c r="J75" s="775"/>
      <c r="K75" s="775"/>
      <c r="L75" s="775"/>
      <c r="M75" s="775"/>
      <c r="N75" s="775"/>
      <c r="O75" s="775"/>
      <c r="P75" s="775"/>
      <c r="Q75" s="777"/>
      <c r="R75" s="777"/>
      <c r="S75" s="777"/>
      <c r="T75" s="777"/>
      <c r="U75" s="747"/>
      <c r="V75" s="747"/>
      <c r="W75" s="747"/>
      <c r="X75" s="747"/>
      <c r="Y75" s="747"/>
      <c r="Z75" s="747"/>
      <c r="AA75" s="747"/>
      <c r="AB75" s="747"/>
      <c r="AC75" s="747"/>
      <c r="AD75" s="747"/>
      <c r="AF75" s="747"/>
      <c r="AG75" s="747"/>
      <c r="AH75" s="747"/>
      <c r="AI75" s="747"/>
      <c r="AJ75" s="747"/>
      <c r="AK75" s="747"/>
    </row>
    <row r="76" spans="1:37" s="196" customFormat="1" ht="15" customHeight="1" hidden="1">
      <c r="A76" s="747"/>
      <c r="B76" s="775" t="s">
        <v>803</v>
      </c>
      <c r="C76" s="775"/>
      <c r="D76" s="775"/>
      <c r="E76" s="775"/>
      <c r="F76" s="775"/>
      <c r="G76" s="775"/>
      <c r="H76" s="775"/>
      <c r="I76" s="775"/>
      <c r="J76" s="775"/>
      <c r="K76" s="775"/>
      <c r="L76" s="775"/>
      <c r="M76" s="775"/>
      <c r="N76" s="775"/>
      <c r="O76" s="775"/>
      <c r="P76" s="775"/>
      <c r="Q76" s="777"/>
      <c r="R76" s="777"/>
      <c r="S76" s="777"/>
      <c r="T76" s="777"/>
      <c r="U76" s="747"/>
      <c r="V76" s="747"/>
      <c r="W76" s="747"/>
      <c r="X76" s="747"/>
      <c r="Y76" s="747"/>
      <c r="Z76" s="747"/>
      <c r="AA76" s="747"/>
      <c r="AB76" s="747"/>
      <c r="AC76" s="747"/>
      <c r="AD76" s="747"/>
      <c r="AF76" s="747"/>
      <c r="AG76" s="747"/>
      <c r="AH76" s="747"/>
      <c r="AI76" s="747"/>
      <c r="AJ76" s="747"/>
      <c r="AK76" s="747"/>
    </row>
    <row r="77" spans="2:21" s="196" customFormat="1" ht="15" customHeight="1" hidden="1">
      <c r="B77" s="775" t="s">
        <v>804</v>
      </c>
      <c r="C77" s="777"/>
      <c r="D77" s="777"/>
      <c r="E77" s="777"/>
      <c r="F77" s="777"/>
      <c r="G77" s="777"/>
      <c r="H77" s="777"/>
      <c r="I77" s="777"/>
      <c r="J77" s="777"/>
      <c r="K77" s="777"/>
      <c r="L77" s="777"/>
      <c r="M77" s="777"/>
      <c r="N77" s="777"/>
      <c r="O77" s="777"/>
      <c r="P77" s="777"/>
      <c r="Q77" s="777"/>
      <c r="R77" s="777"/>
      <c r="S77" s="777"/>
      <c r="T77" s="777"/>
      <c r="U77" s="747"/>
    </row>
    <row r="78" spans="2:17" s="196" customFormat="1" ht="15" customHeight="1" hidden="1">
      <c r="B78" s="775" t="s">
        <v>805</v>
      </c>
      <c r="C78" s="777"/>
      <c r="D78" s="777"/>
      <c r="E78" s="777"/>
      <c r="F78" s="777"/>
      <c r="G78" s="777"/>
      <c r="H78" s="777"/>
      <c r="I78" s="777"/>
      <c r="J78" s="777"/>
      <c r="K78" s="777"/>
      <c r="L78" s="777"/>
      <c r="M78" s="777"/>
      <c r="N78" s="777"/>
      <c r="O78" s="777"/>
      <c r="P78" s="777"/>
      <c r="Q78" s="775"/>
    </row>
    <row r="79" spans="2:37" s="196" customFormat="1" ht="15" customHeight="1" hidden="1">
      <c r="B79" s="775" t="s">
        <v>806</v>
      </c>
      <c r="C79" s="777"/>
      <c r="D79" s="777"/>
      <c r="E79" s="777"/>
      <c r="F79" s="777"/>
      <c r="G79" s="777"/>
      <c r="H79" s="777"/>
      <c r="I79" s="777"/>
      <c r="J79" s="777"/>
      <c r="K79" s="777"/>
      <c r="L79" s="777"/>
      <c r="M79" s="777"/>
      <c r="N79" s="777"/>
      <c r="O79" s="777"/>
      <c r="P79" s="777"/>
      <c r="Q79" s="775"/>
      <c r="R79" s="775"/>
      <c r="S79" s="775"/>
      <c r="T79" s="775"/>
      <c r="U79" s="747"/>
      <c r="V79" s="747"/>
      <c r="W79" s="747"/>
      <c r="X79" s="747"/>
      <c r="Y79" s="747"/>
      <c r="Z79" s="747"/>
      <c r="AA79" s="747"/>
      <c r="AB79" s="747"/>
      <c r="AC79" s="747"/>
      <c r="AD79" s="747"/>
      <c r="AE79" s="747"/>
      <c r="AF79" s="747"/>
      <c r="AG79" s="747"/>
      <c r="AH79" s="747"/>
      <c r="AI79" s="747"/>
      <c r="AJ79" s="747"/>
      <c r="AK79" s="747"/>
    </row>
    <row r="80" spans="2:37" s="196" customFormat="1" ht="15" customHeight="1" hidden="1">
      <c r="B80" s="775" t="s">
        <v>807</v>
      </c>
      <c r="C80" s="775"/>
      <c r="D80" s="775"/>
      <c r="E80" s="775"/>
      <c r="F80" s="775"/>
      <c r="G80" s="775"/>
      <c r="H80" s="775"/>
      <c r="I80" s="775"/>
      <c r="J80" s="775"/>
      <c r="K80" s="775"/>
      <c r="L80" s="775"/>
      <c r="M80" s="775"/>
      <c r="N80" s="775"/>
      <c r="O80" s="775"/>
      <c r="P80" s="775"/>
      <c r="Q80" s="778"/>
      <c r="R80" s="778"/>
      <c r="S80" s="778"/>
      <c r="T80" s="778"/>
      <c r="U80" s="747"/>
      <c r="V80" s="747"/>
      <c r="W80" s="747"/>
      <c r="X80" s="747"/>
      <c r="Y80" s="747"/>
      <c r="Z80" s="747"/>
      <c r="AA80" s="747"/>
      <c r="AB80" s="747"/>
      <c r="AC80" s="747"/>
      <c r="AD80" s="747"/>
      <c r="AE80" s="747"/>
      <c r="AF80" s="747"/>
      <c r="AG80" s="747"/>
      <c r="AH80" s="747"/>
      <c r="AI80" s="747"/>
      <c r="AJ80" s="747"/>
      <c r="AK80" s="747"/>
    </row>
    <row r="81" spans="1:21" s="196" customFormat="1" ht="15" customHeight="1" hidden="1">
      <c r="A81" s="566"/>
      <c r="B81" s="778" t="s">
        <v>808</v>
      </c>
      <c r="C81" s="778"/>
      <c r="D81" s="778"/>
      <c r="E81" s="778"/>
      <c r="F81" s="778"/>
      <c r="G81" s="778"/>
      <c r="H81" s="778"/>
      <c r="I81" s="778"/>
      <c r="J81" s="778"/>
      <c r="K81" s="778"/>
      <c r="L81" s="778"/>
      <c r="M81" s="778"/>
      <c r="N81" s="778"/>
      <c r="O81" s="778"/>
      <c r="P81" s="778"/>
      <c r="Q81" s="775"/>
      <c r="R81" s="775"/>
      <c r="S81" s="775"/>
      <c r="T81" s="775"/>
      <c r="U81" s="776"/>
    </row>
    <row r="82" spans="1:21" s="196" customFormat="1" ht="15" customHeight="1" hidden="1">
      <c r="A82" s="566"/>
      <c r="B82" s="775" t="s">
        <v>809</v>
      </c>
      <c r="C82" s="778"/>
      <c r="D82" s="778"/>
      <c r="E82" s="778"/>
      <c r="F82" s="778"/>
      <c r="G82" s="778"/>
      <c r="H82" s="778"/>
      <c r="I82" s="778"/>
      <c r="J82" s="778"/>
      <c r="K82" s="778"/>
      <c r="L82" s="778"/>
      <c r="M82" s="778"/>
      <c r="N82" s="778"/>
      <c r="O82" s="778"/>
      <c r="P82" s="778"/>
      <c r="Q82" s="775"/>
      <c r="R82" s="775"/>
      <c r="S82" s="775"/>
      <c r="T82" s="775"/>
      <c r="U82" s="776"/>
    </row>
    <row r="83" spans="1:21" s="196" customFormat="1" ht="15" customHeight="1" hidden="1">
      <c r="A83" s="37"/>
      <c r="B83" s="775" t="s">
        <v>1</v>
      </c>
      <c r="C83" s="775"/>
      <c r="D83" s="775"/>
      <c r="E83" s="775"/>
      <c r="F83" s="775"/>
      <c r="G83" s="775"/>
      <c r="H83" s="775"/>
      <c r="I83" s="775"/>
      <c r="J83" s="775"/>
      <c r="K83" s="775"/>
      <c r="L83" s="775"/>
      <c r="M83" s="775"/>
      <c r="N83" s="775"/>
      <c r="O83" s="775"/>
      <c r="P83" s="775"/>
      <c r="Q83" s="775"/>
      <c r="R83" s="775"/>
      <c r="S83" s="775"/>
      <c r="T83" s="775"/>
      <c r="U83" s="747"/>
    </row>
    <row r="84" spans="1:21" s="566" customFormat="1" ht="12.75" hidden="1">
      <c r="A84" s="37"/>
      <c r="B84" s="775"/>
      <c r="C84" s="775"/>
      <c r="D84" s="775"/>
      <c r="E84" s="775"/>
      <c r="F84" s="775"/>
      <c r="G84" s="775"/>
      <c r="H84" s="775"/>
      <c r="I84" s="775"/>
      <c r="J84" s="775"/>
      <c r="K84" s="775"/>
      <c r="L84" s="775"/>
      <c r="M84" s="775"/>
      <c r="N84" s="775"/>
      <c r="O84" s="775"/>
      <c r="P84" s="775"/>
      <c r="Q84" s="778"/>
      <c r="R84" s="779"/>
      <c r="S84" s="779"/>
      <c r="T84" s="779"/>
      <c r="U84" s="196"/>
    </row>
    <row r="85" spans="2:36" ht="15" hidden="1">
      <c r="B85" s="778"/>
      <c r="C85" s="778"/>
      <c r="D85" s="778"/>
      <c r="E85" s="778"/>
      <c r="F85" s="778"/>
      <c r="G85" s="778"/>
      <c r="H85" s="778"/>
      <c r="I85" s="778"/>
      <c r="J85" s="778"/>
      <c r="K85" s="778"/>
      <c r="L85" s="778"/>
      <c r="M85" s="778"/>
      <c r="N85" s="778"/>
      <c r="O85" s="778"/>
      <c r="P85" s="778"/>
      <c r="Q85" s="775"/>
      <c r="R85" s="775"/>
      <c r="S85" s="775"/>
      <c r="T85" s="775"/>
      <c r="U85" s="196"/>
      <c r="V85" s="780"/>
      <c r="W85" s="781"/>
      <c r="X85" s="780"/>
      <c r="Y85" s="780"/>
      <c r="Z85" s="781"/>
      <c r="AA85" s="781"/>
      <c r="AB85" s="781"/>
      <c r="AC85" s="780"/>
      <c r="AD85" s="781"/>
      <c r="AE85" s="780"/>
      <c r="AF85" s="780"/>
      <c r="AG85" s="780"/>
      <c r="AH85" s="780"/>
      <c r="AI85" s="780"/>
      <c r="AJ85" s="780"/>
    </row>
    <row r="86" spans="2:21" ht="12.75" hidden="1">
      <c r="B86" s="778"/>
      <c r="C86" s="778"/>
      <c r="D86" s="778"/>
      <c r="E86" s="778"/>
      <c r="F86" s="778"/>
      <c r="G86" s="778"/>
      <c r="H86" s="778"/>
      <c r="I86" s="778"/>
      <c r="J86" s="778"/>
      <c r="K86" s="778"/>
      <c r="L86" s="778"/>
      <c r="M86" s="778"/>
      <c r="N86" s="778"/>
      <c r="O86" s="778"/>
      <c r="P86" s="778"/>
      <c r="Q86" s="778"/>
      <c r="R86" s="778"/>
      <c r="S86" s="778"/>
      <c r="T86" s="778"/>
      <c r="U86" s="747"/>
    </row>
    <row r="88" spans="2:36" s="784" customFormat="1" ht="18">
      <c r="B88" s="785"/>
      <c r="C88" s="785"/>
      <c r="D88" s="785"/>
      <c r="E88" s="785"/>
      <c r="F88" s="785"/>
      <c r="G88" s="785"/>
      <c r="H88" s="785"/>
      <c r="I88" s="785"/>
      <c r="J88" s="785"/>
      <c r="K88" s="785"/>
      <c r="L88" s="785"/>
      <c r="M88" s="785"/>
      <c r="N88" s="785"/>
      <c r="O88" s="785"/>
      <c r="P88" s="785"/>
      <c r="R88" s="786" t="s">
        <v>589</v>
      </c>
      <c r="S88" s="786"/>
      <c r="T88" s="786"/>
      <c r="U88" s="785"/>
      <c r="V88" s="787"/>
      <c r="W88" s="787"/>
      <c r="X88" s="787" t="s">
        <v>587</v>
      </c>
      <c r="Y88" s="787"/>
      <c r="Z88" s="787"/>
      <c r="AA88" s="787"/>
      <c r="AB88" s="787"/>
      <c r="AC88" s="787"/>
      <c r="AD88" s="787"/>
      <c r="AE88" s="787"/>
      <c r="AF88" s="787"/>
      <c r="AG88" s="787" t="s">
        <v>83</v>
      </c>
      <c r="AH88" s="787"/>
      <c r="AI88" s="787"/>
      <c r="AJ88" s="787"/>
    </row>
    <row r="89" spans="2:36" ht="27.75" customHeight="1">
      <c r="B89" s="781"/>
      <c r="C89" s="780"/>
      <c r="D89" s="780"/>
      <c r="E89" s="781"/>
      <c r="F89" s="780"/>
      <c r="G89" s="780"/>
      <c r="H89" s="781"/>
      <c r="I89" s="780"/>
      <c r="J89" s="780"/>
      <c r="K89" s="781"/>
      <c r="L89" s="781"/>
      <c r="M89" s="781"/>
      <c r="N89" s="781"/>
      <c r="O89" s="781"/>
      <c r="P89" s="781"/>
      <c r="Q89" s="782"/>
      <c r="R89" s="1359" t="s">
        <v>233</v>
      </c>
      <c r="S89" s="1359"/>
      <c r="T89" s="1359"/>
      <c r="U89" s="1359"/>
      <c r="V89" s="1359"/>
      <c r="W89" s="782"/>
      <c r="X89" s="782"/>
      <c r="Y89" s="782"/>
      <c r="Z89" s="782"/>
      <c r="AA89" s="782"/>
      <c r="AB89" s="782"/>
      <c r="AC89" s="782"/>
      <c r="AD89" s="782"/>
      <c r="AE89" s="782"/>
      <c r="AF89" s="782"/>
      <c r="AG89" s="782"/>
      <c r="AH89" s="782"/>
      <c r="AI89" s="782"/>
      <c r="AJ89" s="782"/>
    </row>
  </sheetData>
  <sheetProtection/>
  <mergeCells count="6">
    <mergeCell ref="R89:V89"/>
    <mergeCell ref="Z2:AB2"/>
    <mergeCell ref="AG2:AI2"/>
    <mergeCell ref="L2:N2"/>
    <mergeCell ref="O2:Q2"/>
    <mergeCell ref="W2:Y2"/>
  </mergeCells>
  <printOptions horizontalCentered="1"/>
  <pageMargins left="0.3937007874015748" right="0.3937007874015748" top="1.0236220472440944" bottom="0.7874015748031497" header="0.7480314960629921" footer="0.3937007874015748"/>
  <pageSetup fitToWidth="2" horizontalDpi="600" verticalDpi="600" orientation="landscape" pageOrder="overThenDown" paperSize="9" scale="48" r:id="rId1"/>
  <headerFooter alignWithMargins="0">
    <oddHeader>&amp;L&amp;14Kapitola: 314 - Ministerstvo vnitra&amp;C&amp;"Arial CE,Tučné"&amp;16Rozbor zaměstnanosti a čerpání mzdových prostředků&amp;R&amp;"Arial,Tučné"&amp;16Tabulka č. 3&amp;"Arial,Obyčejné"
List č.&amp;P/&amp;N</oddHeader>
    <oddFooter>&amp;C&amp;16&amp;P+41
&amp;10
</oddFooter>
  </headerFooter>
  <colBreaks count="1" manualBreakCount="1">
    <brk id="1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O129"/>
  <sheetViews>
    <sheetView tabSelected="1" zoomScaleSheetLayoutView="75" zoomScalePageLayoutView="0" workbookViewId="0" topLeftCell="A106">
      <selection activeCell="F20" sqref="F20"/>
    </sheetView>
  </sheetViews>
  <sheetFormatPr defaultColWidth="9.00390625" defaultRowHeight="12.75"/>
  <cols>
    <col min="1" max="1" width="7.375" style="42" customWidth="1"/>
    <col min="2" max="2" width="6.75390625" style="42" customWidth="1"/>
    <col min="3" max="3" width="25.875" style="42" customWidth="1"/>
    <col min="4" max="4" width="10.75390625" style="42" customWidth="1"/>
    <col min="5" max="5" width="9.625" style="42" customWidth="1"/>
    <col min="6" max="6" width="10.25390625" style="42" customWidth="1"/>
    <col min="7" max="7" width="13.125" style="42" customWidth="1"/>
    <col min="8" max="8" width="11.00390625" style="42" customWidth="1"/>
    <col min="9" max="9" width="11.625" style="42" bestFit="1" customWidth="1"/>
    <col min="10" max="10" width="10.25390625" style="42" bestFit="1" customWidth="1"/>
    <col min="11" max="11" width="9.25390625" style="42" bestFit="1" customWidth="1"/>
    <col min="12" max="12" width="10.25390625" style="42" customWidth="1"/>
    <col min="13" max="13" width="10.375" style="42" bestFit="1" customWidth="1"/>
    <col min="14" max="14" width="11.75390625" style="42" bestFit="1" customWidth="1"/>
    <col min="15" max="15" width="13.00390625" style="42" customWidth="1"/>
    <col min="16" max="16384" width="9.125" style="42" customWidth="1"/>
  </cols>
  <sheetData>
    <row r="1" ht="15.75">
      <c r="A1" s="1106" t="s">
        <v>134</v>
      </c>
    </row>
    <row r="2" spans="1:15" ht="15">
      <c r="A2" s="940"/>
      <c r="C2" s="1107"/>
      <c r="N2" s="1107"/>
      <c r="O2" s="1123" t="s">
        <v>665</v>
      </c>
    </row>
    <row r="3" ht="12.75">
      <c r="L3" s="942"/>
    </row>
    <row r="4" spans="1:12" ht="15.75">
      <c r="A4" s="943" t="s">
        <v>666</v>
      </c>
      <c r="B4" s="944"/>
      <c r="C4" s="944"/>
      <c r="D4" s="944"/>
      <c r="E4" s="944"/>
      <c r="F4" s="944"/>
      <c r="G4" s="944"/>
      <c r="H4" s="944"/>
      <c r="I4" s="944"/>
      <c r="J4" s="944"/>
      <c r="K4" s="944"/>
      <c r="L4" s="945"/>
    </row>
    <row r="5" spans="1:12" ht="15.75">
      <c r="A5" s="943"/>
      <c r="B5" s="944"/>
      <c r="C5" s="944"/>
      <c r="D5" s="944"/>
      <c r="E5" s="944"/>
      <c r="F5" s="944"/>
      <c r="G5" s="944"/>
      <c r="H5" s="944"/>
      <c r="I5" s="944"/>
      <c r="J5" s="944"/>
      <c r="K5" s="944"/>
      <c r="L5" s="945"/>
    </row>
    <row r="6" spans="1:12" ht="15.75">
      <c r="A6" s="944"/>
      <c r="B6" s="944"/>
      <c r="C6" s="944"/>
      <c r="D6" s="944"/>
      <c r="E6" s="944"/>
      <c r="F6" s="944"/>
      <c r="G6" s="944"/>
      <c r="H6" s="944"/>
      <c r="I6" s="944"/>
      <c r="J6" s="944"/>
      <c r="K6" s="944"/>
      <c r="L6" s="945"/>
    </row>
    <row r="7" spans="1:12" ht="15.75">
      <c r="A7" s="946" t="s">
        <v>667</v>
      </c>
      <c r="B7" s="947"/>
      <c r="C7" s="947"/>
      <c r="D7" s="947"/>
      <c r="E7" s="947"/>
      <c r="F7" s="947"/>
      <c r="G7" s="947"/>
      <c r="H7" s="947"/>
      <c r="I7" s="947"/>
      <c r="J7" s="947"/>
      <c r="K7" s="947"/>
      <c r="L7" s="947"/>
    </row>
    <row r="8" ht="13.5" thickBot="1">
      <c r="O8" s="948" t="s">
        <v>567</v>
      </c>
    </row>
    <row r="9" spans="1:15" ht="12.75">
      <c r="A9" s="949"/>
      <c r="B9" s="950"/>
      <c r="C9" s="951"/>
      <c r="D9" s="952" t="s">
        <v>168</v>
      </c>
      <c r="E9" s="952"/>
      <c r="F9" s="953"/>
      <c r="G9" s="954" t="s">
        <v>133</v>
      </c>
      <c r="H9" s="954"/>
      <c r="I9" s="955"/>
      <c r="J9" s="1363" t="s">
        <v>668</v>
      </c>
      <c r="K9" s="1364"/>
      <c r="L9" s="1365"/>
      <c r="M9" s="1366" t="s">
        <v>669</v>
      </c>
      <c r="N9" s="1367"/>
      <c r="O9" s="1368"/>
    </row>
    <row r="10" spans="1:15" ht="12.75">
      <c r="A10" s="956" t="s">
        <v>670</v>
      </c>
      <c r="B10" s="957" t="s">
        <v>671</v>
      </c>
      <c r="C10" s="958"/>
      <c r="D10" s="959" t="s">
        <v>672</v>
      </c>
      <c r="E10" s="959"/>
      <c r="F10" s="960"/>
      <c r="G10" s="961" t="s">
        <v>673</v>
      </c>
      <c r="H10" s="961"/>
      <c r="I10" s="962"/>
      <c r="J10" s="1369" t="s">
        <v>674</v>
      </c>
      <c r="K10" s="1370"/>
      <c r="L10" s="1371"/>
      <c r="M10" s="1372" t="s">
        <v>675</v>
      </c>
      <c r="N10" s="1373"/>
      <c r="O10" s="1374"/>
    </row>
    <row r="11" spans="1:15" ht="12.75">
      <c r="A11" s="963"/>
      <c r="B11" s="964"/>
      <c r="C11" s="965"/>
      <c r="D11" s="966" t="s">
        <v>676</v>
      </c>
      <c r="E11" s="967" t="s">
        <v>677</v>
      </c>
      <c r="F11" s="965"/>
      <c r="G11" s="968" t="s">
        <v>676</v>
      </c>
      <c r="H11" s="967" t="s">
        <v>677</v>
      </c>
      <c r="I11" s="965"/>
      <c r="J11" s="968" t="s">
        <v>676</v>
      </c>
      <c r="K11" s="967" t="s">
        <v>677</v>
      </c>
      <c r="L11" s="965"/>
      <c r="M11" s="968" t="s">
        <v>676</v>
      </c>
      <c r="N11" s="969" t="s">
        <v>677</v>
      </c>
      <c r="O11" s="965"/>
    </row>
    <row r="12" spans="1:15" ht="13.5" thickBot="1">
      <c r="A12" s="970"/>
      <c r="B12" s="971"/>
      <c r="C12" s="972"/>
      <c r="D12" s="973" t="s">
        <v>678</v>
      </c>
      <c r="E12" s="974" t="s">
        <v>678</v>
      </c>
      <c r="F12" s="972" t="s">
        <v>531</v>
      </c>
      <c r="G12" s="975" t="s">
        <v>678</v>
      </c>
      <c r="H12" s="974" t="s">
        <v>678</v>
      </c>
      <c r="I12" s="972" t="s">
        <v>531</v>
      </c>
      <c r="J12" s="975" t="s">
        <v>678</v>
      </c>
      <c r="K12" s="974" t="s">
        <v>678</v>
      </c>
      <c r="L12" s="972" t="s">
        <v>531</v>
      </c>
      <c r="M12" s="975" t="s">
        <v>678</v>
      </c>
      <c r="N12" s="974" t="s">
        <v>678</v>
      </c>
      <c r="O12" s="972" t="s">
        <v>531</v>
      </c>
    </row>
    <row r="13" spans="1:15" ht="13.5" thickBot="1">
      <c r="A13" s="970"/>
      <c r="B13" s="976"/>
      <c r="C13" s="977"/>
      <c r="D13" s="971">
        <v>1</v>
      </c>
      <c r="E13" s="969">
        <v>2</v>
      </c>
      <c r="F13" s="965">
        <v>3</v>
      </c>
      <c r="G13" s="975">
        <v>4</v>
      </c>
      <c r="H13" s="978">
        <v>5</v>
      </c>
      <c r="I13" s="972">
        <v>6</v>
      </c>
      <c r="J13" s="975">
        <v>7</v>
      </c>
      <c r="K13" s="978">
        <v>8</v>
      </c>
      <c r="L13" s="972">
        <v>9</v>
      </c>
      <c r="M13" s="975">
        <v>10</v>
      </c>
      <c r="N13" s="974">
        <v>11</v>
      </c>
      <c r="O13" s="972">
        <v>12</v>
      </c>
    </row>
    <row r="14" spans="1:15" ht="15" customHeight="1">
      <c r="A14" s="979" t="s">
        <v>679</v>
      </c>
      <c r="B14" s="980" t="s">
        <v>680</v>
      </c>
      <c r="C14" s="981"/>
      <c r="D14" s="982">
        <f>SUM(D15:D17)</f>
        <v>93056</v>
      </c>
      <c r="E14" s="983">
        <f>SUM(E15:E17)</f>
        <v>15476</v>
      </c>
      <c r="F14" s="984">
        <f aca="true" t="shared" si="0" ref="F14:F27">D14+E14</f>
        <v>108532</v>
      </c>
      <c r="G14" s="985">
        <f>SUM(G15:G17)</f>
        <v>49839.88</v>
      </c>
      <c r="H14" s="983">
        <f>SUM(H15:H17)</f>
        <v>18488.89</v>
      </c>
      <c r="I14" s="984">
        <f aca="true" t="shared" si="1" ref="I14:I27">G14+H14</f>
        <v>68328.77</v>
      </c>
      <c r="J14" s="985">
        <f>SUM(J15:J17)</f>
        <v>0</v>
      </c>
      <c r="K14" s="983">
        <f>SUM(K15:K17)</f>
        <v>0</v>
      </c>
      <c r="L14" s="984">
        <f aca="true" t="shared" si="2" ref="L14:L27">J14+K14</f>
        <v>0</v>
      </c>
      <c r="M14" s="985">
        <f>SUM(M15:M17)</f>
        <v>10774.38</v>
      </c>
      <c r="N14" s="983">
        <f>SUM(N15:N17)</f>
        <v>8645.88</v>
      </c>
      <c r="O14" s="986">
        <f aca="true" t="shared" si="3" ref="O14:O27">M14+N14</f>
        <v>19420.26</v>
      </c>
    </row>
    <row r="15" spans="1:15" ht="15" customHeight="1">
      <c r="A15" s="979" t="s">
        <v>681</v>
      </c>
      <c r="B15" s="987" t="s">
        <v>682</v>
      </c>
      <c r="C15" s="981" t="s">
        <v>683</v>
      </c>
      <c r="D15" s="988">
        <f>40844+3719+500+9479+21790+4694</f>
        <v>81026</v>
      </c>
      <c r="E15" s="989">
        <v>15476</v>
      </c>
      <c r="F15" s="990">
        <f t="shared" si="0"/>
        <v>96502</v>
      </c>
      <c r="G15" s="988">
        <f>6143.93413+27093.28541+4590.09073</f>
        <v>37827.31</v>
      </c>
      <c r="H15" s="989">
        <f>13475.90813+5012.9786</f>
        <v>18488.89</v>
      </c>
      <c r="I15" s="990">
        <f t="shared" si="1"/>
        <v>56316.2</v>
      </c>
      <c r="J15" s="988"/>
      <c r="K15" s="989"/>
      <c r="L15" s="990">
        <f t="shared" si="2"/>
        <v>0</v>
      </c>
      <c r="M15" s="988">
        <f>1928.37844+8821.27771+7.13646</f>
        <v>10756.79</v>
      </c>
      <c r="N15" s="989">
        <f>4802.43515+3843.4452</f>
        <v>8645.88</v>
      </c>
      <c r="O15" s="990">
        <f t="shared" si="3"/>
        <v>19402.67</v>
      </c>
    </row>
    <row r="16" spans="1:15" ht="15" customHeight="1">
      <c r="A16" s="991" t="s">
        <v>684</v>
      </c>
      <c r="B16" s="987"/>
      <c r="C16" s="981" t="s">
        <v>685</v>
      </c>
      <c r="D16" s="992"/>
      <c r="E16" s="993"/>
      <c r="F16" s="986">
        <f t="shared" si="0"/>
        <v>0</v>
      </c>
      <c r="G16" s="992"/>
      <c r="H16" s="993"/>
      <c r="I16" s="986">
        <f t="shared" si="1"/>
        <v>0</v>
      </c>
      <c r="J16" s="992"/>
      <c r="K16" s="993"/>
      <c r="L16" s="986">
        <f t="shared" si="2"/>
        <v>0</v>
      </c>
      <c r="M16" s="992"/>
      <c r="N16" s="993"/>
      <c r="O16" s="986">
        <f t="shared" si="3"/>
        <v>0</v>
      </c>
    </row>
    <row r="17" spans="1:15" ht="15" customHeight="1" thickBot="1">
      <c r="A17" s="994" t="s">
        <v>686</v>
      </c>
      <c r="B17" s="995"/>
      <c r="C17" s="996" t="s">
        <v>687</v>
      </c>
      <c r="D17" s="997">
        <v>12030</v>
      </c>
      <c r="E17" s="998"/>
      <c r="F17" s="999">
        <f t="shared" si="0"/>
        <v>12030</v>
      </c>
      <c r="G17" s="997">
        <f>11994.97251+17.594</f>
        <v>12012.57</v>
      </c>
      <c r="H17" s="998"/>
      <c r="I17" s="999">
        <f t="shared" si="1"/>
        <v>12012.57</v>
      </c>
      <c r="J17" s="997"/>
      <c r="K17" s="998"/>
      <c r="L17" s="999">
        <f t="shared" si="2"/>
        <v>0</v>
      </c>
      <c r="M17" s="997">
        <f>17.594</f>
        <v>17.59</v>
      </c>
      <c r="N17" s="998"/>
      <c r="O17" s="999">
        <f t="shared" si="3"/>
        <v>17.59</v>
      </c>
    </row>
    <row r="18" spans="1:15" ht="15" customHeight="1">
      <c r="A18" s="979" t="s">
        <v>688</v>
      </c>
      <c r="B18" s="980" t="s">
        <v>689</v>
      </c>
      <c r="C18" s="981"/>
      <c r="D18" s="982">
        <f>SUM(D19:D20)</f>
        <v>0</v>
      </c>
      <c r="E18" s="983">
        <f>SUM(E19:E20)</f>
        <v>0</v>
      </c>
      <c r="F18" s="984">
        <f t="shared" si="0"/>
        <v>0</v>
      </c>
      <c r="G18" s="985">
        <f>SUM(G19:G20)</f>
        <v>0</v>
      </c>
      <c r="H18" s="983">
        <f>SUM(H19:H20)</f>
        <v>0</v>
      </c>
      <c r="I18" s="984">
        <f t="shared" si="1"/>
        <v>0</v>
      </c>
      <c r="J18" s="985">
        <f>SUM(J19:J20)</f>
        <v>0</v>
      </c>
      <c r="K18" s="983">
        <f>SUM(K19:K20)</f>
        <v>0</v>
      </c>
      <c r="L18" s="984">
        <f t="shared" si="2"/>
        <v>0</v>
      </c>
      <c r="M18" s="985">
        <f>SUM(M19:M20)</f>
        <v>0</v>
      </c>
      <c r="N18" s="983">
        <f>SUM(N19:N20)</f>
        <v>0</v>
      </c>
      <c r="O18" s="986">
        <f t="shared" si="3"/>
        <v>0</v>
      </c>
    </row>
    <row r="19" spans="1:15" ht="15" customHeight="1">
      <c r="A19" s="979" t="s">
        <v>690</v>
      </c>
      <c r="B19" s="987" t="s">
        <v>682</v>
      </c>
      <c r="C19" s="981" t="s">
        <v>691</v>
      </c>
      <c r="D19" s="988"/>
      <c r="E19" s="989"/>
      <c r="F19" s="990">
        <f t="shared" si="0"/>
        <v>0</v>
      </c>
      <c r="G19" s="988"/>
      <c r="H19" s="989"/>
      <c r="I19" s="990">
        <f t="shared" si="1"/>
        <v>0</v>
      </c>
      <c r="J19" s="988"/>
      <c r="K19" s="989"/>
      <c r="L19" s="990">
        <f t="shared" si="2"/>
        <v>0</v>
      </c>
      <c r="M19" s="988"/>
      <c r="N19" s="989"/>
      <c r="O19" s="990">
        <f t="shared" si="3"/>
        <v>0</v>
      </c>
    </row>
    <row r="20" spans="1:15" ht="15" customHeight="1" thickBot="1">
      <c r="A20" s="1000" t="s">
        <v>692</v>
      </c>
      <c r="B20" s="987"/>
      <c r="C20" s="996" t="s">
        <v>685</v>
      </c>
      <c r="D20" s="992"/>
      <c r="E20" s="993"/>
      <c r="F20" s="986">
        <f t="shared" si="0"/>
        <v>0</v>
      </c>
      <c r="G20" s="992"/>
      <c r="H20" s="993"/>
      <c r="I20" s="986">
        <f t="shared" si="1"/>
        <v>0</v>
      </c>
      <c r="J20" s="992"/>
      <c r="K20" s="993"/>
      <c r="L20" s="986">
        <f t="shared" si="2"/>
        <v>0</v>
      </c>
      <c r="M20" s="992"/>
      <c r="N20" s="993"/>
      <c r="O20" s="986">
        <f t="shared" si="3"/>
        <v>0</v>
      </c>
    </row>
    <row r="21" spans="1:15" ht="15" customHeight="1" thickBot="1">
      <c r="A21" s="1001" t="s">
        <v>693</v>
      </c>
      <c r="B21" s="1002" t="s">
        <v>694</v>
      </c>
      <c r="C21" s="1003"/>
      <c r="D21" s="1004">
        <f>8360+137154</f>
        <v>145514</v>
      </c>
      <c r="E21" s="1005"/>
      <c r="F21" s="1006">
        <f t="shared" si="0"/>
        <v>145514</v>
      </c>
      <c r="G21" s="1005">
        <f>136038.743+117.88387+4748+8050</f>
        <v>148954.63</v>
      </c>
      <c r="H21" s="1007"/>
      <c r="I21" s="1006">
        <f t="shared" si="1"/>
        <v>148954.63</v>
      </c>
      <c r="J21" s="1005"/>
      <c r="K21" s="1007"/>
      <c r="L21" s="1006">
        <f t="shared" si="2"/>
        <v>0</v>
      </c>
      <c r="M21" s="1005">
        <f>117.88387+8050</f>
        <v>8167.88</v>
      </c>
      <c r="N21" s="1007"/>
      <c r="O21" s="1006">
        <f t="shared" si="3"/>
        <v>8167.88</v>
      </c>
    </row>
    <row r="22" spans="1:15" ht="15" customHeight="1" thickBot="1">
      <c r="A22" s="949" t="s">
        <v>695</v>
      </c>
      <c r="B22" s="1002" t="s">
        <v>696</v>
      </c>
      <c r="C22" s="1008"/>
      <c r="D22" s="1009">
        <f>105367+31684</f>
        <v>137051</v>
      </c>
      <c r="E22" s="1010"/>
      <c r="F22" s="1011">
        <f t="shared" si="0"/>
        <v>137051</v>
      </c>
      <c r="G22" s="1012">
        <f>14946+103559+717.743+17046.835</f>
        <v>136269.58</v>
      </c>
      <c r="H22" s="1010"/>
      <c r="I22" s="1011">
        <f t="shared" si="1"/>
        <v>136269.58</v>
      </c>
      <c r="J22" s="1012"/>
      <c r="K22" s="1010"/>
      <c r="L22" s="1011">
        <f t="shared" si="2"/>
        <v>0</v>
      </c>
      <c r="M22" s="1012">
        <f>717.743+17046.835</f>
        <v>17764.58</v>
      </c>
      <c r="N22" s="1010"/>
      <c r="O22" s="1011">
        <f t="shared" si="3"/>
        <v>17764.58</v>
      </c>
    </row>
    <row r="23" spans="1:15" ht="15" customHeight="1">
      <c r="A23" s="1013" t="s">
        <v>697</v>
      </c>
      <c r="B23" s="1014" t="s">
        <v>698</v>
      </c>
      <c r="C23" s="981"/>
      <c r="D23" s="1015">
        <f>SUM(D24:D25)</f>
        <v>167514</v>
      </c>
      <c r="E23" s="983">
        <f>SUM(E24:E25)</f>
        <v>0</v>
      </c>
      <c r="F23" s="984">
        <f t="shared" si="0"/>
        <v>167514</v>
      </c>
      <c r="G23" s="1016">
        <f>SUM(G24:G25)</f>
        <v>184378.26</v>
      </c>
      <c r="H23" s="983">
        <f>SUM(H24:H25)</f>
        <v>0</v>
      </c>
      <c r="I23" s="984">
        <f t="shared" si="1"/>
        <v>184378.26</v>
      </c>
      <c r="J23" s="1016">
        <f>SUM(J24:J25)</f>
        <v>0</v>
      </c>
      <c r="K23" s="983">
        <f>SUM(K24:K25)</f>
        <v>0</v>
      </c>
      <c r="L23" s="984">
        <f t="shared" si="2"/>
        <v>0</v>
      </c>
      <c r="M23" s="1016">
        <f>SUM(M24:M25)</f>
        <v>32364.25</v>
      </c>
      <c r="N23" s="983">
        <f>SUM(N24:N25)</f>
        <v>0</v>
      </c>
      <c r="O23" s="984">
        <f t="shared" si="3"/>
        <v>32364.25</v>
      </c>
    </row>
    <row r="24" spans="1:15" ht="15" customHeight="1">
      <c r="A24" s="1017" t="s">
        <v>699</v>
      </c>
      <c r="B24" s="1375" t="s">
        <v>700</v>
      </c>
      <c r="C24" s="1376"/>
      <c r="D24" s="988">
        <f>140593+16245</f>
        <v>156838</v>
      </c>
      <c r="E24" s="989"/>
      <c r="F24" s="1018">
        <f t="shared" si="0"/>
        <v>156838</v>
      </c>
      <c r="G24" s="1019">
        <f>17006+9856+15358.25+131482.0059</f>
        <v>173702.26</v>
      </c>
      <c r="H24" s="989"/>
      <c r="I24" s="1018">
        <f t="shared" si="1"/>
        <v>173702.26</v>
      </c>
      <c r="J24" s="1019"/>
      <c r="K24" s="989"/>
      <c r="L24" s="1018">
        <f t="shared" si="2"/>
        <v>0</v>
      </c>
      <c r="M24" s="1019">
        <f>17006+15358.25</f>
        <v>32364.25</v>
      </c>
      <c r="N24" s="989"/>
      <c r="O24" s="1018">
        <f t="shared" si="3"/>
        <v>32364.25</v>
      </c>
    </row>
    <row r="25" spans="1:15" ht="15" customHeight="1" thickBot="1">
      <c r="A25" s="1020" t="s">
        <v>701</v>
      </c>
      <c r="B25" s="1377" t="s">
        <v>702</v>
      </c>
      <c r="C25" s="1378"/>
      <c r="D25" s="997">
        <v>10676</v>
      </c>
      <c r="E25" s="998"/>
      <c r="F25" s="999">
        <f t="shared" si="0"/>
        <v>10676</v>
      </c>
      <c r="G25" s="1021">
        <f>10676</f>
        <v>10676</v>
      </c>
      <c r="H25" s="998"/>
      <c r="I25" s="999">
        <f t="shared" si="1"/>
        <v>10676</v>
      </c>
      <c r="J25" s="1021"/>
      <c r="K25" s="998"/>
      <c r="L25" s="999">
        <f t="shared" si="2"/>
        <v>0</v>
      </c>
      <c r="M25" s="1021"/>
      <c r="N25" s="998"/>
      <c r="O25" s="999">
        <f t="shared" si="3"/>
        <v>0</v>
      </c>
    </row>
    <row r="26" spans="1:15" ht="15" customHeight="1" thickBot="1">
      <c r="A26" s="1020" t="s">
        <v>703</v>
      </c>
      <c r="B26" s="1379" t="s">
        <v>704</v>
      </c>
      <c r="C26" s="1380"/>
      <c r="D26" s="997"/>
      <c r="E26" s="998"/>
      <c r="F26" s="999">
        <f t="shared" si="0"/>
        <v>0</v>
      </c>
      <c r="G26" s="1021"/>
      <c r="H26" s="998"/>
      <c r="I26" s="999">
        <f t="shared" si="1"/>
        <v>0</v>
      </c>
      <c r="J26" s="1021"/>
      <c r="K26" s="998"/>
      <c r="L26" s="999">
        <f t="shared" si="2"/>
        <v>0</v>
      </c>
      <c r="M26" s="1021"/>
      <c r="N26" s="998"/>
      <c r="O26" s="999">
        <f t="shared" si="3"/>
        <v>0</v>
      </c>
    </row>
    <row r="27" spans="1:15" ht="18.75" customHeight="1">
      <c r="A27" s="1022" t="s">
        <v>705</v>
      </c>
      <c r="B27" s="1381" t="s">
        <v>706</v>
      </c>
      <c r="C27" s="1382"/>
      <c r="D27" s="1108">
        <f>D14+D18+D21+D22+D23+D26</f>
        <v>543135</v>
      </c>
      <c r="E27" s="1109">
        <f>E14+E18+E21+E22+E23+E26</f>
        <v>15476</v>
      </c>
      <c r="F27" s="1110">
        <f t="shared" si="0"/>
        <v>558611</v>
      </c>
      <c r="G27" s="1023">
        <f>G14+G18+G21+G22+G23+G26</f>
        <v>519442.35</v>
      </c>
      <c r="H27" s="1024">
        <f>H14+H18+H21+H22+H23+H26</f>
        <v>18488.89</v>
      </c>
      <c r="I27" s="1011">
        <f t="shared" si="1"/>
        <v>537931.24</v>
      </c>
      <c r="J27" s="1025">
        <f>J14+J18+J21+J22+J23+J26</f>
        <v>0</v>
      </c>
      <c r="K27" s="1024">
        <f>K14+K18+K21+K22+K23+K26</f>
        <v>0</v>
      </c>
      <c r="L27" s="1011">
        <f t="shared" si="2"/>
        <v>0</v>
      </c>
      <c r="M27" s="1025">
        <f>M14+M18+M21+M22+M23+M26</f>
        <v>69071.09</v>
      </c>
      <c r="N27" s="1024">
        <f>N14+N18+N21+N22+N23+N26</f>
        <v>8645.88</v>
      </c>
      <c r="O27" s="1011">
        <f t="shared" si="3"/>
        <v>77716.97</v>
      </c>
    </row>
    <row r="28" spans="1:15" ht="17.25" customHeight="1">
      <c r="A28" s="1026"/>
      <c r="B28" s="1111" t="s">
        <v>580</v>
      </c>
      <c r="C28" s="1112" t="s">
        <v>707</v>
      </c>
      <c r="D28" s="1027">
        <f>951+447+151+1086</f>
        <v>2635</v>
      </c>
      <c r="E28" s="1113" t="s">
        <v>708</v>
      </c>
      <c r="F28" s="1114" t="s">
        <v>708</v>
      </c>
      <c r="G28" s="1027">
        <f>629.778+356.6+447+151+631.167+403.7</f>
        <v>2619.25</v>
      </c>
      <c r="H28" s="1113" t="s">
        <v>708</v>
      </c>
      <c r="I28" s="1114" t="s">
        <v>708</v>
      </c>
      <c r="J28" s="1028"/>
      <c r="K28" s="1113" t="s">
        <v>708</v>
      </c>
      <c r="L28" s="1114" t="s">
        <v>708</v>
      </c>
      <c r="M28" s="1029">
        <f>403.7+356.6</f>
        <v>760.3</v>
      </c>
      <c r="N28" s="1113" t="s">
        <v>708</v>
      </c>
      <c r="O28" s="1114" t="s">
        <v>708</v>
      </c>
    </row>
    <row r="29" spans="1:15" ht="12.75">
      <c r="A29" s="1026"/>
      <c r="B29" s="1115"/>
      <c r="C29" s="1116" t="s">
        <v>709</v>
      </c>
      <c r="D29" s="1030">
        <f>1355+1180+876+718</f>
        <v>4129</v>
      </c>
      <c r="E29" s="1117" t="s">
        <v>708</v>
      </c>
      <c r="F29" s="1118" t="s">
        <v>708</v>
      </c>
      <c r="G29" s="1030">
        <f>222.465+487.37+876+1173.6+299.91+1001.58</f>
        <v>4060.93</v>
      </c>
      <c r="H29" s="1117" t="s">
        <v>708</v>
      </c>
      <c r="I29" s="1118" t="s">
        <v>708</v>
      </c>
      <c r="J29" s="1030"/>
      <c r="K29" s="1117" t="s">
        <v>708</v>
      </c>
      <c r="L29" s="1118" t="s">
        <v>708</v>
      </c>
      <c r="M29" s="1030">
        <f>299.91+222.465</f>
        <v>522.38</v>
      </c>
      <c r="N29" s="1117" t="s">
        <v>708</v>
      </c>
      <c r="O29" s="1118" t="s">
        <v>708</v>
      </c>
    </row>
    <row r="30" spans="1:15" ht="12.75">
      <c r="A30" s="1026"/>
      <c r="B30" s="1115"/>
      <c r="C30" s="1116" t="s">
        <v>710</v>
      </c>
      <c r="D30" s="1030">
        <f>323.34+197.54+51.34+369.24</f>
        <v>941.46</v>
      </c>
      <c r="E30" s="1117" t="s">
        <v>708</v>
      </c>
      <c r="F30" s="1118" t="s">
        <v>708</v>
      </c>
      <c r="G30" s="1030">
        <f>214.12369+121.24428+51.34+197.53957+241.84351+178.87095</f>
        <v>1004.96</v>
      </c>
      <c r="H30" s="1117" t="s">
        <v>708</v>
      </c>
      <c r="I30" s="1118" t="s">
        <v>708</v>
      </c>
      <c r="J30" s="1030"/>
      <c r="K30" s="1117" t="s">
        <v>708</v>
      </c>
      <c r="L30" s="1118" t="s">
        <v>708</v>
      </c>
      <c r="M30" s="1030">
        <f>178.87095+121.24428</f>
        <v>300.12</v>
      </c>
      <c r="N30" s="1117" t="s">
        <v>708</v>
      </c>
      <c r="O30" s="1118" t="s">
        <v>708</v>
      </c>
    </row>
    <row r="31" spans="1:15" ht="13.5" thickBot="1">
      <c r="A31" s="1031"/>
      <c r="B31" s="1119"/>
      <c r="C31" s="1119" t="s">
        <v>711</v>
      </c>
      <c r="D31" s="1032">
        <f>9.51+4.47+1.51+10.86</f>
        <v>26.35</v>
      </c>
      <c r="E31" s="1120" t="s">
        <v>708</v>
      </c>
      <c r="F31" s="1121" t="s">
        <v>708</v>
      </c>
      <c r="G31" s="1032">
        <f>4.037+6.312+4.47+1.51+3.566+6.298</f>
        <v>26.19</v>
      </c>
      <c r="H31" s="1120" t="s">
        <v>708</v>
      </c>
      <c r="I31" s="1121" t="s">
        <v>708</v>
      </c>
      <c r="J31" s="1032"/>
      <c r="K31" s="1120" t="s">
        <v>708</v>
      </c>
      <c r="L31" s="1121" t="s">
        <v>708</v>
      </c>
      <c r="M31" s="1032">
        <f>3.566+4.037</f>
        <v>7.6</v>
      </c>
      <c r="N31" s="1120" t="s">
        <v>708</v>
      </c>
      <c r="O31" s="1121" t="s">
        <v>708</v>
      </c>
    </row>
    <row r="32" spans="1:15" ht="12.75">
      <c r="A32" s="1033"/>
      <c r="D32" s="1034"/>
      <c r="E32" s="1035"/>
      <c r="F32" s="1036"/>
      <c r="G32" s="1037"/>
      <c r="H32" s="1036"/>
      <c r="I32" s="1036"/>
      <c r="J32" s="1036"/>
      <c r="K32" s="1036"/>
      <c r="L32" s="1036"/>
      <c r="M32" s="1037"/>
      <c r="N32" s="1036"/>
      <c r="O32" s="1036"/>
    </row>
    <row r="33" spans="1:12" ht="12.75">
      <c r="A33" s="1038" t="s">
        <v>712</v>
      </c>
      <c r="C33" s="964"/>
      <c r="D33" s="1036"/>
      <c r="E33" s="1036"/>
      <c r="F33" s="1036"/>
      <c r="G33" s="1036"/>
      <c r="H33" s="1036"/>
      <c r="I33" s="1036"/>
      <c r="J33" s="1036"/>
      <c r="K33" s="1036"/>
      <c r="L33" s="1036"/>
    </row>
    <row r="34" spans="1:15" ht="12.75">
      <c r="A34" s="1039" t="s">
        <v>713</v>
      </c>
      <c r="B34" s="1040"/>
      <c r="C34" s="1040"/>
      <c r="D34" s="1040"/>
      <c r="E34" s="1040"/>
      <c r="F34" s="1040"/>
      <c r="G34" s="1040"/>
      <c r="H34" s="1040"/>
      <c r="I34" s="1040"/>
      <c r="J34" s="1040"/>
      <c r="K34" s="1040"/>
      <c r="L34" s="1040"/>
      <c r="M34" s="1040"/>
      <c r="N34" s="1040"/>
      <c r="O34" s="1040"/>
    </row>
    <row r="35" spans="1:15" ht="12.75">
      <c r="A35" s="1039" t="s">
        <v>714</v>
      </c>
      <c r="B35" s="1040"/>
      <c r="C35" s="1040"/>
      <c r="D35" s="1040"/>
      <c r="E35" s="1040"/>
      <c r="F35" s="1040"/>
      <c r="G35" s="1040"/>
      <c r="H35" s="1040"/>
      <c r="I35" s="1040"/>
      <c r="J35" s="1040"/>
      <c r="K35" s="1040"/>
      <c r="L35" s="1040"/>
      <c r="M35" s="1040"/>
      <c r="N35" s="1040"/>
      <c r="O35" s="1040"/>
    </row>
    <row r="36" spans="1:15" ht="12.75">
      <c r="A36" s="1039" t="s">
        <v>715</v>
      </c>
      <c r="B36" s="1040"/>
      <c r="C36" s="1040"/>
      <c r="D36" s="1040"/>
      <c r="E36" s="1040"/>
      <c r="F36" s="1040"/>
      <c r="G36" s="1040"/>
      <c r="H36" s="1040"/>
      <c r="I36" s="1040"/>
      <c r="J36" s="1040"/>
      <c r="K36" s="1040"/>
      <c r="L36" s="1040"/>
      <c r="M36" s="1040"/>
      <c r="N36" s="1040"/>
      <c r="O36" s="1040"/>
    </row>
    <row r="37" spans="1:15" ht="12.75">
      <c r="A37" s="1039" t="s">
        <v>716</v>
      </c>
      <c r="B37" s="1040"/>
      <c r="C37" s="1040"/>
      <c r="D37" s="1040"/>
      <c r="E37" s="1040"/>
      <c r="F37" s="1040"/>
      <c r="G37" s="1040"/>
      <c r="H37" s="1040"/>
      <c r="I37" s="1040"/>
      <c r="J37" s="1040"/>
      <c r="K37" s="1040"/>
      <c r="L37" s="1040" t="s">
        <v>383</v>
      </c>
      <c r="M37" s="1040"/>
      <c r="N37" s="1040"/>
      <c r="O37" s="1040"/>
    </row>
    <row r="38" spans="1:15" ht="12.75">
      <c r="A38" s="1383" t="s">
        <v>717</v>
      </c>
      <c r="B38" s="1383"/>
      <c r="C38" s="1383"/>
      <c r="D38" s="1383"/>
      <c r="E38" s="1383"/>
      <c r="F38" s="1383"/>
      <c r="G38" s="1383"/>
      <c r="H38" s="1383"/>
      <c r="I38" s="1383"/>
      <c r="J38" s="1041"/>
      <c r="K38" s="1041"/>
      <c r="L38" s="1041"/>
      <c r="M38" s="1040"/>
      <c r="N38" s="1040"/>
      <c r="O38" s="1040"/>
    </row>
    <row r="39" spans="1:15" ht="12.75">
      <c r="A39" s="942" t="s">
        <v>718</v>
      </c>
      <c r="B39" s="1041"/>
      <c r="C39" s="1041"/>
      <c r="D39" s="1041"/>
      <c r="E39" s="1041"/>
      <c r="F39" s="1041"/>
      <c r="G39" s="1041"/>
      <c r="H39" s="1041"/>
      <c r="I39" s="1041"/>
      <c r="J39" s="1041"/>
      <c r="K39" s="1041"/>
      <c r="L39" s="1041"/>
      <c r="M39" s="1040"/>
      <c r="N39" s="1040"/>
      <c r="O39" s="1040"/>
    </row>
    <row r="40" spans="1:15" ht="12.75">
      <c r="A40" s="942" t="s">
        <v>719</v>
      </c>
      <c r="B40" s="1041"/>
      <c r="C40" s="1041"/>
      <c r="D40" s="1041"/>
      <c r="E40" s="1041"/>
      <c r="F40" s="1041"/>
      <c r="G40" s="1041"/>
      <c r="H40" s="1041"/>
      <c r="I40" s="1041"/>
      <c r="J40" s="1041"/>
      <c r="K40" s="1041"/>
      <c r="L40" s="1041"/>
      <c r="M40" s="1040"/>
      <c r="N40" s="1040"/>
      <c r="O40" s="1040"/>
    </row>
    <row r="41" spans="1:15" ht="12.75">
      <c r="A41" s="942" t="s">
        <v>720</v>
      </c>
      <c r="B41" s="1041"/>
      <c r="C41" s="1041"/>
      <c r="D41" s="1041"/>
      <c r="E41" s="1041"/>
      <c r="F41" s="1041"/>
      <c r="G41" s="1041"/>
      <c r="H41" s="1041"/>
      <c r="I41" s="1041"/>
      <c r="J41" s="1041"/>
      <c r="K41" s="1041"/>
      <c r="L41" s="1041"/>
      <c r="M41" s="1040"/>
      <c r="N41" s="1040"/>
      <c r="O41" s="1040"/>
    </row>
    <row r="42" spans="1:15" ht="12.75">
      <c r="A42" s="942"/>
      <c r="B42" s="1041"/>
      <c r="C42" s="1041"/>
      <c r="D42" s="1041"/>
      <c r="E42" s="1041"/>
      <c r="F42" s="1041"/>
      <c r="G42" s="1041"/>
      <c r="H42" s="1041"/>
      <c r="I42" s="1041"/>
      <c r="J42" s="1041"/>
      <c r="K42" s="1041"/>
      <c r="L42" s="1041"/>
      <c r="M42" s="1040"/>
      <c r="N42" s="1040"/>
      <c r="O42" s="1040"/>
    </row>
    <row r="43" spans="1:15" ht="15">
      <c r="A43" s="942"/>
      <c r="B43" s="1041"/>
      <c r="C43" s="1041"/>
      <c r="D43" s="1041"/>
      <c r="E43" s="1041"/>
      <c r="F43" s="1041"/>
      <c r="G43" s="1041"/>
      <c r="H43" s="1041"/>
      <c r="I43" s="1041"/>
      <c r="J43" s="1041"/>
      <c r="K43" s="1041"/>
      <c r="L43" s="1041"/>
      <c r="M43" s="1040"/>
      <c r="N43" s="1040"/>
      <c r="O43" s="1123" t="s">
        <v>721</v>
      </c>
    </row>
    <row r="44" spans="1:12" ht="20.25" customHeight="1">
      <c r="A44" s="946" t="s">
        <v>722</v>
      </c>
      <c r="B44" s="947"/>
      <c r="C44" s="947"/>
      <c r="D44" s="947"/>
      <c r="E44" s="947"/>
      <c r="F44" s="947"/>
      <c r="G44" s="947"/>
      <c r="H44" s="947"/>
      <c r="I44" s="947"/>
      <c r="J44" s="947"/>
      <c r="K44" s="947"/>
      <c r="L44" s="947"/>
    </row>
    <row r="45" ht="13.5" thickBot="1">
      <c r="O45" s="948" t="s">
        <v>567</v>
      </c>
    </row>
    <row r="46" spans="1:15" ht="12.75">
      <c r="A46" s="949"/>
      <c r="B46" s="950"/>
      <c r="C46" s="951"/>
      <c r="D46" s="954" t="s">
        <v>168</v>
      </c>
      <c r="E46" s="954"/>
      <c r="F46" s="955"/>
      <c r="G46" s="954" t="s">
        <v>133</v>
      </c>
      <c r="H46" s="954"/>
      <c r="I46" s="955"/>
      <c r="J46" s="1363" t="s">
        <v>668</v>
      </c>
      <c r="K46" s="1364"/>
      <c r="L46" s="1365"/>
      <c r="M46" s="1366" t="s">
        <v>669</v>
      </c>
      <c r="N46" s="1367"/>
      <c r="O46" s="1368"/>
    </row>
    <row r="47" spans="1:15" ht="12.75">
      <c r="A47" s="956" t="s">
        <v>670</v>
      </c>
      <c r="B47" s="957" t="s">
        <v>671</v>
      </c>
      <c r="C47" s="958"/>
      <c r="D47" s="959" t="s">
        <v>672</v>
      </c>
      <c r="E47" s="959"/>
      <c r="F47" s="960"/>
      <c r="G47" s="961" t="s">
        <v>673</v>
      </c>
      <c r="H47" s="961"/>
      <c r="I47" s="962"/>
      <c r="J47" s="1369" t="s">
        <v>674</v>
      </c>
      <c r="K47" s="1370"/>
      <c r="L47" s="1371"/>
      <c r="M47" s="1372" t="s">
        <v>675</v>
      </c>
      <c r="N47" s="1373"/>
      <c r="O47" s="1374"/>
    </row>
    <row r="48" spans="1:15" ht="12.75">
      <c r="A48" s="963"/>
      <c r="B48" s="964"/>
      <c r="C48" s="965"/>
      <c r="D48" s="968" t="s">
        <v>676</v>
      </c>
      <c r="E48" s="967" t="s">
        <v>677</v>
      </c>
      <c r="F48" s="965"/>
      <c r="G48" s="968" t="s">
        <v>676</v>
      </c>
      <c r="H48" s="967" t="s">
        <v>677</v>
      </c>
      <c r="I48" s="965"/>
      <c r="J48" s="968" t="s">
        <v>676</v>
      </c>
      <c r="K48" s="967" t="s">
        <v>677</v>
      </c>
      <c r="L48" s="965"/>
      <c r="M48" s="968" t="s">
        <v>676</v>
      </c>
      <c r="N48" s="969" t="s">
        <v>677</v>
      </c>
      <c r="O48" s="965"/>
    </row>
    <row r="49" spans="1:15" ht="13.5" thickBot="1">
      <c r="A49" s="970"/>
      <c r="B49" s="971"/>
      <c r="C49" s="972"/>
      <c r="D49" s="975" t="s">
        <v>678</v>
      </c>
      <c r="E49" s="974" t="s">
        <v>678</v>
      </c>
      <c r="F49" s="972" t="s">
        <v>531</v>
      </c>
      <c r="G49" s="975" t="s">
        <v>678</v>
      </c>
      <c r="H49" s="974" t="s">
        <v>678</v>
      </c>
      <c r="I49" s="972" t="s">
        <v>531</v>
      </c>
      <c r="J49" s="975" t="s">
        <v>678</v>
      </c>
      <c r="K49" s="974" t="s">
        <v>678</v>
      </c>
      <c r="L49" s="972" t="s">
        <v>531</v>
      </c>
      <c r="M49" s="975" t="s">
        <v>678</v>
      </c>
      <c r="N49" s="974" t="s">
        <v>678</v>
      </c>
      <c r="O49" s="972" t="s">
        <v>531</v>
      </c>
    </row>
    <row r="50" spans="1:15" ht="13.5" thickBot="1">
      <c r="A50" s="970"/>
      <c r="B50" s="976"/>
      <c r="C50" s="977"/>
      <c r="D50" s="975">
        <v>1</v>
      </c>
      <c r="E50" s="978">
        <v>2</v>
      </c>
      <c r="F50" s="972">
        <v>3</v>
      </c>
      <c r="G50" s="975">
        <v>4</v>
      </c>
      <c r="H50" s="978">
        <v>5</v>
      </c>
      <c r="I50" s="972">
        <v>6</v>
      </c>
      <c r="J50" s="975">
        <v>7</v>
      </c>
      <c r="K50" s="974">
        <v>8</v>
      </c>
      <c r="L50" s="972">
        <f aca="true" t="shared" si="4" ref="L50:L59">J50+K50</f>
        <v>15</v>
      </c>
      <c r="M50" s="975">
        <v>10</v>
      </c>
      <c r="N50" s="974">
        <v>11</v>
      </c>
      <c r="O50" s="972">
        <f aca="true" t="shared" si="5" ref="O50:O59">M50+N50</f>
        <v>21</v>
      </c>
    </row>
    <row r="51" spans="1:15" ht="15" customHeight="1">
      <c r="A51" s="991" t="s">
        <v>679</v>
      </c>
      <c r="B51" s="1042" t="s">
        <v>723</v>
      </c>
      <c r="C51" s="1043"/>
      <c r="D51" s="1044">
        <f>2789+6675+3486</f>
        <v>12950</v>
      </c>
      <c r="E51" s="993">
        <f>1220+9378+1970</f>
        <v>12568</v>
      </c>
      <c r="F51" s="986">
        <f aca="true" t="shared" si="6" ref="F51:F59">D51+E51</f>
        <v>25518</v>
      </c>
      <c r="G51" s="1044">
        <f>2469.82384+6609.87546+3163.11596</f>
        <v>12242.82</v>
      </c>
      <c r="H51" s="993">
        <f>1229.70097+5878.9222+1960.1645</f>
        <v>9068.79</v>
      </c>
      <c r="I51" s="986">
        <f aca="true" t="shared" si="7" ref="I51:I59">G51+H51</f>
        <v>21311.61</v>
      </c>
      <c r="J51" s="1044"/>
      <c r="K51" s="993"/>
      <c r="L51" s="986">
        <f t="shared" si="4"/>
        <v>0</v>
      </c>
      <c r="M51" s="1044">
        <f>267.65531+483.10613</f>
        <v>750.76</v>
      </c>
      <c r="N51" s="993">
        <f>58.55971+159.68</f>
        <v>218.24</v>
      </c>
      <c r="O51" s="986">
        <f t="shared" si="5"/>
        <v>969</v>
      </c>
    </row>
    <row r="52" spans="1:15" ht="15" customHeight="1">
      <c r="A52" s="991" t="s">
        <v>688</v>
      </c>
      <c r="B52" s="1045" t="s">
        <v>724</v>
      </c>
      <c r="C52" s="1046"/>
      <c r="D52" s="1047"/>
      <c r="E52" s="1048"/>
      <c r="F52" s="990">
        <f t="shared" si="6"/>
        <v>0</v>
      </c>
      <c r="G52" s="1047"/>
      <c r="H52" s="1048"/>
      <c r="I52" s="990">
        <f t="shared" si="7"/>
        <v>0</v>
      </c>
      <c r="J52" s="1047"/>
      <c r="K52" s="1048"/>
      <c r="L52" s="990">
        <f t="shared" si="4"/>
        <v>0</v>
      </c>
      <c r="M52" s="1047"/>
      <c r="N52" s="1048"/>
      <c r="O52" s="990">
        <f t="shared" si="5"/>
        <v>0</v>
      </c>
    </row>
    <row r="53" spans="1:15" ht="15" customHeight="1">
      <c r="A53" s="1000" t="s">
        <v>693</v>
      </c>
      <c r="B53" s="1049" t="s">
        <v>725</v>
      </c>
      <c r="C53" s="1050"/>
      <c r="D53" s="1044"/>
      <c r="E53" s="993"/>
      <c r="F53" s="986">
        <f t="shared" si="6"/>
        <v>0</v>
      </c>
      <c r="G53" s="1044"/>
      <c r="H53" s="993"/>
      <c r="I53" s="986">
        <f t="shared" si="7"/>
        <v>0</v>
      </c>
      <c r="J53" s="1044"/>
      <c r="K53" s="993"/>
      <c r="L53" s="986">
        <f t="shared" si="4"/>
        <v>0</v>
      </c>
      <c r="M53" s="1044"/>
      <c r="N53" s="993"/>
      <c r="O53" s="986">
        <f t="shared" si="5"/>
        <v>0</v>
      </c>
    </row>
    <row r="54" spans="1:15" ht="15" customHeight="1">
      <c r="A54" s="1000" t="s">
        <v>695</v>
      </c>
      <c r="B54" s="1051" t="s">
        <v>726</v>
      </c>
      <c r="C54" s="1050"/>
      <c r="D54" s="1044">
        <v>6677</v>
      </c>
      <c r="E54" s="993">
        <v>1300</v>
      </c>
      <c r="F54" s="986">
        <f t="shared" si="6"/>
        <v>7977</v>
      </c>
      <c r="G54" s="1044">
        <v>4691.49125</v>
      </c>
      <c r="H54" s="993">
        <v>2094.66</v>
      </c>
      <c r="I54" s="986">
        <f t="shared" si="7"/>
        <v>6786.15</v>
      </c>
      <c r="J54" s="1044"/>
      <c r="K54" s="993"/>
      <c r="L54" s="986">
        <f t="shared" si="4"/>
        <v>0</v>
      </c>
      <c r="M54" s="1044">
        <v>1180.99674</v>
      </c>
      <c r="N54" s="993">
        <v>1288.40169</v>
      </c>
      <c r="O54" s="986">
        <f t="shared" si="5"/>
        <v>2469.4</v>
      </c>
    </row>
    <row r="55" spans="1:15" ht="15" customHeight="1">
      <c r="A55" s="1000" t="s">
        <v>697</v>
      </c>
      <c r="B55" s="1051" t="s">
        <v>696</v>
      </c>
      <c r="C55" s="1050"/>
      <c r="D55" s="1044">
        <v>14632</v>
      </c>
      <c r="E55" s="993"/>
      <c r="F55" s="986">
        <f t="shared" si="6"/>
        <v>14632</v>
      </c>
      <c r="G55" s="1044">
        <v>14632</v>
      </c>
      <c r="H55" s="993"/>
      <c r="I55" s="986">
        <f t="shared" si="7"/>
        <v>14632</v>
      </c>
      <c r="J55" s="1044"/>
      <c r="K55" s="993"/>
      <c r="L55" s="986">
        <f t="shared" si="4"/>
        <v>0</v>
      </c>
      <c r="M55" s="1044"/>
      <c r="N55" s="993"/>
      <c r="O55" s="986">
        <f t="shared" si="5"/>
        <v>0</v>
      </c>
    </row>
    <row r="56" spans="1:15" ht="15" customHeight="1">
      <c r="A56" s="1000" t="s">
        <v>703</v>
      </c>
      <c r="B56" s="1051" t="s">
        <v>727</v>
      </c>
      <c r="C56" s="1050"/>
      <c r="D56" s="1044"/>
      <c r="E56" s="993"/>
      <c r="F56" s="986">
        <f t="shared" si="6"/>
        <v>0</v>
      </c>
      <c r="G56" s="1044"/>
      <c r="H56" s="993"/>
      <c r="I56" s="986">
        <f t="shared" si="7"/>
        <v>0</v>
      </c>
      <c r="J56" s="1044"/>
      <c r="K56" s="993"/>
      <c r="L56" s="986">
        <f t="shared" si="4"/>
        <v>0</v>
      </c>
      <c r="M56" s="1044"/>
      <c r="N56" s="993"/>
      <c r="O56" s="986">
        <f t="shared" si="5"/>
        <v>0</v>
      </c>
    </row>
    <row r="57" spans="1:15" ht="15" customHeight="1">
      <c r="A57" s="1000" t="s">
        <v>705</v>
      </c>
      <c r="B57" s="1051" t="s">
        <v>728</v>
      </c>
      <c r="C57" s="1050"/>
      <c r="D57" s="1044"/>
      <c r="E57" s="993"/>
      <c r="F57" s="986">
        <f t="shared" si="6"/>
        <v>0</v>
      </c>
      <c r="G57" s="1044"/>
      <c r="H57" s="993"/>
      <c r="I57" s="986">
        <f t="shared" si="7"/>
        <v>0</v>
      </c>
      <c r="J57" s="1044"/>
      <c r="K57" s="993"/>
      <c r="L57" s="986">
        <f t="shared" si="4"/>
        <v>0</v>
      </c>
      <c r="M57" s="1044"/>
      <c r="N57" s="993"/>
      <c r="O57" s="986">
        <f t="shared" si="5"/>
        <v>0</v>
      </c>
    </row>
    <row r="58" spans="1:15" ht="15" customHeight="1" thickBot="1">
      <c r="A58" s="1000" t="s">
        <v>729</v>
      </c>
      <c r="B58" s="1051" t="s">
        <v>704</v>
      </c>
      <c r="C58" s="1050"/>
      <c r="D58" s="1044">
        <f>4115+16</f>
        <v>4131</v>
      </c>
      <c r="E58" s="993"/>
      <c r="F58" s="986">
        <f t="shared" si="6"/>
        <v>4131</v>
      </c>
      <c r="G58" s="1044">
        <f>0.7602+15.559+633.2238</f>
        <v>649.54</v>
      </c>
      <c r="H58" s="993"/>
      <c r="I58" s="986">
        <f t="shared" si="7"/>
        <v>649.54</v>
      </c>
      <c r="J58" s="1044"/>
      <c r="K58" s="993"/>
      <c r="L58" s="986">
        <f t="shared" si="4"/>
        <v>0</v>
      </c>
      <c r="M58" s="1044">
        <v>633.2238</v>
      </c>
      <c r="N58" s="993"/>
      <c r="O58" s="986">
        <f t="shared" si="5"/>
        <v>633.22</v>
      </c>
    </row>
    <row r="59" spans="1:15" ht="17.25" customHeight="1" thickBot="1">
      <c r="A59" s="1052" t="s">
        <v>730</v>
      </c>
      <c r="B59" s="1053" t="s">
        <v>731</v>
      </c>
      <c r="C59" s="1054"/>
      <c r="D59" s="1055">
        <f>SUM(D51:D58)</f>
        <v>38390</v>
      </c>
      <c r="E59" s="1056">
        <f>SUM(E51:E58)</f>
        <v>13868</v>
      </c>
      <c r="F59" s="1006">
        <f t="shared" si="6"/>
        <v>52258</v>
      </c>
      <c r="G59" s="1055">
        <f>SUM(G51:G58)</f>
        <v>32215.85</v>
      </c>
      <c r="H59" s="1056">
        <f>SUM(H51:H58)</f>
        <v>11163.45</v>
      </c>
      <c r="I59" s="1006">
        <f t="shared" si="7"/>
        <v>43379.3</v>
      </c>
      <c r="J59" s="1055">
        <f>SUM(J51:J58)</f>
        <v>0</v>
      </c>
      <c r="K59" s="1056">
        <f>SUM(K51:K58)</f>
        <v>0</v>
      </c>
      <c r="L59" s="1006">
        <f t="shared" si="4"/>
        <v>0</v>
      </c>
      <c r="M59" s="1055">
        <f>SUM(M51:M58)</f>
        <v>2564.98</v>
      </c>
      <c r="N59" s="1056">
        <f>SUM(N51:N58)</f>
        <v>1506.64</v>
      </c>
      <c r="O59" s="1006">
        <f t="shared" si="5"/>
        <v>4071.62</v>
      </c>
    </row>
    <row r="60" spans="1:15" ht="17.25" customHeight="1">
      <c r="A60" s="1026"/>
      <c r="B60" s="1111" t="s">
        <v>580</v>
      </c>
      <c r="C60" s="1112" t="s">
        <v>707</v>
      </c>
      <c r="D60" s="1057"/>
      <c r="E60" s="1113" t="s">
        <v>708</v>
      </c>
      <c r="F60" s="1114" t="s">
        <v>708</v>
      </c>
      <c r="G60" s="1057"/>
      <c r="H60" s="1113" t="s">
        <v>708</v>
      </c>
      <c r="I60" s="1114" t="s">
        <v>708</v>
      </c>
      <c r="J60" s="1057"/>
      <c r="K60" s="1113" t="s">
        <v>708</v>
      </c>
      <c r="L60" s="1114" t="s">
        <v>708</v>
      </c>
      <c r="M60" s="1057"/>
      <c r="N60" s="1113" t="s">
        <v>708</v>
      </c>
      <c r="O60" s="1114" t="s">
        <v>708</v>
      </c>
    </row>
    <row r="61" spans="1:15" ht="17.25" customHeight="1">
      <c r="A61" s="1026"/>
      <c r="B61" s="1115"/>
      <c r="C61" s="1116" t="s">
        <v>709</v>
      </c>
      <c r="D61" s="1058">
        <v>2495</v>
      </c>
      <c r="E61" s="1117" t="s">
        <v>708</v>
      </c>
      <c r="F61" s="1118" t="s">
        <v>708</v>
      </c>
      <c r="G61" s="1058">
        <f>479+1630.319+52.66</f>
        <v>2161.98</v>
      </c>
      <c r="H61" s="1117" t="s">
        <v>708</v>
      </c>
      <c r="I61" s="1118" t="s">
        <v>708</v>
      </c>
      <c r="J61" s="1058"/>
      <c r="K61" s="1117" t="s">
        <v>708</v>
      </c>
      <c r="L61" s="1118" t="s">
        <v>708</v>
      </c>
      <c r="M61" s="1058">
        <f>479+52.66</f>
        <v>531.66</v>
      </c>
      <c r="N61" s="1117" t="s">
        <v>708</v>
      </c>
      <c r="O61" s="1118" t="s">
        <v>708</v>
      </c>
    </row>
    <row r="62" spans="1:15" ht="17.25" customHeight="1">
      <c r="A62" s="1026"/>
      <c r="B62" s="1115"/>
      <c r="C62" s="1116" t="s">
        <v>710</v>
      </c>
      <c r="D62" s="1058">
        <v>238</v>
      </c>
      <c r="E62" s="1117" t="s">
        <v>708</v>
      </c>
      <c r="F62" s="1118" t="s">
        <v>708</v>
      </c>
      <c r="G62" s="1058">
        <f>5.665+201.5725+41.93</f>
        <v>249.17</v>
      </c>
      <c r="H62" s="1117" t="s">
        <v>708</v>
      </c>
      <c r="I62" s="1118" t="s">
        <v>708</v>
      </c>
      <c r="J62" s="1058"/>
      <c r="K62" s="1117" t="s">
        <v>708</v>
      </c>
      <c r="L62" s="1118" t="s">
        <v>708</v>
      </c>
      <c r="M62" s="1058">
        <f>41.93+5.665</f>
        <v>47.6</v>
      </c>
      <c r="N62" s="1117" t="s">
        <v>708</v>
      </c>
      <c r="O62" s="1118" t="s">
        <v>708</v>
      </c>
    </row>
    <row r="63" spans="1:15" ht="17.25" customHeight="1" thickBot="1">
      <c r="A63" s="1031"/>
      <c r="B63" s="1119"/>
      <c r="C63" s="1119" t="s">
        <v>711</v>
      </c>
      <c r="D63" s="1059"/>
      <c r="E63" s="1120" t="s">
        <v>708</v>
      </c>
      <c r="F63" s="1121" t="s">
        <v>708</v>
      </c>
      <c r="G63" s="1059"/>
      <c r="H63" s="1120" t="s">
        <v>708</v>
      </c>
      <c r="I63" s="1121" t="s">
        <v>708</v>
      </c>
      <c r="J63" s="1059"/>
      <c r="K63" s="1120" t="s">
        <v>708</v>
      </c>
      <c r="L63" s="1121" t="s">
        <v>708</v>
      </c>
      <c r="M63" s="1059"/>
      <c r="N63" s="1120" t="s">
        <v>708</v>
      </c>
      <c r="O63" s="1121" t="s">
        <v>708</v>
      </c>
    </row>
    <row r="64" spans="4:13" ht="12.75" customHeight="1">
      <c r="D64" s="1060"/>
      <c r="G64" s="1060"/>
      <c r="M64" s="1060"/>
    </row>
    <row r="65" spans="4:13" ht="12" customHeight="1">
      <c r="D65" s="1060"/>
      <c r="G65" s="1060"/>
      <c r="M65" s="1060"/>
    </row>
    <row r="66" spans="1:15" ht="15" customHeight="1">
      <c r="A66" s="942"/>
      <c r="O66" s="941"/>
    </row>
    <row r="67" spans="1:15" ht="20.25" customHeight="1">
      <c r="A67" s="1384" t="s">
        <v>732</v>
      </c>
      <c r="B67" s="1384"/>
      <c r="C67" s="1384"/>
      <c r="D67" s="1384"/>
      <c r="E67" s="1384"/>
      <c r="F67" s="1384"/>
      <c r="G67" s="1384"/>
      <c r="H67" s="1384"/>
      <c r="I67" s="1384"/>
      <c r="J67" s="1384"/>
      <c r="K67" s="1384"/>
      <c r="L67" s="1384"/>
      <c r="M67" s="1384"/>
      <c r="N67" s="1384"/>
      <c r="O67" s="1384"/>
    </row>
    <row r="68" spans="1:15" ht="16.5" thickBot="1">
      <c r="A68" s="945"/>
      <c r="B68" s="947"/>
      <c r="C68" s="947"/>
      <c r="D68" s="947"/>
      <c r="E68" s="947"/>
      <c r="F68" s="947"/>
      <c r="G68" s="947"/>
      <c r="H68" s="947"/>
      <c r="I68" s="947"/>
      <c r="J68" s="947"/>
      <c r="K68" s="947"/>
      <c r="L68" s="947"/>
      <c r="O68" s="948" t="s">
        <v>567</v>
      </c>
    </row>
    <row r="69" spans="1:15" ht="12.75">
      <c r="A69" s="949"/>
      <c r="B69" s="950"/>
      <c r="C69" s="951"/>
      <c r="D69" s="954" t="s">
        <v>168</v>
      </c>
      <c r="E69" s="954"/>
      <c r="F69" s="955"/>
      <c r="G69" s="954" t="s">
        <v>133</v>
      </c>
      <c r="H69" s="954"/>
      <c r="I69" s="955"/>
      <c r="J69" s="1363" t="s">
        <v>668</v>
      </c>
      <c r="K69" s="1364"/>
      <c r="L69" s="1365"/>
      <c r="M69" s="1366" t="s">
        <v>669</v>
      </c>
      <c r="N69" s="1367"/>
      <c r="O69" s="1368"/>
    </row>
    <row r="70" spans="1:15" ht="12.75">
      <c r="A70" s="956" t="s">
        <v>670</v>
      </c>
      <c r="B70" s="957" t="s">
        <v>671</v>
      </c>
      <c r="C70" s="958"/>
      <c r="D70" s="959" t="s">
        <v>672</v>
      </c>
      <c r="E70" s="959"/>
      <c r="F70" s="960"/>
      <c r="G70" s="961" t="s">
        <v>673</v>
      </c>
      <c r="H70" s="961"/>
      <c r="I70" s="962"/>
      <c r="J70" s="1369" t="s">
        <v>674</v>
      </c>
      <c r="K70" s="1370"/>
      <c r="L70" s="1371"/>
      <c r="M70" s="1372" t="s">
        <v>675</v>
      </c>
      <c r="N70" s="1373"/>
      <c r="O70" s="1374"/>
    </row>
    <row r="71" spans="1:15" ht="12.75">
      <c r="A71" s="963"/>
      <c r="B71" s="964"/>
      <c r="C71" s="965"/>
      <c r="D71" s="968" t="s">
        <v>676</v>
      </c>
      <c r="E71" s="967" t="s">
        <v>677</v>
      </c>
      <c r="F71" s="965"/>
      <c r="G71" s="968" t="s">
        <v>676</v>
      </c>
      <c r="H71" s="967" t="s">
        <v>677</v>
      </c>
      <c r="I71" s="965"/>
      <c r="J71" s="968" t="s">
        <v>676</v>
      </c>
      <c r="K71" s="967" t="s">
        <v>677</v>
      </c>
      <c r="L71" s="965"/>
      <c r="M71" s="968" t="s">
        <v>676</v>
      </c>
      <c r="N71" s="969" t="s">
        <v>677</v>
      </c>
      <c r="O71" s="965"/>
    </row>
    <row r="72" spans="1:15" ht="13.5" thickBot="1">
      <c r="A72" s="970"/>
      <c r="B72" s="971"/>
      <c r="C72" s="972"/>
      <c r="D72" s="975" t="s">
        <v>678</v>
      </c>
      <c r="E72" s="974" t="s">
        <v>678</v>
      </c>
      <c r="F72" s="972" t="s">
        <v>531</v>
      </c>
      <c r="G72" s="975" t="s">
        <v>678</v>
      </c>
      <c r="H72" s="974" t="s">
        <v>678</v>
      </c>
      <c r="I72" s="972" t="s">
        <v>531</v>
      </c>
      <c r="J72" s="975" t="s">
        <v>678</v>
      </c>
      <c r="K72" s="974" t="s">
        <v>678</v>
      </c>
      <c r="L72" s="972" t="s">
        <v>531</v>
      </c>
      <c r="M72" s="975" t="s">
        <v>678</v>
      </c>
      <c r="N72" s="974" t="s">
        <v>678</v>
      </c>
      <c r="O72" s="972" t="s">
        <v>531</v>
      </c>
    </row>
    <row r="73" spans="1:15" ht="13.5" thickBot="1">
      <c r="A73" s="1001"/>
      <c r="B73" s="1061"/>
      <c r="C73" s="1062"/>
      <c r="D73" s="1063">
        <v>1</v>
      </c>
      <c r="E73" s="978">
        <v>2</v>
      </c>
      <c r="F73" s="1064">
        <v>3</v>
      </c>
      <c r="G73" s="1063">
        <v>4</v>
      </c>
      <c r="H73" s="978">
        <v>5</v>
      </c>
      <c r="I73" s="1064">
        <v>6</v>
      </c>
      <c r="J73" s="1063">
        <v>7</v>
      </c>
      <c r="K73" s="978">
        <v>8</v>
      </c>
      <c r="L73" s="1064">
        <v>9</v>
      </c>
      <c r="M73" s="1063">
        <v>10</v>
      </c>
      <c r="N73" s="978">
        <v>11</v>
      </c>
      <c r="O73" s="1064">
        <v>12</v>
      </c>
    </row>
    <row r="74" spans="1:15" ht="25.5" customHeight="1">
      <c r="A74" s="1013" t="s">
        <v>679</v>
      </c>
      <c r="B74" s="1385" t="s">
        <v>733</v>
      </c>
      <c r="C74" s="1386"/>
      <c r="D74" s="1016">
        <f>D75+D76</f>
        <v>0</v>
      </c>
      <c r="E74" s="983">
        <f>E75+E76</f>
        <v>0</v>
      </c>
      <c r="F74" s="984">
        <f aca="true" t="shared" si="8" ref="F74:F82">D74+E74</f>
        <v>0</v>
      </c>
      <c r="G74" s="1016">
        <f>G75+G76</f>
        <v>0</v>
      </c>
      <c r="H74" s="983">
        <f>H75+H76</f>
        <v>0</v>
      </c>
      <c r="I74" s="984">
        <f aca="true" t="shared" si="9" ref="I74:I82">G74+H74</f>
        <v>0</v>
      </c>
      <c r="J74" s="1016">
        <f>J75+J76</f>
        <v>0</v>
      </c>
      <c r="K74" s="983">
        <f>K75+K76</f>
        <v>0</v>
      </c>
      <c r="L74" s="984">
        <f aca="true" t="shared" si="10" ref="L74:L82">J74+K74</f>
        <v>0</v>
      </c>
      <c r="M74" s="1016">
        <f>M75+M76</f>
        <v>0</v>
      </c>
      <c r="N74" s="983">
        <f>N75+N76</f>
        <v>0</v>
      </c>
      <c r="O74" s="984">
        <f aca="true" t="shared" si="11" ref="O74:O82">M74+N74</f>
        <v>0</v>
      </c>
    </row>
    <row r="75" spans="1:15" ht="15" customHeight="1">
      <c r="A75" s="991" t="s">
        <v>734</v>
      </c>
      <c r="B75" s="1065" t="s">
        <v>791</v>
      </c>
      <c r="C75" s="1066" t="s">
        <v>735</v>
      </c>
      <c r="D75" s="1067">
        <f>D78+D81</f>
        <v>0</v>
      </c>
      <c r="E75" s="1068">
        <f>E78+E81</f>
        <v>0</v>
      </c>
      <c r="F75" s="1069">
        <f t="shared" si="8"/>
        <v>0</v>
      </c>
      <c r="G75" s="1067">
        <f>G78+G81</f>
        <v>0</v>
      </c>
      <c r="H75" s="1068">
        <f>H78+H81</f>
        <v>0</v>
      </c>
      <c r="I75" s="1069">
        <f t="shared" si="9"/>
        <v>0</v>
      </c>
      <c r="J75" s="1067">
        <f>J78+J81</f>
        <v>0</v>
      </c>
      <c r="K75" s="1068">
        <f>K78+K81</f>
        <v>0</v>
      </c>
      <c r="L75" s="1069">
        <f t="shared" si="10"/>
        <v>0</v>
      </c>
      <c r="M75" s="1067">
        <f>M78+M81</f>
        <v>0</v>
      </c>
      <c r="N75" s="1068">
        <f>N78+N81</f>
        <v>0</v>
      </c>
      <c r="O75" s="1069">
        <f t="shared" si="11"/>
        <v>0</v>
      </c>
    </row>
    <row r="76" spans="1:15" ht="15" customHeight="1" thickBot="1">
      <c r="A76" s="970" t="s">
        <v>736</v>
      </c>
      <c r="B76" s="1387" t="s">
        <v>737</v>
      </c>
      <c r="C76" s="1388"/>
      <c r="D76" s="1070">
        <f>D79+D82</f>
        <v>0</v>
      </c>
      <c r="E76" s="1071">
        <f>E79+E82</f>
        <v>0</v>
      </c>
      <c r="F76" s="1072">
        <f t="shared" si="8"/>
        <v>0</v>
      </c>
      <c r="G76" s="1070">
        <f>G79+G82</f>
        <v>0</v>
      </c>
      <c r="H76" s="1071">
        <f>H79+H82</f>
        <v>0</v>
      </c>
      <c r="I76" s="1072">
        <f t="shared" si="9"/>
        <v>0</v>
      </c>
      <c r="J76" s="1070">
        <f>J79+J82</f>
        <v>0</v>
      </c>
      <c r="K76" s="1071">
        <f>K79+K82</f>
        <v>0</v>
      </c>
      <c r="L76" s="1072">
        <f t="shared" si="10"/>
        <v>0</v>
      </c>
      <c r="M76" s="1070">
        <f>M79+M82</f>
        <v>0</v>
      </c>
      <c r="N76" s="1071">
        <f>N79+N82</f>
        <v>0</v>
      </c>
      <c r="O76" s="1072">
        <f t="shared" si="11"/>
        <v>0</v>
      </c>
    </row>
    <row r="77" spans="1:15" ht="25.5" customHeight="1">
      <c r="A77" s="1013" t="s">
        <v>681</v>
      </c>
      <c r="B77" s="1385" t="s">
        <v>738</v>
      </c>
      <c r="C77" s="1386"/>
      <c r="D77" s="1016">
        <f>D78+D79</f>
        <v>0</v>
      </c>
      <c r="E77" s="983">
        <f>E78+E79</f>
        <v>0</v>
      </c>
      <c r="F77" s="984">
        <f t="shared" si="8"/>
        <v>0</v>
      </c>
      <c r="G77" s="1016">
        <f>G78+G79</f>
        <v>0</v>
      </c>
      <c r="H77" s="983">
        <f>H78+H79</f>
        <v>0</v>
      </c>
      <c r="I77" s="984">
        <f t="shared" si="9"/>
        <v>0</v>
      </c>
      <c r="J77" s="1016">
        <f>J78+J79</f>
        <v>0</v>
      </c>
      <c r="K77" s="983">
        <f>K78+K79</f>
        <v>0</v>
      </c>
      <c r="L77" s="984">
        <f t="shared" si="10"/>
        <v>0</v>
      </c>
      <c r="M77" s="1016">
        <f>M78+M79</f>
        <v>0</v>
      </c>
      <c r="N77" s="983">
        <f>N78+N79</f>
        <v>0</v>
      </c>
      <c r="O77" s="984">
        <f t="shared" si="11"/>
        <v>0</v>
      </c>
    </row>
    <row r="78" spans="1:15" ht="15" customHeight="1">
      <c r="A78" s="991" t="s">
        <v>739</v>
      </c>
      <c r="B78" s="1073" t="s">
        <v>791</v>
      </c>
      <c r="C78" s="1074" t="s">
        <v>735</v>
      </c>
      <c r="D78" s="1047"/>
      <c r="E78" s="1048"/>
      <c r="F78" s="990">
        <f t="shared" si="8"/>
        <v>0</v>
      </c>
      <c r="G78" s="1047"/>
      <c r="H78" s="1048"/>
      <c r="I78" s="990">
        <f t="shared" si="9"/>
        <v>0</v>
      </c>
      <c r="J78" s="1047"/>
      <c r="K78" s="1048"/>
      <c r="L78" s="990">
        <f t="shared" si="10"/>
        <v>0</v>
      </c>
      <c r="M78" s="1047"/>
      <c r="N78" s="1048"/>
      <c r="O78" s="990">
        <f t="shared" si="11"/>
        <v>0</v>
      </c>
    </row>
    <row r="79" spans="1:15" ht="15" customHeight="1" thickBot="1">
      <c r="A79" s="970" t="s">
        <v>740</v>
      </c>
      <c r="B79" s="1387" t="s">
        <v>737</v>
      </c>
      <c r="C79" s="1388"/>
      <c r="D79" s="1075"/>
      <c r="E79" s="1076"/>
      <c r="F79" s="1072">
        <f t="shared" si="8"/>
        <v>0</v>
      </c>
      <c r="G79" s="1075"/>
      <c r="H79" s="1076"/>
      <c r="I79" s="1072">
        <f t="shared" si="9"/>
        <v>0</v>
      </c>
      <c r="J79" s="1075"/>
      <c r="K79" s="1076"/>
      <c r="L79" s="1072">
        <f t="shared" si="10"/>
        <v>0</v>
      </c>
      <c r="M79" s="1075"/>
      <c r="N79" s="1076"/>
      <c r="O79" s="1072">
        <f t="shared" si="11"/>
        <v>0</v>
      </c>
    </row>
    <row r="80" spans="1:15" ht="25.5" customHeight="1">
      <c r="A80" s="1013" t="s">
        <v>741</v>
      </c>
      <c r="B80" s="1385" t="s">
        <v>777</v>
      </c>
      <c r="C80" s="1386"/>
      <c r="D80" s="1016">
        <f>D81+D82</f>
        <v>0</v>
      </c>
      <c r="E80" s="983">
        <f>E81+E82</f>
        <v>0</v>
      </c>
      <c r="F80" s="984">
        <f t="shared" si="8"/>
        <v>0</v>
      </c>
      <c r="G80" s="1016">
        <f>G81+G82</f>
        <v>0</v>
      </c>
      <c r="H80" s="983">
        <f>H81+H82</f>
        <v>0</v>
      </c>
      <c r="I80" s="984">
        <f t="shared" si="9"/>
        <v>0</v>
      </c>
      <c r="J80" s="1016">
        <f>J81+J82</f>
        <v>0</v>
      </c>
      <c r="K80" s="983">
        <f>K81+K82</f>
        <v>0</v>
      </c>
      <c r="L80" s="984">
        <f t="shared" si="10"/>
        <v>0</v>
      </c>
      <c r="M80" s="1016">
        <f>M81+M82</f>
        <v>0</v>
      </c>
      <c r="N80" s="983">
        <f>N81+N82</f>
        <v>0</v>
      </c>
      <c r="O80" s="984">
        <f t="shared" si="11"/>
        <v>0</v>
      </c>
    </row>
    <row r="81" spans="1:15" ht="15" customHeight="1">
      <c r="A81" s="991" t="s">
        <v>742</v>
      </c>
      <c r="B81" s="1073" t="s">
        <v>791</v>
      </c>
      <c r="C81" s="1074" t="s">
        <v>735</v>
      </c>
      <c r="D81" s="1047"/>
      <c r="E81" s="1048"/>
      <c r="F81" s="990">
        <f t="shared" si="8"/>
        <v>0</v>
      </c>
      <c r="G81" s="1047"/>
      <c r="H81" s="1048"/>
      <c r="I81" s="990">
        <f t="shared" si="9"/>
        <v>0</v>
      </c>
      <c r="J81" s="1047"/>
      <c r="K81" s="1048"/>
      <c r="L81" s="990">
        <f t="shared" si="10"/>
        <v>0</v>
      </c>
      <c r="M81" s="1047"/>
      <c r="N81" s="1048"/>
      <c r="O81" s="990">
        <f t="shared" si="11"/>
        <v>0</v>
      </c>
    </row>
    <row r="82" spans="1:15" ht="15" customHeight="1" thickBot="1">
      <c r="A82" s="970" t="s">
        <v>743</v>
      </c>
      <c r="B82" s="1387" t="s">
        <v>737</v>
      </c>
      <c r="C82" s="1388"/>
      <c r="D82" s="1075"/>
      <c r="E82" s="1076"/>
      <c r="F82" s="1072">
        <f t="shared" si="8"/>
        <v>0</v>
      </c>
      <c r="G82" s="1075"/>
      <c r="H82" s="1076"/>
      <c r="I82" s="1072">
        <f t="shared" si="9"/>
        <v>0</v>
      </c>
      <c r="J82" s="1075"/>
      <c r="K82" s="1076"/>
      <c r="L82" s="1072">
        <f t="shared" si="10"/>
        <v>0</v>
      </c>
      <c r="M82" s="1075"/>
      <c r="N82" s="1076"/>
      <c r="O82" s="1072">
        <f t="shared" si="11"/>
        <v>0</v>
      </c>
    </row>
    <row r="83" spans="1:15" ht="20.25" customHeight="1">
      <c r="A83" s="964"/>
      <c r="B83" s="1077"/>
      <c r="C83" s="1078"/>
      <c r="D83" s="964"/>
      <c r="E83" s="964"/>
      <c r="F83" s="964"/>
      <c r="G83" s="964"/>
      <c r="H83" s="964"/>
      <c r="I83" s="964"/>
      <c r="J83" s="964"/>
      <c r="K83" s="964"/>
      <c r="L83" s="964"/>
      <c r="M83" s="964"/>
      <c r="N83" s="964"/>
      <c r="O83" s="964"/>
    </row>
    <row r="84" spans="1:15" ht="15.75" customHeight="1">
      <c r="A84" s="964"/>
      <c r="B84" s="1077"/>
      <c r="C84" s="1078"/>
      <c r="D84" s="964"/>
      <c r="E84" s="964"/>
      <c r="F84" s="964"/>
      <c r="G84" s="964"/>
      <c r="H84" s="964"/>
      <c r="I84" s="964"/>
      <c r="J84" s="964"/>
      <c r="K84" s="964"/>
      <c r="L84" s="964"/>
      <c r="M84" s="964"/>
      <c r="N84" s="964"/>
      <c r="O84" s="1123" t="s">
        <v>744</v>
      </c>
    </row>
    <row r="85" spans="1:15" ht="3.75" customHeight="1">
      <c r="A85" s="1077"/>
      <c r="B85" s="1077"/>
      <c r="C85" s="1078"/>
      <c r="D85" s="964"/>
      <c r="E85" s="964"/>
      <c r="F85" s="964"/>
      <c r="G85" s="964"/>
      <c r="H85" s="964"/>
      <c r="I85" s="964"/>
      <c r="J85" s="964"/>
      <c r="K85" s="964"/>
      <c r="L85" s="964"/>
      <c r="M85" s="964"/>
      <c r="N85" s="964"/>
      <c r="O85" s="964"/>
    </row>
    <row r="86" spans="1:15" ht="5.25" customHeight="1">
      <c r="A86" s="1077"/>
      <c r="B86" s="1077"/>
      <c r="C86" s="1078"/>
      <c r="D86" s="964"/>
      <c r="E86" s="964"/>
      <c r="F86" s="964"/>
      <c r="G86" s="964"/>
      <c r="H86" s="964"/>
      <c r="I86" s="964"/>
      <c r="J86" s="964"/>
      <c r="K86" s="964"/>
      <c r="L86" s="964"/>
      <c r="M86" s="964"/>
      <c r="N86" s="964"/>
      <c r="O86" s="964"/>
    </row>
    <row r="87" spans="1:15" ht="15.75">
      <c r="A87" s="943" t="s">
        <v>745</v>
      </c>
      <c r="B87" s="943"/>
      <c r="C87" s="943"/>
      <c r="D87" s="943"/>
      <c r="E87" s="943"/>
      <c r="F87" s="943"/>
      <c r="G87" s="943"/>
      <c r="H87" s="943"/>
      <c r="I87" s="943"/>
      <c r="J87" s="943"/>
      <c r="K87" s="943"/>
      <c r="L87" s="943"/>
      <c r="M87" s="943"/>
      <c r="N87" s="943"/>
      <c r="O87" s="943"/>
    </row>
    <row r="88" spans="1:15" ht="14.25" customHeight="1" thickBot="1">
      <c r="A88" s="946"/>
      <c r="B88" s="947"/>
      <c r="C88" s="947"/>
      <c r="D88" s="947"/>
      <c r="E88" s="947"/>
      <c r="F88" s="947"/>
      <c r="G88" s="947"/>
      <c r="H88" s="947"/>
      <c r="I88" s="947"/>
      <c r="J88" s="947"/>
      <c r="K88" s="947"/>
      <c r="L88" s="947"/>
      <c r="O88" s="948" t="s">
        <v>567</v>
      </c>
    </row>
    <row r="89" spans="1:15" ht="12.75">
      <c r="A89" s="949"/>
      <c r="B89" s="950"/>
      <c r="C89" s="951"/>
      <c r="D89" s="954" t="s">
        <v>168</v>
      </c>
      <c r="E89" s="954"/>
      <c r="F89" s="955"/>
      <c r="G89" s="954" t="s">
        <v>133</v>
      </c>
      <c r="H89" s="954"/>
      <c r="I89" s="955"/>
      <c r="J89" s="1363" t="s">
        <v>668</v>
      </c>
      <c r="K89" s="1364"/>
      <c r="L89" s="1365"/>
      <c r="M89" s="1366" t="s">
        <v>669</v>
      </c>
      <c r="N89" s="1367"/>
      <c r="O89" s="1368"/>
    </row>
    <row r="90" spans="1:15" ht="12.75">
      <c r="A90" s="956" t="s">
        <v>670</v>
      </c>
      <c r="B90" s="957" t="s">
        <v>671</v>
      </c>
      <c r="C90" s="958"/>
      <c r="D90" s="959" t="s">
        <v>672</v>
      </c>
      <c r="E90" s="959"/>
      <c r="F90" s="960"/>
      <c r="G90" s="961" t="s">
        <v>673</v>
      </c>
      <c r="H90" s="961"/>
      <c r="I90" s="962"/>
      <c r="J90" s="1369" t="s">
        <v>674</v>
      </c>
      <c r="K90" s="1370"/>
      <c r="L90" s="1371"/>
      <c r="M90" s="1372" t="s">
        <v>675</v>
      </c>
      <c r="N90" s="1373"/>
      <c r="O90" s="1374"/>
    </row>
    <row r="91" spans="1:15" ht="12.75">
      <c r="A91" s="963"/>
      <c r="B91" s="964"/>
      <c r="C91" s="965"/>
      <c r="D91" s="968" t="s">
        <v>676</v>
      </c>
      <c r="E91" s="967" t="s">
        <v>677</v>
      </c>
      <c r="F91" s="965"/>
      <c r="G91" s="968" t="s">
        <v>676</v>
      </c>
      <c r="H91" s="967" t="s">
        <v>677</v>
      </c>
      <c r="I91" s="965"/>
      <c r="J91" s="968" t="s">
        <v>676</v>
      </c>
      <c r="K91" s="967" t="s">
        <v>677</v>
      </c>
      <c r="L91" s="965"/>
      <c r="M91" s="968" t="s">
        <v>676</v>
      </c>
      <c r="N91" s="969" t="s">
        <v>677</v>
      </c>
      <c r="O91" s="965"/>
    </row>
    <row r="92" spans="1:15" ht="13.5" thickBot="1">
      <c r="A92" s="970"/>
      <c r="B92" s="971"/>
      <c r="C92" s="972"/>
      <c r="D92" s="975" t="s">
        <v>678</v>
      </c>
      <c r="E92" s="974" t="s">
        <v>678</v>
      </c>
      <c r="F92" s="972" t="s">
        <v>531</v>
      </c>
      <c r="G92" s="975" t="s">
        <v>678</v>
      </c>
      <c r="H92" s="974" t="s">
        <v>678</v>
      </c>
      <c r="I92" s="972" t="s">
        <v>531</v>
      </c>
      <c r="J92" s="975" t="s">
        <v>678</v>
      </c>
      <c r="K92" s="974" t="s">
        <v>678</v>
      </c>
      <c r="L92" s="972" t="s">
        <v>531</v>
      </c>
      <c r="M92" s="975" t="s">
        <v>678</v>
      </c>
      <c r="N92" s="974" t="s">
        <v>678</v>
      </c>
      <c r="O92" s="972" t="s">
        <v>531</v>
      </c>
    </row>
    <row r="93" spans="1:15" ht="13.5" thickBot="1">
      <c r="A93" s="1001"/>
      <c r="B93" s="1061"/>
      <c r="C93" s="1062"/>
      <c r="D93" s="1063">
        <v>1</v>
      </c>
      <c r="E93" s="978">
        <v>2</v>
      </c>
      <c r="F93" s="1064">
        <v>3</v>
      </c>
      <c r="G93" s="1063">
        <v>4</v>
      </c>
      <c r="H93" s="978">
        <v>5</v>
      </c>
      <c r="I93" s="1064">
        <v>6</v>
      </c>
      <c r="J93" s="1063">
        <v>7</v>
      </c>
      <c r="K93" s="978">
        <v>8</v>
      </c>
      <c r="L93" s="1064">
        <v>9</v>
      </c>
      <c r="M93" s="1063">
        <v>10</v>
      </c>
      <c r="N93" s="978">
        <v>11</v>
      </c>
      <c r="O93" s="1064">
        <v>12</v>
      </c>
    </row>
    <row r="94" spans="1:15" ht="27" customHeight="1" thickBot="1">
      <c r="A94" s="1001" t="s">
        <v>679</v>
      </c>
      <c r="B94" s="1389" t="s">
        <v>746</v>
      </c>
      <c r="C94" s="1390"/>
      <c r="D94" s="1055">
        <f>D95+D96</f>
        <v>581525</v>
      </c>
      <c r="E94" s="1056">
        <f>E95+E96</f>
        <v>29344</v>
      </c>
      <c r="F94" s="1006">
        <f>D94+E94</f>
        <v>610869</v>
      </c>
      <c r="G94" s="1055">
        <f>G95+G96</f>
        <v>551658.2</v>
      </c>
      <c r="H94" s="1056">
        <f>H95+H96</f>
        <v>29652.34</v>
      </c>
      <c r="I94" s="1006">
        <f>G94+H94</f>
        <v>581310.54</v>
      </c>
      <c r="J94" s="1055">
        <f>J95+J96</f>
        <v>0</v>
      </c>
      <c r="K94" s="1056">
        <f>K95+K96</f>
        <v>0</v>
      </c>
      <c r="L94" s="1006">
        <f>J94+K94</f>
        <v>0</v>
      </c>
      <c r="M94" s="1055">
        <f>M95+M96</f>
        <v>71636.07</v>
      </c>
      <c r="N94" s="1056">
        <f>N95+N96</f>
        <v>10152.52</v>
      </c>
      <c r="O94" s="1006">
        <f>M94+N94</f>
        <v>81788.59</v>
      </c>
    </row>
    <row r="95" spans="1:15" ht="15" customHeight="1" thickBot="1">
      <c r="A95" s="1001" t="s">
        <v>681</v>
      </c>
      <c r="B95" s="1079" t="s">
        <v>791</v>
      </c>
      <c r="C95" s="1080" t="s">
        <v>747</v>
      </c>
      <c r="D95" s="1055">
        <f>D27+D59</f>
        <v>581525</v>
      </c>
      <c r="E95" s="1056">
        <f>E27+E59</f>
        <v>29344</v>
      </c>
      <c r="F95" s="1006">
        <f>D95+E95</f>
        <v>610869</v>
      </c>
      <c r="G95" s="1055">
        <f>G27+G59</f>
        <v>551658.2</v>
      </c>
      <c r="H95" s="1056">
        <f>H27+H59</f>
        <v>29652.34</v>
      </c>
      <c r="I95" s="1006">
        <f>G95+H95</f>
        <v>581310.54</v>
      </c>
      <c r="J95" s="1055">
        <f>J27+J59</f>
        <v>0</v>
      </c>
      <c r="K95" s="1056">
        <f>K27+K59</f>
        <v>0</v>
      </c>
      <c r="L95" s="1006">
        <f>J95+K95</f>
        <v>0</v>
      </c>
      <c r="M95" s="1055">
        <f>M27+M59</f>
        <v>71636.07</v>
      </c>
      <c r="N95" s="1056">
        <f>N27+N59</f>
        <v>10152.52</v>
      </c>
      <c r="O95" s="1006">
        <f>M95+N95</f>
        <v>81788.59</v>
      </c>
    </row>
    <row r="96" spans="1:15" ht="27.75" customHeight="1" thickBot="1">
      <c r="A96" s="1001" t="s">
        <v>741</v>
      </c>
      <c r="B96" s="1391" t="s">
        <v>748</v>
      </c>
      <c r="C96" s="1392"/>
      <c r="D96" s="1055">
        <f>D76</f>
        <v>0</v>
      </c>
      <c r="E96" s="1056">
        <f>E76</f>
        <v>0</v>
      </c>
      <c r="F96" s="1006">
        <f>D96+E96</f>
        <v>0</v>
      </c>
      <c r="G96" s="1055">
        <f>G76</f>
        <v>0</v>
      </c>
      <c r="H96" s="1056">
        <f>H76</f>
        <v>0</v>
      </c>
      <c r="I96" s="1006">
        <f>G96+H96</f>
        <v>0</v>
      </c>
      <c r="J96" s="1055">
        <f>J76</f>
        <v>0</v>
      </c>
      <c r="K96" s="1056">
        <f>K76</f>
        <v>0</v>
      </c>
      <c r="L96" s="1006">
        <f>J96+K96</f>
        <v>0</v>
      </c>
      <c r="M96" s="1055">
        <f>M76</f>
        <v>0</v>
      </c>
      <c r="N96" s="1056">
        <f>N76</f>
        <v>0</v>
      </c>
      <c r="O96" s="1006">
        <f>M96+N96</f>
        <v>0</v>
      </c>
    </row>
    <row r="97" spans="1:15" ht="15" customHeight="1">
      <c r="A97" s="1077"/>
      <c r="B97" s="1077"/>
      <c r="C97" s="1078"/>
      <c r="D97" s="964"/>
      <c r="E97" s="964"/>
      <c r="F97" s="964"/>
      <c r="G97" s="964"/>
      <c r="H97" s="964"/>
      <c r="I97" s="964"/>
      <c r="J97" s="964"/>
      <c r="K97" s="964"/>
      <c r="L97" s="964"/>
      <c r="M97" s="964"/>
      <c r="N97" s="964"/>
      <c r="O97" s="964"/>
    </row>
    <row r="98" spans="1:15" ht="15.75">
      <c r="A98" s="1384" t="s">
        <v>749</v>
      </c>
      <c r="B98" s="1384"/>
      <c r="C98" s="1384"/>
      <c r="D98" s="1384"/>
      <c r="E98" s="1384"/>
      <c r="F98" s="1384"/>
      <c r="G98" s="1384"/>
      <c r="H98" s="1384"/>
      <c r="I98" s="1384"/>
      <c r="J98" s="1384"/>
      <c r="K98" s="1384"/>
      <c r="L98" s="1384"/>
      <c r="O98" s="42" t="s">
        <v>567</v>
      </c>
    </row>
    <row r="99" spans="10:11" ht="5.25" customHeight="1" thickBot="1">
      <c r="J99" s="1081"/>
      <c r="K99" s="1081"/>
    </row>
    <row r="100" spans="1:15" ht="12.75">
      <c r="A100" s="949"/>
      <c r="B100" s="950"/>
      <c r="C100" s="951"/>
      <c r="D100" s="954" t="s">
        <v>750</v>
      </c>
      <c r="E100" s="954"/>
      <c r="F100" s="955"/>
      <c r="G100" s="1082" t="s">
        <v>750</v>
      </c>
      <c r="H100" s="954"/>
      <c r="I100" s="955"/>
      <c r="J100" s="954" t="s">
        <v>751</v>
      </c>
      <c r="K100" s="954"/>
      <c r="L100" s="955"/>
      <c r="M100" s="1363" t="s">
        <v>752</v>
      </c>
      <c r="N100" s="1364"/>
      <c r="O100" s="1365"/>
    </row>
    <row r="101" spans="1:15" ht="9.75" customHeight="1">
      <c r="A101" s="956" t="s">
        <v>670</v>
      </c>
      <c r="B101" s="957"/>
      <c r="C101" s="958"/>
      <c r="D101" s="1083"/>
      <c r="E101" s="1084" t="s">
        <v>753</v>
      </c>
      <c r="F101" s="1085"/>
      <c r="G101" s="1393" t="s">
        <v>557</v>
      </c>
      <c r="H101" s="1394"/>
      <c r="I101" s="1395"/>
      <c r="J101" s="1394" t="s">
        <v>753</v>
      </c>
      <c r="K101" s="1394"/>
      <c r="L101" s="1394"/>
      <c r="M101" s="1396" t="s">
        <v>754</v>
      </c>
      <c r="N101" s="1397"/>
      <c r="O101" s="1398"/>
    </row>
    <row r="102" spans="1:15" ht="12.75">
      <c r="A102" s="963"/>
      <c r="B102" s="964"/>
      <c r="C102" s="965"/>
      <c r="D102" s="968" t="s">
        <v>676</v>
      </c>
      <c r="E102" s="969" t="s">
        <v>677</v>
      </c>
      <c r="F102" s="965"/>
      <c r="G102" s="1086" t="s">
        <v>676</v>
      </c>
      <c r="H102" s="967" t="s">
        <v>677</v>
      </c>
      <c r="I102" s="965"/>
      <c r="J102" s="968" t="s">
        <v>676</v>
      </c>
      <c r="K102" s="967" t="s">
        <v>677</v>
      </c>
      <c r="L102" s="965"/>
      <c r="M102" s="968" t="s">
        <v>676</v>
      </c>
      <c r="N102" s="967" t="s">
        <v>677</v>
      </c>
      <c r="O102" s="965"/>
    </row>
    <row r="103" spans="1:15" ht="13.5" thickBot="1">
      <c r="A103" s="970"/>
      <c r="B103" s="971"/>
      <c r="C103" s="972"/>
      <c r="D103" s="975" t="s">
        <v>678</v>
      </c>
      <c r="E103" s="974" t="s">
        <v>678</v>
      </c>
      <c r="F103" s="972" t="s">
        <v>531</v>
      </c>
      <c r="G103" s="973" t="s">
        <v>678</v>
      </c>
      <c r="H103" s="974" t="s">
        <v>678</v>
      </c>
      <c r="I103" s="972" t="s">
        <v>531</v>
      </c>
      <c r="J103" s="975" t="s">
        <v>678</v>
      </c>
      <c r="K103" s="974" t="s">
        <v>678</v>
      </c>
      <c r="L103" s="972" t="s">
        <v>531</v>
      </c>
      <c r="M103" s="975" t="s">
        <v>678</v>
      </c>
      <c r="N103" s="974" t="s">
        <v>678</v>
      </c>
      <c r="O103" s="972" t="s">
        <v>531</v>
      </c>
    </row>
    <row r="104" spans="1:15" ht="13.5" thickBot="1">
      <c r="A104" s="970"/>
      <c r="B104" s="976"/>
      <c r="C104" s="977"/>
      <c r="D104" s="975">
        <v>1</v>
      </c>
      <c r="E104" s="978">
        <v>2</v>
      </c>
      <c r="F104" s="972">
        <v>3</v>
      </c>
      <c r="G104" s="1087">
        <v>4</v>
      </c>
      <c r="H104" s="978">
        <v>5</v>
      </c>
      <c r="I104" s="1064">
        <v>6</v>
      </c>
      <c r="J104" s="1063">
        <v>7</v>
      </c>
      <c r="K104" s="978">
        <v>8</v>
      </c>
      <c r="L104" s="1064">
        <v>9</v>
      </c>
      <c r="M104" s="1063">
        <v>10</v>
      </c>
      <c r="N104" s="978">
        <v>11</v>
      </c>
      <c r="O104" s="1064">
        <v>12</v>
      </c>
    </row>
    <row r="105" spans="1:15" ht="15" customHeight="1">
      <c r="A105" s="991" t="s">
        <v>679</v>
      </c>
      <c r="B105" s="1399" t="s">
        <v>755</v>
      </c>
      <c r="C105" s="1400"/>
      <c r="D105" s="1044"/>
      <c r="E105" s="993"/>
      <c r="F105" s="986">
        <f>D105+E105</f>
        <v>0</v>
      </c>
      <c r="G105" s="1088"/>
      <c r="H105" s="993"/>
      <c r="I105" s="1089">
        <f>G105+H105</f>
        <v>0</v>
      </c>
      <c r="J105" s="1044">
        <v>115885.58</v>
      </c>
      <c r="K105" s="993">
        <v>15528.54</v>
      </c>
      <c r="L105" s="1089">
        <f>J105+K105</f>
        <v>131414.12</v>
      </c>
      <c r="M105" s="1044">
        <v>139438.32651</v>
      </c>
      <c r="N105" s="993">
        <v>12653.27171</v>
      </c>
      <c r="O105" s="1089">
        <f>M105+N105</f>
        <v>152091.6</v>
      </c>
    </row>
    <row r="106" spans="1:15" ht="15" customHeight="1">
      <c r="A106" s="1000" t="s">
        <v>688</v>
      </c>
      <c r="B106" s="1401" t="s">
        <v>756</v>
      </c>
      <c r="C106" s="1402"/>
      <c r="D106" s="1044"/>
      <c r="E106" s="993"/>
      <c r="F106" s="986">
        <f>D106+E106</f>
        <v>0</v>
      </c>
      <c r="G106" s="1088"/>
      <c r="H106" s="993"/>
      <c r="I106" s="1092">
        <f>G106+H106</f>
        <v>0</v>
      </c>
      <c r="J106" s="1044">
        <v>6007.66</v>
      </c>
      <c r="K106" s="993">
        <v>2347.6</v>
      </c>
      <c r="L106" s="1092">
        <f>J106+K106</f>
        <v>8355.26</v>
      </c>
      <c r="M106" s="1044">
        <v>12981.77544</v>
      </c>
      <c r="N106" s="993">
        <v>4251.97173</v>
      </c>
      <c r="O106" s="1092">
        <f>M106+N106</f>
        <v>17233.75</v>
      </c>
    </row>
    <row r="107" spans="1:15" ht="15" customHeight="1">
      <c r="A107" s="1000" t="s">
        <v>690</v>
      </c>
      <c r="B107" s="1090" t="s">
        <v>757</v>
      </c>
      <c r="C107" s="1091"/>
      <c r="D107" s="1044"/>
      <c r="E107" s="993"/>
      <c r="F107" s="986">
        <f>D107+E107</f>
        <v>0</v>
      </c>
      <c r="G107" s="1088"/>
      <c r="H107" s="993"/>
      <c r="I107" s="1093">
        <f>G107+H107</f>
        <v>0</v>
      </c>
      <c r="J107" s="1044"/>
      <c r="K107" s="993"/>
      <c r="L107" s="1093">
        <f>J107+K107</f>
        <v>0</v>
      </c>
      <c r="M107" s="1044"/>
      <c r="N107" s="993"/>
      <c r="O107" s="1093">
        <f>M107+N107</f>
        <v>0</v>
      </c>
    </row>
    <row r="108" spans="1:15" ht="15" customHeight="1">
      <c r="A108" s="1000" t="s">
        <v>693</v>
      </c>
      <c r="B108" s="1403" t="s">
        <v>758</v>
      </c>
      <c r="C108" s="1404"/>
      <c r="D108" s="1044"/>
      <c r="E108" s="993"/>
      <c r="F108" s="986">
        <f>D108+E108</f>
        <v>0</v>
      </c>
      <c r="G108" s="1088"/>
      <c r="H108" s="993"/>
      <c r="I108" s="1093">
        <f>G108+H108</f>
        <v>0</v>
      </c>
      <c r="J108" s="1044"/>
      <c r="K108" s="993"/>
      <c r="L108" s="1093">
        <f>J108+K108</f>
        <v>0</v>
      </c>
      <c r="M108" s="1044"/>
      <c r="N108" s="993"/>
      <c r="O108" s="1093">
        <f>M108+N108</f>
        <v>0</v>
      </c>
    </row>
    <row r="109" spans="1:15" ht="17.25" customHeight="1" thickBot="1">
      <c r="A109" s="994" t="s">
        <v>759</v>
      </c>
      <c r="B109" s="1094" t="s">
        <v>760</v>
      </c>
      <c r="C109" s="1095"/>
      <c r="D109" s="1096">
        <f>D105+D106+D108</f>
        <v>0</v>
      </c>
      <c r="E109" s="1097">
        <f>E105+E106+E108</f>
        <v>0</v>
      </c>
      <c r="F109" s="999">
        <f>D109+E109</f>
        <v>0</v>
      </c>
      <c r="G109" s="1098">
        <f>G105+G106+G108</f>
        <v>0</v>
      </c>
      <c r="H109" s="1097">
        <f>H105+H106+H108</f>
        <v>0</v>
      </c>
      <c r="I109" s="1099">
        <f>G109+H109</f>
        <v>0</v>
      </c>
      <c r="J109" s="1096">
        <f>J105+J106+J108</f>
        <v>121893.24</v>
      </c>
      <c r="K109" s="1097">
        <f>K105+K106+K108</f>
        <v>17876.14</v>
      </c>
      <c r="L109" s="1099">
        <f>J109+K109</f>
        <v>139769.38</v>
      </c>
      <c r="M109" s="1096">
        <f>M105+M106+M108+0.01</f>
        <v>152420.11</v>
      </c>
      <c r="N109" s="1097">
        <f>N105+N106+N108</f>
        <v>16905.24</v>
      </c>
      <c r="O109" s="1099">
        <f>M109+N109-0.01</f>
        <v>169325.34</v>
      </c>
    </row>
    <row r="110" spans="1:12" ht="8.25" customHeight="1">
      <c r="A110" s="964"/>
      <c r="B110" s="1036"/>
      <c r="C110" s="964"/>
      <c r="D110" s="1036"/>
      <c r="E110" s="1036"/>
      <c r="F110" s="1036"/>
      <c r="G110" s="1036"/>
      <c r="H110" s="1036"/>
      <c r="I110" s="1036"/>
      <c r="J110" s="1100"/>
      <c r="K110" s="1100"/>
      <c r="L110" s="1036"/>
    </row>
    <row r="111" spans="1:13" ht="11.25" customHeight="1">
      <c r="A111" s="1101" t="s">
        <v>761</v>
      </c>
      <c r="M111" s="1122"/>
    </row>
    <row r="112" ht="12.75">
      <c r="A112" s="1040" t="s">
        <v>762</v>
      </c>
    </row>
    <row r="113" ht="12.75">
      <c r="A113" s="1040" t="s">
        <v>763</v>
      </c>
    </row>
    <row r="114" ht="12.75">
      <c r="A114" s="1040" t="s">
        <v>764</v>
      </c>
    </row>
    <row r="115" ht="12.75">
      <c r="A115" s="942" t="s">
        <v>765</v>
      </c>
    </row>
    <row r="116" ht="12.75">
      <c r="A116" s="942" t="s">
        <v>766</v>
      </c>
    </row>
    <row r="117" spans="1:12" ht="7.5" customHeight="1">
      <c r="A117" s="964"/>
      <c r="B117" s="1036"/>
      <c r="C117" s="964"/>
      <c r="D117" s="1036"/>
      <c r="E117" s="1036"/>
      <c r="F117" s="1036"/>
      <c r="G117" s="1036"/>
      <c r="H117" s="1036"/>
      <c r="I117" s="1036"/>
      <c r="J117" s="1100"/>
      <c r="K117" s="1100"/>
      <c r="L117" s="1036"/>
    </row>
    <row r="118" spans="1:15" ht="12.75" customHeight="1">
      <c r="A118" s="1101" t="s">
        <v>767</v>
      </c>
      <c r="B118" s="1077"/>
      <c r="C118" s="1078"/>
      <c r="D118" s="964"/>
      <c r="E118" s="964"/>
      <c r="F118" s="964"/>
      <c r="G118" s="964"/>
      <c r="H118" s="964"/>
      <c r="I118" s="964"/>
      <c r="J118" s="964"/>
      <c r="K118" s="964"/>
      <c r="L118" s="964"/>
      <c r="M118" s="964"/>
      <c r="N118" s="964"/>
      <c r="O118" s="964"/>
    </row>
    <row r="119" spans="1:15" ht="12.75" customHeight="1">
      <c r="A119" s="1102" t="s">
        <v>768</v>
      </c>
      <c r="B119" s="1077"/>
      <c r="C119" s="1078"/>
      <c r="D119" s="964"/>
      <c r="E119" s="964"/>
      <c r="F119" s="964"/>
      <c r="G119" s="964"/>
      <c r="H119" s="964"/>
      <c r="I119" s="964"/>
      <c r="J119" s="964"/>
      <c r="K119" s="964"/>
      <c r="L119" s="964"/>
      <c r="M119" s="964"/>
      <c r="N119" s="964"/>
      <c r="O119" s="964"/>
    </row>
    <row r="120" spans="1:15" ht="12.75" customHeight="1">
      <c r="A120" s="1102" t="s">
        <v>771</v>
      </c>
      <c r="B120" s="1077"/>
      <c r="C120" s="1078"/>
      <c r="D120" s="964"/>
      <c r="E120" s="964"/>
      <c r="F120" s="964"/>
      <c r="G120" s="964"/>
      <c r="H120" s="964"/>
      <c r="I120" s="964"/>
      <c r="J120" s="964"/>
      <c r="K120" s="964"/>
      <c r="L120" s="964"/>
      <c r="M120" s="964"/>
      <c r="N120" s="964"/>
      <c r="O120" s="964"/>
    </row>
    <row r="121" spans="1:12" ht="12.75" customHeight="1">
      <c r="A121" s="1102" t="s">
        <v>772</v>
      </c>
      <c r="B121" s="1036"/>
      <c r="C121" s="964"/>
      <c r="D121" s="1036"/>
      <c r="E121" s="1036"/>
      <c r="F121" s="1036"/>
      <c r="G121" s="1036"/>
      <c r="H121" s="1036"/>
      <c r="I121" s="1036"/>
      <c r="J121" s="1100"/>
      <c r="K121" s="1100"/>
      <c r="L121" s="1036"/>
    </row>
    <row r="122" spans="1:12" ht="8.25" customHeight="1">
      <c r="A122" s="1102"/>
      <c r="B122" s="1036"/>
      <c r="C122" s="964"/>
      <c r="D122" s="1036"/>
      <c r="E122" s="1036"/>
      <c r="F122" s="1036"/>
      <c r="G122" s="1036"/>
      <c r="H122" s="1036"/>
      <c r="I122" s="1036"/>
      <c r="J122" s="1100"/>
      <c r="K122" s="1100"/>
      <c r="L122" s="1036"/>
    </row>
    <row r="123" spans="1:12" ht="12" customHeight="1">
      <c r="A123" s="1101" t="s">
        <v>773</v>
      </c>
      <c r="B123" s="1036"/>
      <c r="C123" s="964"/>
      <c r="D123" s="1036"/>
      <c r="E123" s="1036"/>
      <c r="F123" s="1036"/>
      <c r="G123" s="1036"/>
      <c r="H123" s="1036"/>
      <c r="I123" s="1036"/>
      <c r="J123" s="1100"/>
      <c r="K123" s="1100"/>
      <c r="L123" s="1036"/>
    </row>
    <row r="124" spans="1:12" ht="12.75">
      <c r="A124" s="1040" t="s">
        <v>774</v>
      </c>
      <c r="B124" s="1036"/>
      <c r="C124" s="964"/>
      <c r="D124" s="1036"/>
      <c r="E124" s="1036"/>
      <c r="F124" s="1036"/>
      <c r="G124" s="1036"/>
      <c r="H124" s="1036"/>
      <c r="I124" s="1036"/>
      <c r="J124" s="1100"/>
      <c r="K124" s="1100"/>
      <c r="L124" s="1036"/>
    </row>
    <row r="125" spans="1:12" ht="12.75">
      <c r="A125" s="1040" t="s">
        <v>775</v>
      </c>
      <c r="B125" s="1036"/>
      <c r="C125" s="964"/>
      <c r="D125" s="1036"/>
      <c r="E125" s="1036"/>
      <c r="F125" s="1036"/>
      <c r="G125" s="1036"/>
      <c r="H125" s="1036"/>
      <c r="I125" s="1036"/>
      <c r="J125" s="1100"/>
      <c r="K125" s="1100"/>
      <c r="L125" s="1036"/>
    </row>
    <row r="126" ht="5.25" customHeight="1"/>
    <row r="127" spans="1:12" ht="12.75">
      <c r="A127" s="1102" t="s">
        <v>776</v>
      </c>
      <c r="B127" s="1040"/>
      <c r="C127" s="1103"/>
      <c r="D127" s="1104"/>
      <c r="E127" s="1104"/>
      <c r="F127" s="1104"/>
      <c r="G127" s="1104"/>
      <c r="H127" s="1104"/>
      <c r="I127" s="1040"/>
      <c r="J127" s="1104"/>
      <c r="K127" s="1104"/>
      <c r="L127" s="1104"/>
    </row>
    <row r="128" ht="6.75" customHeight="1">
      <c r="A128" s="1040"/>
    </row>
    <row r="129" spans="1:14" ht="12.75">
      <c r="A129" s="1105" t="s">
        <v>590</v>
      </c>
      <c r="B129" s="1105"/>
      <c r="C129" s="1105"/>
      <c r="D129" s="1105"/>
      <c r="E129" s="1105"/>
      <c r="H129" s="1105" t="s">
        <v>591</v>
      </c>
      <c r="N129" s="1105" t="s">
        <v>83</v>
      </c>
    </row>
  </sheetData>
  <sheetProtection/>
  <mergeCells count="38">
    <mergeCell ref="G101:I101"/>
    <mergeCell ref="J101:L101"/>
    <mergeCell ref="M101:O101"/>
    <mergeCell ref="B105:C105"/>
    <mergeCell ref="B106:C106"/>
    <mergeCell ref="B108:C108"/>
    <mergeCell ref="M89:O89"/>
    <mergeCell ref="J90:L90"/>
    <mergeCell ref="M90:O90"/>
    <mergeCell ref="B94:C94"/>
    <mergeCell ref="B96:C96"/>
    <mergeCell ref="M100:O100"/>
    <mergeCell ref="A98:L98"/>
    <mergeCell ref="B76:C76"/>
    <mergeCell ref="B77:C77"/>
    <mergeCell ref="B79:C79"/>
    <mergeCell ref="B80:C80"/>
    <mergeCell ref="B82:C82"/>
    <mergeCell ref="J89:L89"/>
    <mergeCell ref="A67:O67"/>
    <mergeCell ref="J69:L69"/>
    <mergeCell ref="M69:O69"/>
    <mergeCell ref="J70:L70"/>
    <mergeCell ref="M70:O70"/>
    <mergeCell ref="B74:C74"/>
    <mergeCell ref="B26:C26"/>
    <mergeCell ref="B27:C27"/>
    <mergeCell ref="A38:I38"/>
    <mergeCell ref="J46:L46"/>
    <mergeCell ref="M46:O46"/>
    <mergeCell ref="J47:L47"/>
    <mergeCell ref="M47:O47"/>
    <mergeCell ref="J9:L9"/>
    <mergeCell ref="M9:O9"/>
    <mergeCell ref="J10:L10"/>
    <mergeCell ref="M10:O10"/>
    <mergeCell ref="B24:C24"/>
    <mergeCell ref="B25:C25"/>
  </mergeCells>
  <printOptions horizontalCentered="1"/>
  <pageMargins left="0.9055118110236221" right="0.9055118110236221" top="0.984251968503937" bottom="0.984251968503937" header="0.7086614173228347" footer="0.31496062992125984"/>
  <pageSetup blackAndWhite="1" fitToHeight="3" horizontalDpi="600" verticalDpi="600" orientation="landscape" paperSize="9" scale="74" r:id="rId1"/>
  <headerFooter alignWithMargins="0">
    <oddFooter>&amp;C&amp;P+43
&amp;11
&amp;10
</oddFooter>
  </headerFooter>
  <rowBreaks count="2" manualBreakCount="2">
    <brk id="42" max="255" man="1"/>
    <brk id="8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showGridLines="0" tabSelected="1" zoomScale="85" zoomScaleNormal="85" zoomScalePageLayoutView="0" workbookViewId="0" topLeftCell="A7">
      <selection activeCell="F20" sqref="F20"/>
    </sheetView>
  </sheetViews>
  <sheetFormatPr defaultColWidth="9.00390625" defaultRowHeight="12.75"/>
  <cols>
    <col min="1" max="1" width="7.125" style="0" customWidth="1"/>
    <col min="2" max="2" width="42.75390625" style="0" customWidth="1"/>
    <col min="3" max="3" width="18.00390625" style="0" customWidth="1"/>
    <col min="4" max="4" width="1.25" style="0" customWidth="1"/>
    <col min="5" max="5" width="19.75390625" style="0" customWidth="1"/>
    <col min="6" max="7" width="19.00390625" style="0" customWidth="1"/>
    <col min="8" max="8" width="0.74609375" style="0" customWidth="1"/>
    <col min="9" max="10" width="14.625" style="0" bestFit="1" customWidth="1"/>
  </cols>
  <sheetData>
    <row r="1" spans="1:7" ht="45.75" customHeight="1">
      <c r="A1" s="47" t="s">
        <v>134</v>
      </c>
      <c r="G1" s="1350" t="s">
        <v>101</v>
      </c>
    </row>
    <row r="2" ht="36" customHeight="1">
      <c r="G2" s="48"/>
    </row>
    <row r="3" spans="1:8" s="51" customFormat="1" ht="15.75">
      <c r="A3" s="49" t="s">
        <v>160</v>
      </c>
      <c r="B3" s="50"/>
      <c r="C3" s="50"/>
      <c r="D3" s="50"/>
      <c r="E3" s="50"/>
      <c r="F3" s="50"/>
      <c r="G3" s="50"/>
      <c r="H3" s="50"/>
    </row>
    <row r="4" spans="1:8" s="51" customFormat="1" ht="15.75">
      <c r="A4" s="49" t="s">
        <v>135</v>
      </c>
      <c r="B4" s="52"/>
      <c r="C4" s="50"/>
      <c r="D4" s="50"/>
      <c r="E4" s="50"/>
      <c r="F4" s="50"/>
      <c r="G4" s="50"/>
      <c r="H4" s="50"/>
    </row>
    <row r="5" spans="1:8" s="53" customFormat="1" ht="15.75">
      <c r="A5" s="49" t="s">
        <v>136</v>
      </c>
      <c r="B5" s="52"/>
      <c r="C5" s="52"/>
      <c r="D5" s="52"/>
      <c r="E5" s="52"/>
      <c r="F5" s="52"/>
      <c r="G5" s="52"/>
      <c r="H5" s="52"/>
    </row>
    <row r="6" spans="1:8" ht="12.75">
      <c r="A6" s="54" t="s">
        <v>137</v>
      </c>
      <c r="B6" s="55"/>
      <c r="C6" s="55"/>
      <c r="D6" s="55"/>
      <c r="E6" s="55"/>
      <c r="F6" s="55"/>
      <c r="G6" s="55"/>
      <c r="H6" s="56"/>
    </row>
    <row r="7" spans="1:8" ht="12.75">
      <c r="A7" s="54"/>
      <c r="B7" s="55"/>
      <c r="C7" s="55"/>
      <c r="D7" s="55"/>
      <c r="E7" s="55"/>
      <c r="F7" s="55"/>
      <c r="G7" s="55"/>
      <c r="H7" s="56"/>
    </row>
    <row r="8" spans="1:8" ht="13.5" thickBot="1">
      <c r="A8" s="54"/>
      <c r="B8" s="55"/>
      <c r="C8" s="55"/>
      <c r="D8" s="55"/>
      <c r="E8" s="55"/>
      <c r="F8" s="55"/>
      <c r="G8" s="55"/>
      <c r="H8" s="56"/>
    </row>
    <row r="9" spans="1:8" s="79" customFormat="1" ht="17.25" customHeight="1">
      <c r="A9" s="536"/>
      <c r="B9" s="537"/>
      <c r="C9" s="537"/>
      <c r="D9" s="538"/>
      <c r="E9" s="539" t="s">
        <v>81</v>
      </c>
      <c r="F9" s="540"/>
      <c r="G9" s="541" t="s">
        <v>133</v>
      </c>
      <c r="H9" s="542"/>
    </row>
    <row r="10" spans="1:8" s="79" customFormat="1" ht="21" customHeight="1" thickBot="1">
      <c r="A10" s="543"/>
      <c r="B10" s="544"/>
      <c r="C10" s="544"/>
      <c r="D10" s="545"/>
      <c r="E10" s="546" t="s">
        <v>132</v>
      </c>
      <c r="F10" s="547" t="s">
        <v>138</v>
      </c>
      <c r="G10" s="548" t="s">
        <v>82</v>
      </c>
      <c r="H10" s="549"/>
    </row>
    <row r="11" spans="1:9" s="553" customFormat="1" ht="18" customHeight="1">
      <c r="A11" s="550" t="s">
        <v>139</v>
      </c>
      <c r="B11" s="551"/>
      <c r="C11" s="551"/>
      <c r="D11" s="552"/>
      <c r="E11" s="527">
        <v>49887925</v>
      </c>
      <c r="F11" s="528">
        <v>50413334.64</v>
      </c>
      <c r="G11" s="529">
        <v>49758446.77</v>
      </c>
      <c r="H11" s="552"/>
      <c r="I11" s="558"/>
    </row>
    <row r="12" spans="1:10" s="62" customFormat="1" ht="18" customHeight="1">
      <c r="A12" s="554" t="s">
        <v>140</v>
      </c>
      <c r="B12" s="551" t="s">
        <v>141</v>
      </c>
      <c r="C12" s="555"/>
      <c r="D12" s="556"/>
      <c r="E12" s="530"/>
      <c r="F12" s="531">
        <v>47345.34</v>
      </c>
      <c r="G12" s="527">
        <v>46106.38</v>
      </c>
      <c r="H12" s="556"/>
      <c r="J12" s="1349"/>
    </row>
    <row r="13" spans="1:9" s="62" customFormat="1" ht="14.25">
      <c r="A13" s="554"/>
      <c r="B13" s="557"/>
      <c r="C13" s="557"/>
      <c r="D13" s="556"/>
      <c r="E13" s="530"/>
      <c r="F13" s="531"/>
      <c r="G13" s="527"/>
      <c r="H13" s="556"/>
      <c r="I13" s="1349"/>
    </row>
    <row r="14" spans="1:8" s="553" customFormat="1" ht="18" customHeight="1">
      <c r="A14" s="550" t="s">
        <v>142</v>
      </c>
      <c r="B14" s="551"/>
      <c r="C14" s="551"/>
      <c r="D14" s="552"/>
      <c r="E14" s="532">
        <v>1299652</v>
      </c>
      <c r="F14" s="528">
        <v>3010860.31</v>
      </c>
      <c r="G14" s="529">
        <v>2824762.24</v>
      </c>
      <c r="H14" s="552"/>
    </row>
    <row r="15" spans="1:10" s="553" customFormat="1" ht="18" customHeight="1">
      <c r="A15" s="550" t="s">
        <v>140</v>
      </c>
      <c r="B15" s="551" t="s">
        <v>141</v>
      </c>
      <c r="C15" s="551"/>
      <c r="D15" s="552"/>
      <c r="E15" s="532"/>
      <c r="F15" s="528">
        <v>9096</v>
      </c>
      <c r="G15" s="529">
        <v>611.53</v>
      </c>
      <c r="H15" s="552"/>
      <c r="J15" s="558"/>
    </row>
    <row r="16" spans="1:8" s="62" customFormat="1" ht="14.25">
      <c r="A16" s="554"/>
      <c r="B16" s="557"/>
      <c r="C16" s="557"/>
      <c r="D16" s="556"/>
      <c r="E16" s="530"/>
      <c r="F16" s="531"/>
      <c r="G16" s="527"/>
      <c r="H16" s="556"/>
    </row>
    <row r="17" spans="1:8" s="62" customFormat="1" ht="18" customHeight="1">
      <c r="A17" s="554" t="s">
        <v>143</v>
      </c>
      <c r="B17" s="557"/>
      <c r="C17" s="557"/>
      <c r="D17" s="556"/>
      <c r="E17" s="530">
        <v>788235</v>
      </c>
      <c r="F17" s="531">
        <v>1028870.97</v>
      </c>
      <c r="G17" s="527">
        <v>1033029.08</v>
      </c>
      <c r="H17" s="556"/>
    </row>
    <row r="18" spans="1:9" s="62" customFormat="1" ht="18" customHeight="1">
      <c r="A18" s="554" t="s">
        <v>140</v>
      </c>
      <c r="B18" s="557" t="s">
        <v>141</v>
      </c>
      <c r="C18" s="557"/>
      <c r="D18" s="556"/>
      <c r="E18" s="530"/>
      <c r="F18" s="531"/>
      <c r="G18" s="527"/>
      <c r="H18" s="556"/>
      <c r="I18" s="1349"/>
    </row>
    <row r="19" spans="1:8" s="62" customFormat="1" ht="14.25">
      <c r="A19" s="554"/>
      <c r="B19" s="557"/>
      <c r="C19" s="557"/>
      <c r="D19" s="556"/>
      <c r="E19" s="530"/>
      <c r="F19" s="531"/>
      <c r="G19" s="527"/>
      <c r="H19" s="556"/>
    </row>
    <row r="20" spans="1:10" s="553" customFormat="1" ht="18" customHeight="1">
      <c r="A20" s="550" t="s">
        <v>144</v>
      </c>
      <c r="B20" s="551"/>
      <c r="C20" s="551"/>
      <c r="D20" s="552"/>
      <c r="E20" s="532"/>
      <c r="F20" s="528">
        <v>3200</v>
      </c>
      <c r="G20" s="529">
        <v>3078.97</v>
      </c>
      <c r="H20" s="552"/>
      <c r="J20" s="558"/>
    </row>
    <row r="21" spans="1:8" s="62" customFormat="1" ht="18" customHeight="1">
      <c r="A21" s="554" t="s">
        <v>140</v>
      </c>
      <c r="B21" s="557" t="s">
        <v>141</v>
      </c>
      <c r="C21" s="557"/>
      <c r="D21" s="556"/>
      <c r="E21" s="530"/>
      <c r="F21" s="531"/>
      <c r="G21" s="527"/>
      <c r="H21" s="556"/>
    </row>
    <row r="22" spans="1:8" s="62" customFormat="1" ht="14.25">
      <c r="A22" s="554"/>
      <c r="B22" s="557"/>
      <c r="C22" s="557"/>
      <c r="D22" s="556"/>
      <c r="E22" s="530"/>
      <c r="F22" s="531"/>
      <c r="G22" s="527"/>
      <c r="H22" s="556"/>
    </row>
    <row r="23" spans="1:8" s="553" customFormat="1" ht="27" customHeight="1">
      <c r="A23" s="1409" t="s">
        <v>157</v>
      </c>
      <c r="B23" s="1410"/>
      <c r="C23" s="1410"/>
      <c r="D23" s="552"/>
      <c r="E23" s="532">
        <v>108958</v>
      </c>
      <c r="F23" s="528">
        <v>344356.98</v>
      </c>
      <c r="G23" s="529">
        <v>646143.23</v>
      </c>
      <c r="H23" s="552"/>
    </row>
    <row r="24" spans="1:9" s="553" customFormat="1" ht="18" customHeight="1">
      <c r="A24" s="550" t="s">
        <v>140</v>
      </c>
      <c r="B24" s="551" t="s">
        <v>141</v>
      </c>
      <c r="D24" s="552"/>
      <c r="E24" s="532"/>
      <c r="F24" s="528">
        <v>200000</v>
      </c>
      <c r="G24" s="529">
        <v>199933.83</v>
      </c>
      <c r="H24" s="552"/>
      <c r="I24" s="558"/>
    </row>
    <row r="25" spans="1:9" s="553" customFormat="1" ht="18" customHeight="1">
      <c r="A25" s="550"/>
      <c r="B25" s="551" t="s">
        <v>145</v>
      </c>
      <c r="D25" s="552"/>
      <c r="E25" s="532"/>
      <c r="F25" s="528">
        <v>144356.98</v>
      </c>
      <c r="G25" s="529">
        <v>446209.4</v>
      </c>
      <c r="H25" s="552"/>
      <c r="I25" s="558"/>
    </row>
    <row r="26" spans="1:10" s="553" customFormat="1" ht="18" customHeight="1">
      <c r="A26" s="550"/>
      <c r="B26" s="551" t="s">
        <v>158</v>
      </c>
      <c r="D26" s="552"/>
      <c r="E26" s="532"/>
      <c r="F26" s="528"/>
      <c r="G26" s="529"/>
      <c r="H26" s="552"/>
      <c r="J26" s="558"/>
    </row>
    <row r="27" spans="1:10" s="553" customFormat="1" ht="14.25">
      <c r="A27" s="550"/>
      <c r="B27" s="551"/>
      <c r="C27" s="551"/>
      <c r="D27" s="552"/>
      <c r="E27" s="532"/>
      <c r="F27" s="528"/>
      <c r="G27" s="529"/>
      <c r="H27" s="552"/>
      <c r="J27" s="558"/>
    </row>
    <row r="28" spans="1:8" s="553" customFormat="1" ht="18" customHeight="1">
      <c r="A28" s="550" t="s">
        <v>159</v>
      </c>
      <c r="B28" s="551"/>
      <c r="C28" s="551"/>
      <c r="D28" s="552"/>
      <c r="E28" s="532">
        <v>30000</v>
      </c>
      <c r="F28" s="528">
        <v>30700.18</v>
      </c>
      <c r="G28" s="529">
        <v>37222.06</v>
      </c>
      <c r="H28" s="552"/>
    </row>
    <row r="29" spans="1:8" s="62" customFormat="1" ht="18" customHeight="1">
      <c r="A29" s="554" t="s">
        <v>140</v>
      </c>
      <c r="B29" s="557" t="s">
        <v>141</v>
      </c>
      <c r="D29" s="556"/>
      <c r="E29" s="530"/>
      <c r="F29" s="531"/>
      <c r="G29" s="527"/>
      <c r="H29" s="556"/>
    </row>
    <row r="30" spans="1:8" s="553" customFormat="1" ht="18" customHeight="1">
      <c r="A30" s="550"/>
      <c r="B30" s="551" t="s">
        <v>145</v>
      </c>
      <c r="D30" s="552"/>
      <c r="E30" s="532"/>
      <c r="F30" s="528">
        <v>30700.18</v>
      </c>
      <c r="G30" s="529">
        <v>37222.06</v>
      </c>
      <c r="H30" s="552"/>
    </row>
    <row r="31" spans="1:8" s="62" customFormat="1" ht="18" customHeight="1">
      <c r="A31" s="554"/>
      <c r="B31" s="557" t="s">
        <v>158</v>
      </c>
      <c r="D31" s="556"/>
      <c r="E31" s="530"/>
      <c r="F31" s="531"/>
      <c r="G31" s="527"/>
      <c r="H31" s="556"/>
    </row>
    <row r="32" spans="1:8" s="62" customFormat="1" ht="14.25">
      <c r="A32" s="554"/>
      <c r="B32" s="557"/>
      <c r="C32" s="557"/>
      <c r="D32" s="556"/>
      <c r="E32" s="530"/>
      <c r="F32" s="531"/>
      <c r="G32" s="527"/>
      <c r="H32" s="556"/>
    </row>
    <row r="33" spans="1:9" s="62" customFormat="1" ht="27" customHeight="1">
      <c r="A33" s="1405" t="s">
        <v>163</v>
      </c>
      <c r="B33" s="1406"/>
      <c r="C33" s="1406"/>
      <c r="D33" s="1407"/>
      <c r="E33" s="530">
        <v>177348</v>
      </c>
      <c r="F33" s="531">
        <v>287361.36</v>
      </c>
      <c r="G33" s="527">
        <v>317069.97</v>
      </c>
      <c r="H33" s="556"/>
      <c r="I33" s="1349"/>
    </row>
    <row r="34" spans="1:8" s="62" customFormat="1" ht="18" customHeight="1">
      <c r="A34" s="554" t="s">
        <v>140</v>
      </c>
      <c r="B34" s="557" t="s">
        <v>141</v>
      </c>
      <c r="D34" s="556"/>
      <c r="E34" s="530"/>
      <c r="F34" s="531"/>
      <c r="G34" s="527"/>
      <c r="H34" s="556"/>
    </row>
    <row r="35" spans="1:8" s="62" customFormat="1" ht="18" customHeight="1">
      <c r="A35" s="554"/>
      <c r="B35" s="557" t="s">
        <v>145</v>
      </c>
      <c r="D35" s="556"/>
      <c r="E35" s="530"/>
      <c r="F35" s="531">
        <v>287361.36</v>
      </c>
      <c r="G35" s="527">
        <v>317069.97</v>
      </c>
      <c r="H35" s="556"/>
    </row>
    <row r="36" spans="1:8" s="62" customFormat="1" ht="18" customHeight="1">
      <c r="A36" s="554"/>
      <c r="B36" s="557" t="s">
        <v>158</v>
      </c>
      <c r="C36" s="557"/>
      <c r="D36" s="556"/>
      <c r="E36" s="530"/>
      <c r="F36" s="531"/>
      <c r="G36" s="527"/>
      <c r="H36" s="556"/>
    </row>
    <row r="37" spans="1:8" s="62" customFormat="1" ht="14.25">
      <c r="A37" s="554"/>
      <c r="B37" s="557"/>
      <c r="C37" s="557"/>
      <c r="D37" s="556"/>
      <c r="E37" s="530"/>
      <c r="F37" s="531"/>
      <c r="G37" s="527"/>
      <c r="H37" s="556"/>
    </row>
    <row r="38" spans="1:8" s="553" customFormat="1" ht="27.75" customHeight="1">
      <c r="A38" s="1411" t="s">
        <v>162</v>
      </c>
      <c r="B38" s="1412"/>
      <c r="C38" s="1413"/>
      <c r="D38" s="552"/>
      <c r="E38" s="532"/>
      <c r="F38" s="528"/>
      <c r="G38" s="529"/>
      <c r="H38" s="552"/>
    </row>
    <row r="39" spans="1:8" s="553" customFormat="1" ht="18" customHeight="1">
      <c r="A39" s="550" t="s">
        <v>140</v>
      </c>
      <c r="B39" s="551" t="s">
        <v>141</v>
      </c>
      <c r="D39" s="552"/>
      <c r="E39" s="532"/>
      <c r="F39" s="528"/>
      <c r="G39" s="529"/>
      <c r="H39" s="552"/>
    </row>
    <row r="40" spans="1:8" s="553" customFormat="1" ht="18" customHeight="1">
      <c r="A40" s="550"/>
      <c r="B40" s="551" t="s">
        <v>145</v>
      </c>
      <c r="D40" s="552"/>
      <c r="E40" s="532"/>
      <c r="F40" s="528"/>
      <c r="G40" s="529"/>
      <c r="H40" s="552"/>
    </row>
    <row r="41" spans="1:8" s="553" customFormat="1" ht="18" customHeight="1">
      <c r="A41" s="550"/>
      <c r="B41" s="551" t="s">
        <v>158</v>
      </c>
      <c r="C41" s="551"/>
      <c r="D41" s="552"/>
      <c r="E41" s="532"/>
      <c r="F41" s="528"/>
      <c r="G41" s="529"/>
      <c r="H41" s="552"/>
    </row>
    <row r="42" spans="1:8" s="62" customFormat="1" ht="14.25">
      <c r="A42" s="554"/>
      <c r="B42" s="557"/>
      <c r="C42" s="557"/>
      <c r="D42" s="556"/>
      <c r="E42" s="530"/>
      <c r="F42" s="531"/>
      <c r="G42" s="527"/>
      <c r="H42" s="556"/>
    </row>
    <row r="43" spans="1:8" s="62" customFormat="1" ht="28.5" customHeight="1">
      <c r="A43" s="1405" t="s">
        <v>146</v>
      </c>
      <c r="B43" s="1406"/>
      <c r="C43" s="1406"/>
      <c r="D43" s="1407"/>
      <c r="E43" s="530"/>
      <c r="F43" s="531"/>
      <c r="G43" s="527"/>
      <c r="H43" s="556"/>
    </row>
    <row r="44" spans="1:8" s="62" customFormat="1" ht="18" customHeight="1">
      <c r="A44" s="554" t="s">
        <v>140</v>
      </c>
      <c r="B44" s="557" t="s">
        <v>147</v>
      </c>
      <c r="C44" s="557"/>
      <c r="D44" s="556"/>
      <c r="E44" s="530"/>
      <c r="F44" s="531"/>
      <c r="G44" s="529"/>
      <c r="H44" s="556"/>
    </row>
    <row r="45" spans="1:8" s="62" customFormat="1" ht="18" customHeight="1">
      <c r="A45" s="554"/>
      <c r="B45" s="557" t="s">
        <v>148</v>
      </c>
      <c r="C45" s="557"/>
      <c r="D45" s="556"/>
      <c r="E45" s="530"/>
      <c r="F45" s="531"/>
      <c r="G45" s="529"/>
      <c r="H45" s="556"/>
    </row>
    <row r="46" spans="1:8" s="62" customFormat="1" ht="14.25">
      <c r="A46" s="554"/>
      <c r="B46" s="557"/>
      <c r="C46" s="557"/>
      <c r="D46" s="556"/>
      <c r="E46" s="530"/>
      <c r="F46" s="531"/>
      <c r="G46" s="527"/>
      <c r="H46" s="556"/>
    </row>
    <row r="47" spans="1:9" s="553" customFormat="1" ht="18" customHeight="1">
      <c r="A47" s="550" t="s">
        <v>149</v>
      </c>
      <c r="B47" s="551"/>
      <c r="C47" s="551"/>
      <c r="D47" s="552"/>
      <c r="E47" s="530">
        <v>50962466</v>
      </c>
      <c r="F47" s="531">
        <v>52073923.95</v>
      </c>
      <c r="G47" s="529">
        <v>51754689.05</v>
      </c>
      <c r="H47" s="556"/>
      <c r="I47" s="558"/>
    </row>
    <row r="48" spans="1:8" s="553" customFormat="1" ht="18" customHeight="1">
      <c r="A48" s="550" t="s">
        <v>140</v>
      </c>
      <c r="B48" s="551" t="s">
        <v>141</v>
      </c>
      <c r="C48" s="551"/>
      <c r="D48" s="552"/>
      <c r="E48" s="530"/>
      <c r="F48" s="531">
        <v>247345.34</v>
      </c>
      <c r="G48" s="529">
        <v>246040.21</v>
      </c>
      <c r="H48" s="556"/>
    </row>
    <row r="49" spans="1:8" s="553" customFormat="1" ht="14.25">
      <c r="A49" s="550"/>
      <c r="B49" s="551"/>
      <c r="C49" s="551"/>
      <c r="D49" s="552"/>
      <c r="E49" s="530"/>
      <c r="F49" s="531"/>
      <c r="G49" s="529"/>
      <c r="H49" s="556"/>
    </row>
    <row r="50" spans="1:8" s="553" customFormat="1" ht="14.25">
      <c r="A50" s="550"/>
      <c r="B50" s="551"/>
      <c r="C50" s="551"/>
      <c r="D50" s="552"/>
      <c r="E50" s="530"/>
      <c r="F50" s="531"/>
      <c r="G50" s="529"/>
      <c r="H50" s="556"/>
    </row>
    <row r="51" spans="1:9" s="553" customFormat="1" ht="18" customHeight="1">
      <c r="A51" s="550" t="s">
        <v>150</v>
      </c>
      <c r="B51" s="551"/>
      <c r="C51" s="551"/>
      <c r="D51" s="552"/>
      <c r="E51" s="530">
        <v>1329652</v>
      </c>
      <c r="F51" s="531">
        <v>3044760.49</v>
      </c>
      <c r="G51" s="529">
        <v>2865063.26</v>
      </c>
      <c r="H51" s="556"/>
      <c r="I51" s="558"/>
    </row>
    <row r="52" spans="1:8" s="553" customFormat="1" ht="18" customHeight="1">
      <c r="A52" s="550" t="s">
        <v>140</v>
      </c>
      <c r="B52" s="551" t="s">
        <v>141</v>
      </c>
      <c r="C52" s="551"/>
      <c r="D52" s="552"/>
      <c r="E52" s="530"/>
      <c r="F52" s="531">
        <v>20270</v>
      </c>
      <c r="G52" s="529">
        <v>611.53</v>
      </c>
      <c r="H52" s="556"/>
    </row>
    <row r="53" spans="1:8" s="62" customFormat="1" ht="14.25">
      <c r="A53" s="554"/>
      <c r="B53" s="557"/>
      <c r="C53" s="557"/>
      <c r="D53" s="556"/>
      <c r="E53" s="530"/>
      <c r="F53" s="531"/>
      <c r="G53" s="527"/>
      <c r="H53" s="556"/>
    </row>
    <row r="54" spans="1:8" s="62" customFormat="1" ht="15" thickBot="1">
      <c r="A54" s="559"/>
      <c r="B54" s="560"/>
      <c r="C54" s="560"/>
      <c r="D54" s="561"/>
      <c r="E54" s="533"/>
      <c r="F54" s="534"/>
      <c r="G54" s="535"/>
      <c r="H54" s="561"/>
    </row>
    <row r="55" spans="1:8" ht="12.75">
      <c r="A55" s="59"/>
      <c r="B55" s="59"/>
      <c r="C55" s="59"/>
      <c r="D55" s="59"/>
      <c r="E55" s="59"/>
      <c r="F55" s="59"/>
      <c r="G55" s="59"/>
      <c r="H55" s="59"/>
    </row>
    <row r="56" spans="1:8" ht="12.75">
      <c r="A56" s="59"/>
      <c r="B56" s="59"/>
      <c r="C56" s="59"/>
      <c r="D56" s="59"/>
      <c r="E56" s="95"/>
      <c r="F56" s="95"/>
      <c r="G56" s="95"/>
      <c r="H56" s="59"/>
    </row>
    <row r="57" spans="1:8" ht="12.75">
      <c r="A57" s="59"/>
      <c r="B57" s="59"/>
      <c r="C57" s="59"/>
      <c r="D57" s="59"/>
      <c r="E57" s="59"/>
      <c r="F57" s="59"/>
      <c r="G57" s="59"/>
      <c r="H57" s="59"/>
    </row>
    <row r="58" spans="1:8" ht="18" customHeight="1">
      <c r="A58" s="59"/>
      <c r="B58" s="59"/>
      <c r="C58" s="59"/>
      <c r="D58" s="59"/>
      <c r="E58" s="59"/>
      <c r="F58" s="59"/>
      <c r="G58" s="59"/>
      <c r="H58" s="59"/>
    </row>
    <row r="59" spans="1:7" s="563" customFormat="1" ht="14.25">
      <c r="A59" s="562" t="s">
        <v>592</v>
      </c>
      <c r="B59" s="51"/>
      <c r="C59" s="51" t="s">
        <v>587</v>
      </c>
      <c r="D59" s="51"/>
      <c r="E59" s="51"/>
      <c r="F59" s="1408" t="s">
        <v>83</v>
      </c>
      <c r="G59" s="1408"/>
    </row>
    <row r="60" spans="1:7" s="7" customFormat="1" ht="12.75">
      <c r="A60" s="6"/>
      <c r="B60" s="6"/>
      <c r="C60" s="6"/>
      <c r="D60" s="6"/>
      <c r="E60" s="6"/>
      <c r="F60" s="6"/>
      <c r="G60" s="60"/>
    </row>
    <row r="61" s="7" customFormat="1" ht="12.75">
      <c r="A61" s="58"/>
    </row>
    <row r="62" s="7" customFormat="1" ht="12.75">
      <c r="A62" s="58"/>
    </row>
    <row r="63" ht="12.75">
      <c r="A63" s="59"/>
    </row>
    <row r="64" ht="12.75">
      <c r="A64" s="59"/>
    </row>
    <row r="65" ht="12.75">
      <c r="A65" s="59"/>
    </row>
    <row r="66" ht="12.75">
      <c r="A66" s="59"/>
    </row>
    <row r="67" ht="12.75">
      <c r="A67" s="59"/>
    </row>
  </sheetData>
  <sheetProtection/>
  <mergeCells count="5">
    <mergeCell ref="A43:D43"/>
    <mergeCell ref="F59:G59"/>
    <mergeCell ref="A33:D33"/>
    <mergeCell ref="A23:C23"/>
    <mergeCell ref="A38:C38"/>
  </mergeCells>
  <printOptions horizontalCentered="1"/>
  <pageMargins left="0.984251968503937" right="0.984251968503937" top="0.984251968503937" bottom="0.984251968503937" header="0.7086614173228347" footer="0.31496062992125984"/>
  <pageSetup fitToHeight="1" fitToWidth="1" horizontalDpi="600" verticalDpi="600" orientation="portrait" paperSize="9" scale="64" r:id="rId1"/>
  <headerFooter alignWithMargins="0">
    <oddFooter>&amp;C&amp;12&amp;P+46
&amp;10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showGridLines="0" tabSelected="1" zoomScalePageLayoutView="0" workbookViewId="0" topLeftCell="A28">
      <selection activeCell="F20" sqref="F20"/>
    </sheetView>
  </sheetViews>
  <sheetFormatPr defaultColWidth="9.00390625" defaultRowHeight="12.75"/>
  <cols>
    <col min="1" max="1" width="7.125" style="61" customWidth="1"/>
    <col min="2" max="2" width="16.75390625" style="61" customWidth="1"/>
    <col min="3" max="3" width="33.375" style="61" customWidth="1"/>
    <col min="4" max="4" width="0.74609375" style="61" customWidth="1"/>
    <col min="5" max="5" width="13.625" style="61" customWidth="1"/>
    <col min="6" max="6" width="1.37890625" style="61" customWidth="1"/>
    <col min="7" max="7" width="12.75390625" style="61" customWidth="1"/>
    <col min="8" max="8" width="1.25" style="61" customWidth="1"/>
    <col min="9" max="9" width="12.625" style="61" customWidth="1"/>
    <col min="10" max="10" width="1.12109375" style="61" customWidth="1"/>
    <col min="11" max="11" width="10.00390625" style="61" customWidth="1"/>
    <col min="12" max="16384" width="9.125" style="61" customWidth="1"/>
  </cols>
  <sheetData>
    <row r="1" spans="1:9" ht="45" customHeight="1">
      <c r="A1" s="61" t="s">
        <v>134</v>
      </c>
      <c r="I1" s="78" t="s">
        <v>151</v>
      </c>
    </row>
    <row r="3" ht="12.75">
      <c r="I3" s="63"/>
    </row>
    <row r="4" ht="12.75">
      <c r="I4" s="63"/>
    </row>
    <row r="5" ht="21.75" customHeight="1">
      <c r="I5" s="63"/>
    </row>
    <row r="6" spans="1:10" s="62" customFormat="1" ht="15">
      <c r="A6" s="64" t="s">
        <v>152</v>
      </c>
      <c r="B6" s="65"/>
      <c r="C6" s="65"/>
      <c r="D6" s="65"/>
      <c r="E6" s="65"/>
      <c r="F6" s="65"/>
      <c r="G6" s="65"/>
      <c r="H6" s="65"/>
      <c r="I6" s="65"/>
      <c r="J6" s="65"/>
    </row>
    <row r="7" spans="1:10" s="68" customFormat="1" ht="15">
      <c r="A7" s="66"/>
      <c r="B7" s="1414" t="s">
        <v>161</v>
      </c>
      <c r="C7" s="1414"/>
      <c r="D7" s="1414"/>
      <c r="E7" s="1414"/>
      <c r="F7" s="1414"/>
      <c r="G7" s="1414"/>
      <c r="H7" s="1414"/>
      <c r="I7" s="1414"/>
      <c r="J7" s="67"/>
    </row>
    <row r="8" spans="1:10" s="68" customFormat="1" ht="12.75">
      <c r="A8" s="1415" t="s">
        <v>137</v>
      </c>
      <c r="B8" s="1415"/>
      <c r="C8" s="1415"/>
      <c r="D8" s="1415"/>
      <c r="E8" s="1415"/>
      <c r="F8" s="1415"/>
      <c r="G8" s="1415"/>
      <c r="H8" s="1415"/>
      <c r="I8" s="1415"/>
      <c r="J8" s="67"/>
    </row>
    <row r="9" spans="1:10" s="68" customFormat="1" ht="12.75">
      <c r="A9" s="97"/>
      <c r="B9" s="97"/>
      <c r="C9" s="97"/>
      <c r="D9" s="97"/>
      <c r="E9" s="97"/>
      <c r="F9" s="97"/>
      <c r="G9" s="97"/>
      <c r="H9" s="97"/>
      <c r="I9" s="97"/>
      <c r="J9" s="67"/>
    </row>
    <row r="10" spans="2:10" ht="12.75">
      <c r="B10" s="67"/>
      <c r="D10" s="67"/>
      <c r="E10" s="67"/>
      <c r="F10" s="67"/>
      <c r="G10" s="67"/>
      <c r="H10" s="67"/>
      <c r="I10" s="67"/>
      <c r="J10" s="69"/>
    </row>
    <row r="11" spans="1:10" ht="20.25" customHeight="1" thickBot="1">
      <c r="A11" s="67"/>
      <c r="B11" s="67"/>
      <c r="C11" s="67"/>
      <c r="D11" s="67"/>
      <c r="E11" s="67"/>
      <c r="F11" s="67"/>
      <c r="G11" s="67"/>
      <c r="H11" s="67"/>
      <c r="I11" s="67"/>
      <c r="J11" s="69"/>
    </row>
    <row r="12" spans="1:10" s="84" customFormat="1" ht="17.25" customHeight="1">
      <c r="A12" s="57"/>
      <c r="B12" s="80"/>
      <c r="C12" s="80"/>
      <c r="D12" s="81"/>
      <c r="E12" s="98" t="s">
        <v>81</v>
      </c>
      <c r="F12" s="98"/>
      <c r="G12" s="98"/>
      <c r="H12" s="99"/>
      <c r="I12" s="82" t="s">
        <v>133</v>
      </c>
      <c r="J12" s="83"/>
    </row>
    <row r="13" spans="1:10" s="84" customFormat="1" ht="17.25" customHeight="1" thickBot="1">
      <c r="A13" s="85"/>
      <c r="B13" s="86"/>
      <c r="C13" s="86"/>
      <c r="D13" s="87"/>
      <c r="E13" s="88" t="s">
        <v>132</v>
      </c>
      <c r="F13" s="100"/>
      <c r="G13" s="88" t="s">
        <v>138</v>
      </c>
      <c r="H13" s="100"/>
      <c r="I13" s="88" t="s">
        <v>84</v>
      </c>
      <c r="J13" s="89"/>
    </row>
    <row r="14" spans="1:10" ht="15.75" customHeight="1">
      <c r="A14" s="73"/>
      <c r="B14" s="74"/>
      <c r="C14" s="74"/>
      <c r="D14" s="75"/>
      <c r="E14" s="74"/>
      <c r="F14" s="76"/>
      <c r="G14" s="74"/>
      <c r="H14" s="76"/>
      <c r="I14" s="74"/>
      <c r="J14" s="75"/>
    </row>
    <row r="15" spans="1:11" ht="15.75" customHeight="1">
      <c r="A15" s="93" t="s">
        <v>86</v>
      </c>
      <c r="B15" s="92"/>
      <c r="C15" s="92"/>
      <c r="D15" s="94"/>
      <c r="E15" s="105">
        <v>67770</v>
      </c>
      <c r="F15" s="106"/>
      <c r="G15" s="105">
        <v>278604.27</v>
      </c>
      <c r="H15" s="106"/>
      <c r="I15" s="105">
        <v>381167.04</v>
      </c>
      <c r="J15" s="107"/>
      <c r="K15" s="108"/>
    </row>
    <row r="16" spans="1:11" ht="15.75" customHeight="1">
      <c r="A16" s="93" t="s">
        <v>140</v>
      </c>
      <c r="B16" s="91" t="s">
        <v>141</v>
      </c>
      <c r="C16" s="92"/>
      <c r="D16" s="94"/>
      <c r="E16" s="105"/>
      <c r="F16" s="106"/>
      <c r="G16" s="105">
        <v>190511.62</v>
      </c>
      <c r="H16" s="106"/>
      <c r="I16" s="105">
        <v>190445.45</v>
      </c>
      <c r="J16" s="107"/>
      <c r="K16" s="109"/>
    </row>
    <row r="17" spans="1:11" ht="15.75" customHeight="1">
      <c r="A17" s="93"/>
      <c r="B17" s="92"/>
      <c r="C17" s="92"/>
      <c r="D17" s="94"/>
      <c r="E17" s="105"/>
      <c r="F17" s="106"/>
      <c r="G17" s="105"/>
      <c r="H17" s="106"/>
      <c r="I17" s="105"/>
      <c r="J17" s="107"/>
      <c r="K17" s="109"/>
    </row>
    <row r="18" spans="1:11" ht="15.75" customHeight="1">
      <c r="A18" s="93" t="s">
        <v>87</v>
      </c>
      <c r="B18" s="92"/>
      <c r="C18" s="92"/>
      <c r="D18" s="94"/>
      <c r="E18" s="105">
        <v>0</v>
      </c>
      <c r="F18" s="106"/>
      <c r="G18" s="105">
        <v>0</v>
      </c>
      <c r="H18" s="106"/>
      <c r="I18" s="105">
        <v>2019.62</v>
      </c>
      <c r="J18" s="107"/>
      <c r="K18" s="109"/>
    </row>
    <row r="19" spans="1:11" ht="15.75" customHeight="1">
      <c r="A19" s="93" t="s">
        <v>140</v>
      </c>
      <c r="B19" s="92" t="s">
        <v>141</v>
      </c>
      <c r="C19" s="92"/>
      <c r="D19" s="94"/>
      <c r="E19" s="104"/>
      <c r="F19" s="106"/>
      <c r="G19" s="104"/>
      <c r="H19" s="106"/>
      <c r="I19" s="104"/>
      <c r="J19" s="107"/>
      <c r="K19" s="109"/>
    </row>
    <row r="20" spans="1:11" ht="15.75" customHeight="1">
      <c r="A20" s="93"/>
      <c r="B20" s="92"/>
      <c r="C20" s="92"/>
      <c r="D20" s="94"/>
      <c r="E20" s="105"/>
      <c r="F20" s="106"/>
      <c r="G20" s="105"/>
      <c r="H20" s="106"/>
      <c r="I20" s="105"/>
      <c r="J20" s="107"/>
      <c r="K20" s="109"/>
    </row>
    <row r="21" spans="1:11" ht="15.75" customHeight="1">
      <c r="A21" s="93" t="s">
        <v>88</v>
      </c>
      <c r="B21" s="92"/>
      <c r="C21" s="92"/>
      <c r="D21" s="94"/>
      <c r="E21" s="105"/>
      <c r="F21" s="106"/>
      <c r="G21" s="105"/>
      <c r="H21" s="106"/>
      <c r="I21" s="105"/>
      <c r="J21" s="107"/>
      <c r="K21" s="109"/>
    </row>
    <row r="22" spans="1:11" ht="15.75" customHeight="1">
      <c r="A22" s="93" t="s">
        <v>153</v>
      </c>
      <c r="B22" s="92"/>
      <c r="C22" s="92"/>
      <c r="D22" s="94"/>
      <c r="E22" s="105"/>
      <c r="F22" s="106"/>
      <c r="G22" s="105"/>
      <c r="H22" s="106"/>
      <c r="I22" s="105"/>
      <c r="J22" s="107"/>
      <c r="K22" s="109"/>
    </row>
    <row r="23" spans="1:11" ht="15.75" customHeight="1">
      <c r="A23" s="93" t="s">
        <v>140</v>
      </c>
      <c r="B23" s="92" t="s">
        <v>141</v>
      </c>
      <c r="C23" s="92"/>
      <c r="D23" s="94"/>
      <c r="E23" s="104"/>
      <c r="F23" s="106"/>
      <c r="G23" s="104"/>
      <c r="H23" s="106"/>
      <c r="I23" s="104"/>
      <c r="J23" s="107"/>
      <c r="K23" s="109"/>
    </row>
    <row r="24" spans="1:11" ht="15.75" customHeight="1">
      <c r="A24" s="93"/>
      <c r="B24" s="92"/>
      <c r="C24" s="92"/>
      <c r="D24" s="94"/>
      <c r="E24" s="105"/>
      <c r="F24" s="106"/>
      <c r="G24" s="105"/>
      <c r="H24" s="106"/>
      <c r="I24" s="105"/>
      <c r="J24" s="107"/>
      <c r="K24" s="109"/>
    </row>
    <row r="25" spans="1:11" ht="15.75" customHeight="1">
      <c r="A25" s="93" t="s">
        <v>89</v>
      </c>
      <c r="B25" s="92"/>
      <c r="C25" s="92"/>
      <c r="D25" s="94"/>
      <c r="E25" s="105"/>
      <c r="F25" s="106"/>
      <c r="G25" s="105"/>
      <c r="H25" s="106"/>
      <c r="I25" s="105"/>
      <c r="J25" s="107"/>
      <c r="K25" s="109"/>
    </row>
    <row r="26" spans="1:11" ht="15.75" customHeight="1">
      <c r="A26" s="93" t="s">
        <v>153</v>
      </c>
      <c r="B26" s="92"/>
      <c r="C26" s="92"/>
      <c r="D26" s="94"/>
      <c r="E26" s="105"/>
      <c r="F26" s="106"/>
      <c r="G26" s="105"/>
      <c r="H26" s="106"/>
      <c r="I26" s="105"/>
      <c r="J26" s="107"/>
      <c r="K26" s="109"/>
    </row>
    <row r="27" spans="1:11" ht="15.75" customHeight="1">
      <c r="A27" s="93" t="s">
        <v>140</v>
      </c>
      <c r="B27" s="92" t="s">
        <v>141</v>
      </c>
      <c r="C27" s="92"/>
      <c r="D27" s="94"/>
      <c r="E27" s="105"/>
      <c r="F27" s="106"/>
      <c r="G27" s="105"/>
      <c r="H27" s="106"/>
      <c r="I27" s="105"/>
      <c r="J27" s="107"/>
      <c r="K27" s="109"/>
    </row>
    <row r="28" spans="1:11" s="77" customFormat="1" ht="15.75" customHeight="1">
      <c r="A28" s="90"/>
      <c r="B28" s="91"/>
      <c r="C28" s="91"/>
      <c r="D28" s="96"/>
      <c r="E28" s="104"/>
      <c r="F28" s="110"/>
      <c r="G28" s="104"/>
      <c r="H28" s="110"/>
      <c r="I28" s="104"/>
      <c r="J28" s="111"/>
      <c r="K28" s="112"/>
    </row>
    <row r="29" spans="1:11" s="77" customFormat="1" ht="15.75" customHeight="1">
      <c r="A29" s="90" t="s">
        <v>90</v>
      </c>
      <c r="B29" s="91"/>
      <c r="C29" s="91"/>
      <c r="D29" s="96"/>
      <c r="E29" s="104">
        <v>41188</v>
      </c>
      <c r="F29" s="110"/>
      <c r="G29" s="104">
        <v>65752.71</v>
      </c>
      <c r="H29" s="110"/>
      <c r="I29" s="104">
        <v>264976.19</v>
      </c>
      <c r="J29" s="111"/>
      <c r="K29" s="112"/>
    </row>
    <row r="30" spans="1:11" s="77" customFormat="1" ht="15.75" customHeight="1">
      <c r="A30" s="90" t="s">
        <v>140</v>
      </c>
      <c r="B30" s="91" t="s">
        <v>141</v>
      </c>
      <c r="C30" s="91"/>
      <c r="D30" s="96"/>
      <c r="E30" s="104"/>
      <c r="F30" s="110"/>
      <c r="G30" s="104">
        <v>9488.38</v>
      </c>
      <c r="H30" s="110"/>
      <c r="I30" s="104">
        <v>9488.38</v>
      </c>
      <c r="J30" s="111"/>
      <c r="K30" s="112"/>
    </row>
    <row r="31" spans="1:11" s="77" customFormat="1" ht="15.75" customHeight="1">
      <c r="A31" s="90"/>
      <c r="B31" s="91"/>
      <c r="C31" s="91"/>
      <c r="D31" s="96"/>
      <c r="E31" s="104"/>
      <c r="F31" s="110"/>
      <c r="G31" s="104"/>
      <c r="H31" s="110"/>
      <c r="I31" s="104"/>
      <c r="J31" s="111"/>
      <c r="K31" s="112"/>
    </row>
    <row r="32" spans="1:11" s="77" customFormat="1" ht="15.75" customHeight="1">
      <c r="A32" s="90" t="s">
        <v>91</v>
      </c>
      <c r="B32" s="91"/>
      <c r="C32" s="91"/>
      <c r="D32" s="96"/>
      <c r="E32" s="104">
        <v>30000</v>
      </c>
      <c r="F32" s="110"/>
      <c r="G32" s="104">
        <v>30700.18</v>
      </c>
      <c r="H32" s="110"/>
      <c r="I32" s="104">
        <v>35202.44</v>
      </c>
      <c r="J32" s="111"/>
      <c r="K32" s="112"/>
    </row>
    <row r="33" spans="1:11" ht="15.75" customHeight="1">
      <c r="A33" s="93" t="s">
        <v>140</v>
      </c>
      <c r="B33" s="92" t="s">
        <v>141</v>
      </c>
      <c r="C33" s="92"/>
      <c r="D33" s="94"/>
      <c r="E33" s="105"/>
      <c r="F33" s="106"/>
      <c r="G33" s="105"/>
      <c r="H33" s="106"/>
      <c r="I33" s="105"/>
      <c r="J33" s="107"/>
      <c r="K33" s="109"/>
    </row>
    <row r="34" spans="1:11" ht="15.75" customHeight="1">
      <c r="A34" s="93"/>
      <c r="B34" s="92"/>
      <c r="C34" s="92"/>
      <c r="D34" s="94"/>
      <c r="E34" s="105"/>
      <c r="F34" s="106"/>
      <c r="G34" s="105"/>
      <c r="H34" s="106"/>
      <c r="I34" s="105"/>
      <c r="J34" s="107"/>
      <c r="K34" s="109"/>
    </row>
    <row r="35" spans="1:11" ht="15.75" customHeight="1">
      <c r="A35" s="93" t="s">
        <v>88</v>
      </c>
      <c r="B35" s="92"/>
      <c r="C35" s="92"/>
      <c r="D35" s="94"/>
      <c r="E35" s="105"/>
      <c r="F35" s="106"/>
      <c r="G35" s="105"/>
      <c r="H35" s="106"/>
      <c r="I35" s="105"/>
      <c r="J35" s="107"/>
      <c r="K35" s="109"/>
    </row>
    <row r="36" spans="1:11" ht="15.75" customHeight="1">
      <c r="A36" s="93" t="s">
        <v>154</v>
      </c>
      <c r="B36" s="92"/>
      <c r="C36" s="92"/>
      <c r="D36" s="94"/>
      <c r="E36" s="105"/>
      <c r="F36" s="106"/>
      <c r="G36" s="105"/>
      <c r="H36" s="106"/>
      <c r="I36" s="105"/>
      <c r="J36" s="107"/>
      <c r="K36" s="109"/>
    </row>
    <row r="37" spans="1:11" ht="15.75" customHeight="1">
      <c r="A37" s="93" t="s">
        <v>140</v>
      </c>
      <c r="B37" s="92" t="s">
        <v>141</v>
      </c>
      <c r="C37" s="92"/>
      <c r="D37" s="94"/>
      <c r="E37" s="105"/>
      <c r="F37" s="106"/>
      <c r="G37" s="105"/>
      <c r="H37" s="106"/>
      <c r="I37" s="105"/>
      <c r="J37" s="107"/>
      <c r="K37" s="109"/>
    </row>
    <row r="38" spans="1:11" ht="15.75" customHeight="1">
      <c r="A38" s="93"/>
      <c r="B38" s="92"/>
      <c r="C38" s="92"/>
      <c r="D38" s="94"/>
      <c r="E38" s="105"/>
      <c r="F38" s="106"/>
      <c r="G38" s="105"/>
      <c r="H38" s="106"/>
      <c r="I38" s="105"/>
      <c r="J38" s="107"/>
      <c r="K38" s="109"/>
    </row>
    <row r="39" spans="1:11" ht="15.75" customHeight="1">
      <c r="A39" s="93" t="s">
        <v>89</v>
      </c>
      <c r="B39" s="92"/>
      <c r="C39" s="92"/>
      <c r="D39" s="94"/>
      <c r="E39" s="105"/>
      <c r="F39" s="106"/>
      <c r="G39" s="105"/>
      <c r="H39" s="106"/>
      <c r="I39" s="105"/>
      <c r="J39" s="107"/>
      <c r="K39" s="109"/>
    </row>
    <row r="40" spans="1:11" ht="15.75" customHeight="1">
      <c r="A40" s="93" t="s">
        <v>154</v>
      </c>
      <c r="B40" s="92"/>
      <c r="C40" s="92"/>
      <c r="D40" s="94"/>
      <c r="E40" s="105"/>
      <c r="F40" s="106"/>
      <c r="G40" s="105"/>
      <c r="H40" s="106"/>
      <c r="I40" s="105"/>
      <c r="J40" s="107"/>
      <c r="K40" s="109"/>
    </row>
    <row r="41" spans="1:11" ht="15.75" customHeight="1">
      <c r="A41" s="93" t="s">
        <v>140</v>
      </c>
      <c r="B41" s="92" t="s">
        <v>141</v>
      </c>
      <c r="C41" s="92"/>
      <c r="D41" s="94"/>
      <c r="E41" s="105"/>
      <c r="F41" s="106"/>
      <c r="G41" s="105"/>
      <c r="H41" s="106"/>
      <c r="I41" s="105"/>
      <c r="J41" s="107"/>
      <c r="K41" s="109"/>
    </row>
    <row r="42" spans="1:11" ht="15.75" customHeight="1">
      <c r="A42" s="93"/>
      <c r="B42" s="92"/>
      <c r="C42" s="92"/>
      <c r="D42" s="94"/>
      <c r="E42" s="105"/>
      <c r="F42" s="106"/>
      <c r="G42" s="105"/>
      <c r="H42" s="106"/>
      <c r="I42" s="105"/>
      <c r="J42" s="107"/>
      <c r="K42" s="109"/>
    </row>
    <row r="43" spans="1:11" ht="15.75" customHeight="1">
      <c r="A43" s="93" t="s">
        <v>155</v>
      </c>
      <c r="B43" s="92"/>
      <c r="C43" s="92"/>
      <c r="D43" s="94"/>
      <c r="E43" s="105"/>
      <c r="F43" s="106"/>
      <c r="G43" s="105"/>
      <c r="H43" s="106"/>
      <c r="I43" s="105"/>
      <c r="J43" s="107"/>
      <c r="K43" s="109"/>
    </row>
    <row r="44" spans="1:11" ht="15.75" customHeight="1">
      <c r="A44" s="93" t="s">
        <v>156</v>
      </c>
      <c r="B44" s="92"/>
      <c r="C44" s="92"/>
      <c r="D44" s="94"/>
      <c r="E44" s="105"/>
      <c r="F44" s="106"/>
      <c r="G44" s="105"/>
      <c r="H44" s="106"/>
      <c r="I44" s="105"/>
      <c r="J44" s="107"/>
      <c r="K44" s="109"/>
    </row>
    <row r="45" spans="1:11" ht="15.75" customHeight="1">
      <c r="A45" s="93" t="s">
        <v>140</v>
      </c>
      <c r="B45" s="92" t="s">
        <v>141</v>
      </c>
      <c r="C45" s="92"/>
      <c r="D45" s="94"/>
      <c r="E45" s="105"/>
      <c r="F45" s="106"/>
      <c r="G45" s="105"/>
      <c r="H45" s="106"/>
      <c r="I45" s="105"/>
      <c r="J45" s="107"/>
      <c r="K45" s="109"/>
    </row>
    <row r="46" spans="1:11" ht="15.75" customHeight="1" thickBot="1">
      <c r="A46" s="70"/>
      <c r="B46" s="71"/>
      <c r="C46" s="71"/>
      <c r="D46" s="72"/>
      <c r="E46" s="113"/>
      <c r="F46" s="114"/>
      <c r="G46" s="113"/>
      <c r="H46" s="114"/>
      <c r="I46" s="113"/>
      <c r="J46" s="115"/>
      <c r="K46" s="109"/>
    </row>
    <row r="47" spans="1:10" ht="12.75">
      <c r="A47" s="74"/>
      <c r="B47" s="74"/>
      <c r="C47" s="74"/>
      <c r="D47" s="74"/>
      <c r="E47" s="74"/>
      <c r="F47" s="74"/>
      <c r="G47" s="74"/>
      <c r="H47" s="74"/>
      <c r="I47" s="74"/>
      <c r="J47" s="74"/>
    </row>
    <row r="48" spans="1:10" ht="12.75">
      <c r="A48" s="74"/>
      <c r="B48" s="74"/>
      <c r="C48" s="74"/>
      <c r="D48" s="74"/>
      <c r="E48" s="74"/>
      <c r="F48" s="74"/>
      <c r="G48" s="74"/>
      <c r="H48" s="74"/>
      <c r="I48" s="74"/>
      <c r="J48" s="74"/>
    </row>
    <row r="49" spans="1:10" s="101" customFormat="1" ht="12.75">
      <c r="A49" s="1124" t="s">
        <v>593</v>
      </c>
      <c r="B49" s="1124"/>
      <c r="C49" s="1124"/>
      <c r="D49" s="1124"/>
      <c r="E49" s="1124"/>
      <c r="F49" s="1124"/>
      <c r="G49" s="1124"/>
      <c r="H49" s="1124"/>
      <c r="I49" s="1124"/>
      <c r="J49" s="1124"/>
    </row>
    <row r="50" spans="1:9" ht="12.75">
      <c r="A50" s="6"/>
      <c r="B50" s="6"/>
      <c r="C50" s="6"/>
      <c r="D50" s="6"/>
      <c r="E50" s="6"/>
      <c r="G50" s="6"/>
      <c r="H50" s="6"/>
      <c r="I50" s="60"/>
    </row>
    <row r="51" ht="12.75">
      <c r="A51" s="74"/>
    </row>
    <row r="52" ht="12.75">
      <c r="A52" s="74"/>
    </row>
    <row r="53" ht="12.75">
      <c r="A53" s="74"/>
    </row>
    <row r="54" ht="12.75">
      <c r="A54" s="74"/>
    </row>
    <row r="55" ht="12.75">
      <c r="A55" s="74"/>
    </row>
    <row r="56" ht="12.75">
      <c r="A56" s="74"/>
    </row>
    <row r="57" ht="12.75">
      <c r="A57" s="74"/>
    </row>
  </sheetData>
  <sheetProtection/>
  <mergeCells count="2">
    <mergeCell ref="B7:I7"/>
    <mergeCell ref="A8:I8"/>
  </mergeCells>
  <printOptions horizontalCentered="1"/>
  <pageMargins left="0.984251968503937" right="0.984251968503937" top="0.984251968503937" bottom="0.984251968503937" header="0.7086614173228347" footer="0.31496062992125984"/>
  <pageSetup fitToHeight="1" fitToWidth="1" horizontalDpi="600" verticalDpi="600" orientation="portrait" paperSize="9" scale="74" r:id="rId1"/>
  <headerFooter alignWithMargins="0">
    <oddFooter>&amp;C&amp;11&amp;P+47
&amp;10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3:A3"/>
  <sheetViews>
    <sheetView tabSelected="1" zoomScale="70" zoomScaleNormal="70" zoomScaleSheetLayoutView="75" zoomScalePageLayoutView="0" workbookViewId="0" topLeftCell="D1">
      <selection activeCell="F20" sqref="F20"/>
    </sheetView>
  </sheetViews>
  <sheetFormatPr defaultColWidth="9.00390625" defaultRowHeight="12.75"/>
  <cols>
    <col min="1" max="16384" width="9.125" style="38" customWidth="1"/>
  </cols>
  <sheetData>
    <row r="3" ht="15">
      <c r="A3" s="144" t="s">
        <v>500</v>
      </c>
    </row>
  </sheetData>
  <sheetProtection/>
  <printOptions horizontalCentered="1"/>
  <pageMargins left="0.3937007874015748" right="0.3937007874015748" top="1.3779527559055118" bottom="0.984251968503937" header="0.9055118110236221" footer="0.5118110236220472"/>
  <pageSetup blackAndWhite="1" fitToHeight="3" horizontalDpi="600" verticalDpi="600" orientation="landscape" paperSize="9" scale="69" r:id="rId1"/>
  <headerFooter alignWithMargins="0">
    <oddHeader>&amp;C&amp;"Arial CE,Tučné"&amp;12Výdaje účelově určené na financování programů vedené v EDS/SMVS&amp;R&amp;"Arial CE,Tučné"&amp;12Tabulka č. 7&amp;"Arial CE,Obyčejné"&amp;10
List č. &amp;P/&amp;N</oddHeader>
    <oddFooter>&amp;C&amp;12&amp;P+49&amp;10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</dc:creator>
  <cp:keywords/>
  <dc:description/>
  <cp:lastModifiedBy>Koščová Hana Ing.</cp:lastModifiedBy>
  <cp:lastPrinted>2014-03-05T14:02:35Z</cp:lastPrinted>
  <dcterms:created xsi:type="dcterms:W3CDTF">2005-01-27T13:09:07Z</dcterms:created>
  <dcterms:modified xsi:type="dcterms:W3CDTF">2014-03-17T06:40:07Z</dcterms:modified>
  <cp:category/>
  <cp:version/>
  <cp:contentType/>
  <cp:contentStatus/>
</cp:coreProperties>
</file>