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91" windowWidth="12120" windowHeight="8835" tabRatio="929" firstSheet="6" activeTab="7"/>
  </bookViews>
  <sheets>
    <sheet name="tab11-příjmy" sheetId="1" r:id="rId1"/>
    <sheet name="tab11-1-HZS" sheetId="2" r:id="rId2"/>
    <sheet name="tab11-2 PČR" sheetId="3" r:id="rId3"/>
    <sheet name="tab12důchody" sheetId="4" r:id="rId4"/>
    <sheet name="tab13 dávky" sheetId="5" r:id="rId5"/>
    <sheet name="tab14 OPF" sheetId="6" r:id="rId6"/>
    <sheet name="tab14-1 OPF" sheetId="7" r:id="rId7"/>
    <sheet name="tab14-2 OPF" sheetId="8" r:id="rId8"/>
    <sheet name="tab15-výd.čtvrtl." sheetId="9" r:id="rId9"/>
    <sheet name="tab 16 HZS" sheetId="10" r:id="rId10"/>
    <sheet name="tab 17 PČR" sheetId="11" r:id="rId11"/>
    <sheet name="tab 18 škol." sheetId="12" r:id="rId12"/>
    <sheet name="tab 19 arch." sheetId="13" r:id="rId13"/>
    <sheet name="tab 20 vývoj čerp." sheetId="14" r:id="rId14"/>
    <sheet name="org.schéma" sheetId="15" r:id="rId15"/>
  </sheets>
  <definedNames>
    <definedName name="_xlnm.Print_Titles" localSheetId="6">'tab14-1 OPF'!$1:$5</definedName>
    <definedName name="_xlnm.Print_Titles" localSheetId="7">'tab14-2 OPF'!$1:$4</definedName>
  </definedNames>
  <calcPr fullCalcOnLoad="1"/>
</workbook>
</file>

<file path=xl/comments12.xml><?xml version="1.0" encoding="utf-8"?>
<comments xmlns="http://schemas.openxmlformats.org/spreadsheetml/2006/main">
  <authors>
    <author>Vorisek</author>
  </authors>
  <commentList>
    <comment ref="O8" authorId="0">
      <text>
        <r>
          <rPr>
            <b/>
            <sz val="8"/>
            <rFont val="Tahoma"/>
            <family val="0"/>
          </rPr>
          <t>Vorisek:</t>
        </r>
        <r>
          <rPr>
            <sz val="8"/>
            <rFont val="Tahoma"/>
            <family val="0"/>
          </rPr>
          <t xml:space="preserve">
56 předsednictví</t>
        </r>
      </text>
    </comment>
    <comment ref="P8" authorId="0">
      <text>
        <r>
          <rPr>
            <b/>
            <sz val="8"/>
            <rFont val="Tahoma"/>
            <family val="0"/>
          </rPr>
          <t>Vorisek:</t>
        </r>
        <r>
          <rPr>
            <sz val="8"/>
            <rFont val="Tahoma"/>
            <family val="0"/>
          </rPr>
          <t xml:space="preserve">
56 předsed</t>
        </r>
      </text>
    </comment>
    <comment ref="O14" authorId="0">
      <text>
        <r>
          <rPr>
            <b/>
            <sz val="8"/>
            <rFont val="Tahoma"/>
            <family val="0"/>
          </rPr>
          <t>Vorisek:</t>
        </r>
        <r>
          <rPr>
            <sz val="8"/>
            <rFont val="Tahoma"/>
            <family val="0"/>
          </rPr>
          <t xml:space="preserve">
130 předsednictví</t>
        </r>
      </text>
    </comment>
    <comment ref="P14" authorId="0">
      <text>
        <r>
          <rPr>
            <b/>
            <sz val="8"/>
            <rFont val="Tahoma"/>
            <family val="0"/>
          </rPr>
          <t>Vorisek:</t>
        </r>
        <r>
          <rPr>
            <sz val="8"/>
            <rFont val="Tahoma"/>
            <family val="0"/>
          </rPr>
          <t xml:space="preserve">
130 předsed</t>
        </r>
      </text>
    </comment>
  </commentList>
</comments>
</file>

<file path=xl/comments13.xml><?xml version="1.0" encoding="utf-8"?>
<comments xmlns="http://schemas.openxmlformats.org/spreadsheetml/2006/main">
  <authors>
    <author>Bocanova</author>
  </authors>
  <commentList>
    <comment ref="P11" authorId="0">
      <text>
        <r>
          <rPr>
            <b/>
            <sz val="8"/>
            <rFont val="Tahoma"/>
            <family val="0"/>
          </rPr>
          <t>Bocanova:</t>
        </r>
        <r>
          <rPr>
            <sz val="8"/>
            <rFont val="Tahoma"/>
            <family val="0"/>
          </rPr>
          <t xml:space="preserve">
2 134,86 - IOP</t>
        </r>
      </text>
    </comment>
  </commentList>
</comments>
</file>

<file path=xl/sharedStrings.xml><?xml version="1.0" encoding="utf-8"?>
<sst xmlns="http://schemas.openxmlformats.org/spreadsheetml/2006/main" count="8956" uniqueCount="2979">
  <si>
    <t>Praha 7 Letná - rekonstrukce konferenčního sálu</t>
  </si>
  <si>
    <t>214V031009016</t>
  </si>
  <si>
    <t>MZA Brno - ICT pro ACTA PUBLICA CZ.1.20.R01</t>
  </si>
  <si>
    <t>214V031009017</t>
  </si>
  <si>
    <t>Ve výdajích jsou zahrnuty i výdaje na programy spolufinancované z rozpočtu EU a výdaje spojené s předsednictvím ČR v Radě EU.</t>
  </si>
  <si>
    <t>SOŠ PO a VOŠ PO Frýdek-Místek celkem</t>
  </si>
  <si>
    <t>MZA Brno - SW upgrade skeneru</t>
  </si>
  <si>
    <t>214V032005014</t>
  </si>
  <si>
    <t>Moravský zemský archiv v Brně - výstavba účelových objektů</t>
  </si>
  <si>
    <t>214V032008018</t>
  </si>
  <si>
    <t>Rekonstrukce Karnoly Krnov na státní archiv II. etapa</t>
  </si>
  <si>
    <t>214V032008021</t>
  </si>
  <si>
    <t>Adaptace objektu Kasárna pod Radobýlem na archiv (získaného od armády)</t>
  </si>
  <si>
    <t>214V032008026</t>
  </si>
  <si>
    <t>Výkup bývalého augustiánského kláštera v Třeboni</t>
  </si>
  <si>
    <t>214V032009001</t>
  </si>
  <si>
    <t>SOkA Brno - venkov - 2 ks kotel stacionární</t>
  </si>
  <si>
    <t>214V032009002</t>
  </si>
  <si>
    <t>SOkA Brno - venkov - rekonstrukce topného systému</t>
  </si>
  <si>
    <t>214V032009003</t>
  </si>
  <si>
    <t>SOkA JIhlava - přípojka budovy na vodovodní řad</t>
  </si>
  <si>
    <t>214V032009004</t>
  </si>
  <si>
    <t>SOkA Blansko pob. Boskovice - klimatizace</t>
  </si>
  <si>
    <t>214V032009005</t>
  </si>
  <si>
    <t>Odvlhčení depozitářů SOkA Chomutov v Kadani</t>
  </si>
  <si>
    <t>214V032009006</t>
  </si>
  <si>
    <t>Klimatizace restaurátorské dílny</t>
  </si>
  <si>
    <t>214V032009007</t>
  </si>
  <si>
    <t>Úprava depozitáře - Karnola Krnov</t>
  </si>
  <si>
    <t>214V032009008</t>
  </si>
  <si>
    <t>Rekonstrukce atiky olomoucké archivní budovy</t>
  </si>
  <si>
    <t>214V032009009</t>
  </si>
  <si>
    <t>Plynové topení Dobřichovice</t>
  </si>
  <si>
    <t>214V032009010</t>
  </si>
  <si>
    <t>Zajištění bezbariérového vstupu včetně výtahu</t>
  </si>
  <si>
    <t>214V032009011</t>
  </si>
  <si>
    <t>Projektová dokumentace dostavba objektu Klášter u Nepomuka</t>
  </si>
  <si>
    <t>214V032009012</t>
  </si>
  <si>
    <t>SOkA Blansko - pob. Boskovice - odstranění vlhkosti</t>
  </si>
  <si>
    <t>214V032009013</t>
  </si>
  <si>
    <t>SOkA Kroměříž-bezpečnostní folie do oken</t>
  </si>
  <si>
    <t>214V033008025</t>
  </si>
  <si>
    <t>SOkA Kladno - regály Slaný</t>
  </si>
  <si>
    <t>214V033009001</t>
  </si>
  <si>
    <t>214V033009002</t>
  </si>
  <si>
    <t>Odvlhčovač</t>
  </si>
  <si>
    <t>214V033009003</t>
  </si>
  <si>
    <t>Zahradní traktor pro SOA Zámrsk</t>
  </si>
  <si>
    <t>214V033009004</t>
  </si>
  <si>
    <t>Digitální fotoaparát</t>
  </si>
  <si>
    <t>214V033009005</t>
  </si>
  <si>
    <t>Vyvolávací automat</t>
  </si>
  <si>
    <t>214V033009006</t>
  </si>
  <si>
    <t>Multifunkční kopírka</t>
  </si>
  <si>
    <t>214V033009007</t>
  </si>
  <si>
    <t>214V033009008</t>
  </si>
  <si>
    <t>214V033009009</t>
  </si>
  <si>
    <t>Celkem za 214030</t>
  </si>
  <si>
    <t>214V111000200</t>
  </si>
  <si>
    <t>Zajištění technické základny v rámci P ČR k implementaci zásad vyplývajících z Prümské úmluvy 30-CZE-0229018/00-29</t>
  </si>
  <si>
    <t>214V111005269</t>
  </si>
  <si>
    <t>Národní vízový informační systém ČR</t>
  </si>
  <si>
    <t>214V111005270</t>
  </si>
  <si>
    <t>Národní schengenský informační systém ČR</t>
  </si>
  <si>
    <t>214V111008049</t>
  </si>
  <si>
    <t>Biometrika - Čtecí zařízení</t>
  </si>
  <si>
    <t>214V111008052</t>
  </si>
  <si>
    <t>Upgrade AFISu (HS PP)</t>
  </si>
  <si>
    <t>214V111008053</t>
  </si>
  <si>
    <t>Spojovací systém pro ÚRN - II. etapa (HS PP)</t>
  </si>
  <si>
    <t>214V111008101</t>
  </si>
  <si>
    <t>Inovace systému na ochranu movitého kulturního dědictví CZ0060 EHP/Norsko</t>
  </si>
  <si>
    <t>KV - FM</t>
  </si>
  <si>
    <t>KV - MRZ FM</t>
  </si>
  <si>
    <t>214V111008106</t>
  </si>
  <si>
    <t>P1000 - Lokalizační a záznamová zařízení CZ.1.06/3.4.00/01.00125</t>
  </si>
  <si>
    <t>214V111009001</t>
  </si>
  <si>
    <t>NC SIRENE - úprava IS EVIN CZ0005 EHP/Norsko</t>
  </si>
  <si>
    <t>214V111009002</t>
  </si>
  <si>
    <t>Fond vnějších hranic FVHXXXX-YY</t>
  </si>
  <si>
    <t>214V111009003</t>
  </si>
  <si>
    <t>Vybudování záložního centra CIS FVH2007-05</t>
  </si>
  <si>
    <t>214V111009004</t>
  </si>
  <si>
    <t>Realizace Prümské úmluvy 30-CZE-0229018/00-29</t>
  </si>
  <si>
    <t>214V111009006</t>
  </si>
  <si>
    <t>Odposlech telekomunikací a internetu</t>
  </si>
  <si>
    <t>214V111009007</t>
  </si>
  <si>
    <t>Prostředky technického sledování</t>
  </si>
  <si>
    <t>214V111009008</t>
  </si>
  <si>
    <t>214V111009010</t>
  </si>
  <si>
    <t>Pořízení SW produktů MS Enterprise</t>
  </si>
  <si>
    <t>KŘ policie Středočeského kraje</t>
  </si>
  <si>
    <t>214V111009011</t>
  </si>
  <si>
    <t>KŘ policie hl. m. Prahy</t>
  </si>
  <si>
    <t>214V111009012</t>
  </si>
  <si>
    <t>KŘ policie Severočeského kraje</t>
  </si>
  <si>
    <t>214V111009014</t>
  </si>
  <si>
    <t>Pořízení kamerových systémů na mezinárodní letiště FVH2007-04</t>
  </si>
  <si>
    <t>214V111009015</t>
  </si>
  <si>
    <t>Radiokomunikační terminály</t>
  </si>
  <si>
    <t>214V111009017</t>
  </si>
  <si>
    <t>Telefonní ústředna (typ D)</t>
  </si>
  <si>
    <t>214V111009018</t>
  </si>
  <si>
    <t>Páteřní přepínač sítě LAN</t>
  </si>
  <si>
    <t>214V111009019</t>
  </si>
  <si>
    <t>Forensní klonovací systém</t>
  </si>
  <si>
    <t>214V111009020</t>
  </si>
  <si>
    <t>DAR - Vybavení krizových pracovišť Libereckého kraje</t>
  </si>
  <si>
    <t>214V111009021</t>
  </si>
  <si>
    <t>P1000 - vybavení KKC spojovací a výpočetní technikou - 2. etapa CZ.1.06/3.4.00/10.xx269</t>
  </si>
  <si>
    <t>KŘ policie Severomoravského kraje</t>
  </si>
  <si>
    <t>214V111009022</t>
  </si>
  <si>
    <t>Multilicenční upgrade LOOK</t>
  </si>
  <si>
    <t>214V111009023</t>
  </si>
  <si>
    <t>Propojení ISDS do sítě MV HERMES - datové schránky</t>
  </si>
  <si>
    <t>214V111009024</t>
  </si>
  <si>
    <t>Geoportál Policie ČR</t>
  </si>
  <si>
    <t>214V111009025</t>
  </si>
  <si>
    <t>Propojení IS DOPRAVA a IS ETŘ</t>
  </si>
  <si>
    <t>214V111009026</t>
  </si>
  <si>
    <t>P1000 - Výpočetní technika - II. etapa CZ.1.06/3.4.00/10.xx267</t>
  </si>
  <si>
    <t>KŘ policie Jihomoravského kraje</t>
  </si>
  <si>
    <t>214V111009027</t>
  </si>
  <si>
    <t>Záznamové zařízení REDAT 3</t>
  </si>
  <si>
    <t>214V111009028</t>
  </si>
  <si>
    <t>Výstavba komunikačního uzlu Liberec</t>
  </si>
  <si>
    <t>214V111009029</t>
  </si>
  <si>
    <t>Rekonstrukce zabezpečení PP ČR Znojmo - Hluboké Mašůvky</t>
  </si>
  <si>
    <t>214V111009030</t>
  </si>
  <si>
    <t>214V111009031</t>
  </si>
  <si>
    <t>214V111009032</t>
  </si>
  <si>
    <t>Zřízení IOS KŘP Pardubického kraje</t>
  </si>
  <si>
    <t>KŘ policie Východočeského kraje</t>
  </si>
  <si>
    <t>214V111009033</t>
  </si>
  <si>
    <t>P1000 VIS Mail</t>
  </si>
  <si>
    <t>214V111009034</t>
  </si>
  <si>
    <t>Server pro IS eSIAŘ</t>
  </si>
  <si>
    <t>214V111009035</t>
  </si>
  <si>
    <t>Pozorovací kamerový systém HQH/CT</t>
  </si>
  <si>
    <t>214V111009036</t>
  </si>
  <si>
    <t>Vozidlové radiostanice SMART</t>
  </si>
  <si>
    <t>214V111009037</t>
  </si>
  <si>
    <t>OPPS Česko - Sasko - Portál pro informační podporu rozhodování za krizových situací CZ.1.18.R05</t>
  </si>
  <si>
    <t>214V111009038</t>
  </si>
  <si>
    <t>Komunikační uzel pro hlasové a datové napojení pro nové KŘP Karlovarského kraje</t>
  </si>
  <si>
    <t>KŘ policie Západočeského kraje</t>
  </si>
  <si>
    <t>214V111009039</t>
  </si>
  <si>
    <t>Modernizace vozidlových radiostanic systému PEGAS</t>
  </si>
  <si>
    <t>214V111009040</t>
  </si>
  <si>
    <t>Doplnění úložných kapacit informačních systémů PČR ŘSCP</t>
  </si>
  <si>
    <t>214V111009041</t>
  </si>
  <si>
    <t>Výpočetní a komunikační technika pro KŘP Středočeského kraje</t>
  </si>
  <si>
    <t>214V111009042</t>
  </si>
  <si>
    <t>Speciální notebooky</t>
  </si>
  <si>
    <t>214V111009043</t>
  </si>
  <si>
    <t>Rozšíření a úprava LAN objektů KŘP Západočeského kraje</t>
  </si>
  <si>
    <t>214V111009044</t>
  </si>
  <si>
    <t>P1000 CN Lokalizační a záznamová zařízení CZ.1.06/3.4.00/01.00125</t>
  </si>
  <si>
    <t>KŘ policie Jihočeského kraje</t>
  </si>
  <si>
    <t>214V111009045</t>
  </si>
  <si>
    <t>214V111009046</t>
  </si>
  <si>
    <t>214V111009047</t>
  </si>
  <si>
    <t>214V111009048</t>
  </si>
  <si>
    <t>214V111009049</t>
  </si>
  <si>
    <t>214V111009050</t>
  </si>
  <si>
    <t>214V111009051</t>
  </si>
  <si>
    <t>214V112000034</t>
  </si>
  <si>
    <t>Tuchoměřice, služební kynologie - výstavba technickoprovozní budovy</t>
  </si>
  <si>
    <t>214V112000203</t>
  </si>
  <si>
    <t>Zlín, ul. J.A.Bati - výkup části objektu na pozemku p.č.st. 3294</t>
  </si>
  <si>
    <t>214V112004024</t>
  </si>
  <si>
    <t>Chomutov, T.G.Masaryka 3100 - zprovoznění objektu po OÚ</t>
  </si>
  <si>
    <t>214V112005063</t>
  </si>
  <si>
    <t>OO PČR Brno, Bystrc čp. 129 - nová výstavba</t>
  </si>
  <si>
    <t>214V112006036</t>
  </si>
  <si>
    <t>Praha 6, Ruzyně - hangár D - částečná rekonstrukce</t>
  </si>
  <si>
    <t>214V112007007</t>
  </si>
  <si>
    <t>Zateplení objektu KŘP Včk Svitavy č.p. 1907 CZ.1.02/3.2.00/07.00561</t>
  </si>
  <si>
    <t>214V112007115</t>
  </si>
  <si>
    <t>FKSP - Trhovky - oplocení areálu</t>
  </si>
  <si>
    <t>214V112007120</t>
  </si>
  <si>
    <t>FKSP - RaŠZ PČR Dlouhé Rzy - stavební úpravy objektu č.3</t>
  </si>
  <si>
    <t>214V112007137</t>
  </si>
  <si>
    <t>OOP Kostelec nad Černými Lesy - rekonstrukce</t>
  </si>
  <si>
    <t>214V112007139</t>
  </si>
  <si>
    <t>P1000 - OOP Hořesedly 139, okres Rakovník CZ.1.06/3.4.00/10.xx270</t>
  </si>
  <si>
    <t>214V112007140</t>
  </si>
  <si>
    <t>P1000 - OOP Příbram, Hornických učňů 256 CZ.1.06/3.4.00/10.xx270</t>
  </si>
  <si>
    <t>214V112007194</t>
  </si>
  <si>
    <t>P1000 - OOP Vyšší Brod, 5. května 22 CZ.1.06/3.4.00/01.06076</t>
  </si>
  <si>
    <t>214V112007200</t>
  </si>
  <si>
    <t>P1000 - OOP Protivín, Mírová 166 CZ.1.06/3.4.00/01.06076</t>
  </si>
  <si>
    <t>214V112007215</t>
  </si>
  <si>
    <t>P1000 - OOP Olomouc 3, Smetanova 14 - II. etapa  CZ.1.06/3.4.00/10.xx269</t>
  </si>
  <si>
    <t>214V112007218</t>
  </si>
  <si>
    <t>P1000 - OO PČR Hranice na Moravě, Purgešova 6  CZ.1.06/3.4.00/01.00209</t>
  </si>
  <si>
    <t>214V112007221</t>
  </si>
  <si>
    <t>P1000  - OO PČR Břidličná, nám. Svobody 54 CZ.1.06/3.4.00/01.00209</t>
  </si>
  <si>
    <t>214V112007222</t>
  </si>
  <si>
    <t>P1000 - OO PČR Město Albrechtice, Osvobození 702 - II. etapa CZ.1.06/3.4.00/10.xx269</t>
  </si>
  <si>
    <t>214V112007224</t>
  </si>
  <si>
    <t>P1000 - OO PČR Vrbno pod Pradědem, Nádražní 583 - II. etapa CZ.1.06/3.4.00/10.xx269</t>
  </si>
  <si>
    <t>214V112007228</t>
  </si>
  <si>
    <t>P1000 - OO PČR Vítkov, Komenského 138 - II. etapa CZ.1.06/3.4.00/10.xx269</t>
  </si>
  <si>
    <t>214V112007232</t>
  </si>
  <si>
    <t>P1000 - OO PČR Velké Heraltice, Družstevní 41- II. etapa  CZ.1.06/3.4.00/10.xx269</t>
  </si>
  <si>
    <t>214V112007239</t>
  </si>
  <si>
    <t>Výstavba Krajského ředitelství Liberec - projektová dokumentace</t>
  </si>
  <si>
    <t>214V112008085</t>
  </si>
  <si>
    <t>P1000 - OOP Roudnice nad Labem, Riegrova 636 - BACK OFFICE</t>
  </si>
  <si>
    <t>214V112008088</t>
  </si>
  <si>
    <t>P1000 - OOP Chrastava, Pobřežní 430 - BACK OFFICE</t>
  </si>
  <si>
    <t>214V112008089</t>
  </si>
  <si>
    <t>P1000 - Oprava a údržba nemovitého majetku - BACK OFFICE</t>
  </si>
  <si>
    <t>214V112008104</t>
  </si>
  <si>
    <t>P1000  - Praha 1, Na Perštýně 11 - stavební úpravy objektu</t>
  </si>
  <si>
    <t>214V112008105</t>
  </si>
  <si>
    <t>P1000  - Praha 1, Na Perštýně 11 - výměna výtahu</t>
  </si>
  <si>
    <t>214V112008110</t>
  </si>
  <si>
    <t>P1000 MD13 - OOP Chomutov, T.G. Masaryka 3100 - rekonstrukce objektu</t>
  </si>
  <si>
    <t>214V112008112</t>
  </si>
  <si>
    <t>P1000 - OOP Vyšší Brod - Back Office</t>
  </si>
  <si>
    <t>214V112008123</t>
  </si>
  <si>
    <t>P1000 - OOP + DI + SSČ Karlovy Vary - Rybáře CZ.1.06/3.4.00/01.06071</t>
  </si>
  <si>
    <t>214V112008158</t>
  </si>
  <si>
    <t>P1000 - OOP Jesenice 98 CZ.1.06/3.4.00/10.xx270</t>
  </si>
  <si>
    <t>214V112008159</t>
  </si>
  <si>
    <t>P1000 - OŘP SKPV Kolín, K Dílnám 684 - II. etapa CZ.1.06/3.4.00/10.xx270</t>
  </si>
  <si>
    <t>214V112008180</t>
  </si>
  <si>
    <t>OOP Prostějov, Újezd 12 - zprovoznění objektu III. a IV. etapa</t>
  </si>
  <si>
    <t>214V112008199</t>
  </si>
  <si>
    <t>Praha 6, V Sadech 47  - oddělení technického zázemí</t>
  </si>
  <si>
    <t>214V112008223</t>
  </si>
  <si>
    <t>FKSP - RZ Kvilda - vybudování parkoviště pro OA</t>
  </si>
  <si>
    <t>214V112008243</t>
  </si>
  <si>
    <t>P1000 - OOP Protivín, čp. 166 - Back office</t>
  </si>
  <si>
    <t>214V112008254</t>
  </si>
  <si>
    <t>Objekt PČR Červený Hrádek - zásobování vodou</t>
  </si>
  <si>
    <t>214V112008265</t>
  </si>
  <si>
    <t>Střelnice Poříčany - vodovodní přípojka</t>
  </si>
  <si>
    <t>214V112008266</t>
  </si>
  <si>
    <t>P1000 - OOP Přelouč, Pražská 20 - Back office</t>
  </si>
  <si>
    <t>214V112009001</t>
  </si>
  <si>
    <t>EHP/Norsko - Modernizace služeben PČR v Praze CZ0132</t>
  </si>
  <si>
    <t>214V112009002</t>
  </si>
  <si>
    <t>P1000 - MOP Praha 1, Krakovská 11</t>
  </si>
  <si>
    <t>214V112009003</t>
  </si>
  <si>
    <t>P1000 - MOP Praha 5, Na Bělidle 5/272</t>
  </si>
  <si>
    <t>214V112009004</t>
  </si>
  <si>
    <t>P1000 - OOP Karlovy Vary - Rybáře, Rolavská 386 - Back office</t>
  </si>
  <si>
    <t>214V112009005</t>
  </si>
  <si>
    <t>Kontaktní a koordinační centra CZ.1.06.R</t>
  </si>
  <si>
    <t>214V112009006</t>
  </si>
  <si>
    <t>Zlín, tř. T. Bati 44  - rekonstrukce objektu pro KŘP Zlín</t>
  </si>
  <si>
    <t>214V112009007</t>
  </si>
  <si>
    <t>P1000 - OOP Benešov, Jiráskova 993 CZ.1.06/3.4.00/10.xx270</t>
  </si>
  <si>
    <t>214V112009008</t>
  </si>
  <si>
    <t>P1000 - OOP Zdice, Husova  225 CZ.1.06/3.4.00/10.xx270</t>
  </si>
  <si>
    <t>214V112009009</t>
  </si>
  <si>
    <t>P1000 - OOP Březnice, Rožmitálská 145 CZ.1.06/3.4.00/10.xx270</t>
  </si>
  <si>
    <t>214V112009010</t>
  </si>
  <si>
    <t>P1000 - OOP Český Brod, Husovo nám. 65 CZ.1.06/3.4.00/10.xx270</t>
  </si>
  <si>
    <t>214V112009011</t>
  </si>
  <si>
    <t>P1000 - OOP Kouřim, Na Barborce 661 CZ.1.06/3.4.00/10.xx270</t>
  </si>
  <si>
    <t>214V112009012</t>
  </si>
  <si>
    <t>P1000 - OOP Křinec, Dr. Chmelaře 190 CZ.1.06/3.4.00/10.xx270</t>
  </si>
  <si>
    <t>214V112009013</t>
  </si>
  <si>
    <t>P1000 - OOP Odolená Voda, Čenkovská 84 CZ.1.06/3.4.00/10.xx270</t>
  </si>
  <si>
    <t>214V112009014</t>
  </si>
  <si>
    <t>P1000 - OOP Pečky, Jana Švermy 674/74 CZ.1.06/3.4.00/10.xx270</t>
  </si>
  <si>
    <t>214V112009015</t>
  </si>
  <si>
    <t>P1000 - Týnec nad Sázavou, Sadová 154 CZ.1.06/3.4.00/10.xx270</t>
  </si>
  <si>
    <t>214V112009016</t>
  </si>
  <si>
    <t>P1000 - OOP Vlašim, Jana Masaryka 475 CZ.1.06/3.4.00/10.xx270</t>
  </si>
  <si>
    <t>214V112009017</t>
  </si>
  <si>
    <t>P1000 - OOP Boršov nad Vltavou, Na Planýrce 206 CZ.1.06/3.4.00/10.xx266</t>
  </si>
  <si>
    <t>214V112009018</t>
  </si>
  <si>
    <t>P1000 - OOP Jistebnice, Táborská 226 CZ.1.06/3.4.00/10.xx266</t>
  </si>
  <si>
    <t>214V112009019</t>
  </si>
  <si>
    <t>P1000 - OOP Nová Bystřice, Vitorazská 671 CZ.1.06/3.4.00/10.xx266</t>
  </si>
  <si>
    <t>214V112009020</t>
  </si>
  <si>
    <t>P1000 - OOP Ševětín, Zahradní 161 CZ.1.06/3.4.00/10.xx266</t>
  </si>
  <si>
    <t>214V112009021</t>
  </si>
  <si>
    <t>P1000 - OOP Trhové Sviny, Žižkovo nám. 32 CZ.1.06/3.4.00/10.xx266</t>
  </si>
  <si>
    <t>214V112009022</t>
  </si>
  <si>
    <t>P1000 - OOP Větřní, č.p. 129 CZ.1.06/3.4.00/10.xx266</t>
  </si>
  <si>
    <t>214V112009023</t>
  </si>
  <si>
    <t>P1000 - DI SKPV Domažlice, ul. Kosmonautů 165 CZ.1.06/3.4.00/10.xx272</t>
  </si>
  <si>
    <t>214V112009024</t>
  </si>
  <si>
    <t>P1000 - DI Sokolov, Jednoty 1773 CZ.1.06/3.4.00/01.00209</t>
  </si>
  <si>
    <t>214V112009025</t>
  </si>
  <si>
    <t>P1000 - OOP Františkovy Lázně, Americká 250 CZ.1.06/3.4.00/01.00209</t>
  </si>
  <si>
    <t>214V112009026</t>
  </si>
  <si>
    <t>P1000 - OOP Cheb, Hviezdoslavovo nám. 4 CZ.1.06/3.4.00/01.00209</t>
  </si>
  <si>
    <t>214V112009027</t>
  </si>
  <si>
    <t>P1000 - OOP Cheb, Žižkova 167 CZ.1.06/3.4.00/10.xx272</t>
  </si>
  <si>
    <t>214V112009028</t>
  </si>
  <si>
    <t>P1000 - OOP Chodov u Karlových Varů, Staroměstská 18 CZ.1.06/3.4.00/10.xx272</t>
  </si>
  <si>
    <t>214V112009029</t>
  </si>
  <si>
    <t>P1000 - OOP Nýřany, Křižíkova 394 CZ.1.06/3.4.00/10.xx272</t>
  </si>
  <si>
    <t>214V112009030</t>
  </si>
  <si>
    <t>P1000 - OOP Planá, Tachovská 874 CZ.1.06/3.4.00/10.xx272</t>
  </si>
  <si>
    <t>214V112009031</t>
  </si>
  <si>
    <t>P1000 - OOP Plzeň 1, Kaznějovská 2 CZ.1.06/3.4.00/10.xx272</t>
  </si>
  <si>
    <t>214V112009032</t>
  </si>
  <si>
    <t>P1000 - OOP Rokycany, Jiráskova 179 CZ.1.06/3.4.00/10.xx272</t>
  </si>
  <si>
    <t>214V112009033</t>
  </si>
  <si>
    <t>P1000 - OOP Sokolov - venkov, Dobrovského 1935 - II. etapa  CZ.1.06/3.4.00/10.xx272</t>
  </si>
  <si>
    <t>214V112009034</t>
  </si>
  <si>
    <t>P1000 - OOP Sušice, Na Burince 273 CZ.1.06/3.4.00/10.xx272</t>
  </si>
  <si>
    <t>214V112009044</t>
  </si>
  <si>
    <t>P1000 - DI Hradec Králové, Mrštíkova 541 CZ.1.06/3.4.00/10.xx271</t>
  </si>
  <si>
    <t>214V112009045</t>
  </si>
  <si>
    <t>P1000 - DI Náchod, Prokopa Velikého 639 CZ.1.06/3.4.00/01.00209</t>
  </si>
  <si>
    <t>214V112009046</t>
  </si>
  <si>
    <t>P1000 - DI Pardubice, Rožkova 2757 CZ.1.06/3.4.00/01.00209</t>
  </si>
  <si>
    <t>214V112009047</t>
  </si>
  <si>
    <t>P1000 - OOP Golčův Jeníkov, Mírová 294 CZ.1.06/3.4.00/10.xx271</t>
  </si>
  <si>
    <t>214V112009048</t>
  </si>
  <si>
    <t>P1000 - OOP Hradec Králové 2, Gočárova 1653 CZ.1.06/3.4.00/10.xx271</t>
  </si>
  <si>
    <t>214V112009049</t>
  </si>
  <si>
    <t>P1000 - OOP Chotěboř, Hromádky z Jistebnice 1740 CZ.1.06/3.4.00/10.xx271</t>
  </si>
  <si>
    <t>214V112009050</t>
  </si>
  <si>
    <t>P1000 - OOP Chrudim, Hradební 47 CZ.1.06/3.4.00/10.xx271</t>
  </si>
  <si>
    <t>214V112009051</t>
  </si>
  <si>
    <t>P1000 - OOP Letohrad, Požárníků 330 CZ.1.06/3.4.00/10.xx271</t>
  </si>
  <si>
    <t>214V112009052</t>
  </si>
  <si>
    <t>P1000 - OOP Litomyšl - Vodní Vale, Ropkova 1142 CZ.1.06/3.4.00/10.xx271</t>
  </si>
  <si>
    <t>214V112009053</t>
  </si>
  <si>
    <t>P1000 - OOP Nový Bydžov, Jiráskova 545 CZ.1.06/3.4.00/10.xx271</t>
  </si>
  <si>
    <t>214V112009054</t>
  </si>
  <si>
    <t>P1000 - OOP Úpice, Bří Čapků 265 CZ.1.06/3.4.00/10.xx271</t>
  </si>
  <si>
    <t>214V112009055</t>
  </si>
  <si>
    <t>P1000 - OOP Brno, Kounicova 24 CZ.1.06/3.4.00/10.xx267</t>
  </si>
  <si>
    <t>214V112009056</t>
  </si>
  <si>
    <t>P1000 - OOP Břeclav, Národních hrdinů 21 CZ.1.06/3.4.00/10.xx267</t>
  </si>
  <si>
    <t>214V112009057</t>
  </si>
  <si>
    <t>P1000 - OOP Bystřice nad Pernštejnem, Nádražní 159 CZ.1.06/3.4.00/10.xx267</t>
  </si>
  <si>
    <t>214V112009058</t>
  </si>
  <si>
    <t>P1000 - OOP Hrušovany n/Jev., nám. Míru 87 CZ.1.06/3.4.00/10.xx267</t>
  </si>
  <si>
    <t>214V112009059</t>
  </si>
  <si>
    <t>P1000 - OOP Kuřim, Svatopluka Čecha 967 CZ.1.06/3.4.00/10.xx267</t>
  </si>
  <si>
    <t>214V112009060</t>
  </si>
  <si>
    <t>P1000 - OOP Moravský Krumlov, Školní 163 CZ.1.06/3.4.00/10.xx267</t>
  </si>
  <si>
    <t>214V112009061</t>
  </si>
  <si>
    <t>P1000 - OŘP Vsetín, Hlásenka 1516 CZ.1.06/3.4.00/10.xx267</t>
  </si>
  <si>
    <t>214V112009062</t>
  </si>
  <si>
    <t>P1000 - ÚO Žďár nad Sázavou, Brněnská 23 - II. etapa CZ.1.06/3.4.00/10.xx267</t>
  </si>
  <si>
    <t>214V112009063</t>
  </si>
  <si>
    <t>P1000 - DI Nový Jičín, Svatopluka Čecha 11 - II. etapa CZ.1.06/3.4.00/10.xx269</t>
  </si>
  <si>
    <t>214V112009064</t>
  </si>
  <si>
    <t>P1000 - DI Prostějov, Havlíčkova 16b CZ.1.06/3.4.00/01.00209</t>
  </si>
  <si>
    <t>214V112009065</t>
  </si>
  <si>
    <t>P1000 - OOP Bohumín, 9.května 658 a 657 - II. etapa CZ.1.06/3.4.00/10.xx269</t>
  </si>
  <si>
    <t>214V112009066</t>
  </si>
  <si>
    <t>P1000 - OOP Šumperk, Havlíčkova 10 - II. etapa CZ.1.06/3.4.00/10.xx269</t>
  </si>
  <si>
    <t>214V112009067</t>
  </si>
  <si>
    <t>KŘP Jihlava, Vrchlického 46 - půdní vestavba a stavební úpravy</t>
  </si>
  <si>
    <t>214V112009068</t>
  </si>
  <si>
    <t>KŘ PČR Karlovy Vary - projektová dokumentace</t>
  </si>
  <si>
    <t>214V112009069</t>
  </si>
  <si>
    <t>P1000 - OŘP Bruntál, Partyzánská 7 - II. etapa CZ.1.06/3.4.00/10.xx269</t>
  </si>
  <si>
    <t>214V112009070</t>
  </si>
  <si>
    <t>OOP Orlová - Poruba - nová výstavba</t>
  </si>
  <si>
    <t>214V112009071</t>
  </si>
  <si>
    <t>P1000 - OOP Cvikov, Čsl. armády 136 CZ.1.06/3.4.00/10.xx268</t>
  </si>
  <si>
    <t>214V112009072</t>
  </si>
  <si>
    <t>P1000 - OOP Klášterec, Polní 685 CZ.1.06/3.4.00/10.xx268</t>
  </si>
  <si>
    <t>214V112009073</t>
  </si>
  <si>
    <t>P1000 - OOP Liberec, Čerchovská  17 CZ.1.06/3.4.00/01.00209</t>
  </si>
  <si>
    <t>214V112009074</t>
  </si>
  <si>
    <t>P1000 - OOP Libouchec č.p. 377 CZ.1.06/3.4.00/10.xx268</t>
  </si>
  <si>
    <t>214V112009075</t>
  </si>
  <si>
    <t>P1000 - OOP Teplice, Maršovská 1537 CZ.1.06/3.4.00/10.xx268</t>
  </si>
  <si>
    <t>214V112009076</t>
  </si>
  <si>
    <t>P1000 - OOP Ústí nad Labem - Bukov, Všebořická 11 CZ.1.06/3.4.00/10.xx268</t>
  </si>
  <si>
    <t>214V112009077</t>
  </si>
  <si>
    <t>P1000 - OŘP Chomutov, Riegrova 4510 CZ.1.06/3.4.00/10.xx268</t>
  </si>
  <si>
    <t>214V112009078</t>
  </si>
  <si>
    <t>P1000 - OŘP Most, Václava Řezáče 224 CZ.1.06/3.4.00/10.xx268</t>
  </si>
  <si>
    <t>214V112009079</t>
  </si>
  <si>
    <t>P1000 - OŘP Teplice, Masarykova 1363 CZ.1.06/3.4.00/10.xx268</t>
  </si>
  <si>
    <t>214V112009080</t>
  </si>
  <si>
    <t>FKSP - ÚZ ALMA, Železná Ruda čp. 98 - přemístění hlavního vchodu</t>
  </si>
  <si>
    <t>214V112009081</t>
  </si>
  <si>
    <t>KŘP Brno, Kounicova 24 - dodání a montáž klimatizačních jednotek</t>
  </si>
  <si>
    <t>214V112009082</t>
  </si>
  <si>
    <t>P1000 OOP Slezská Ostrava, Bohumínská 1814 - II. etapa CZ.1.06/3.4.00/10.xx269</t>
  </si>
  <si>
    <t>214V112009083</t>
  </si>
  <si>
    <t>P1000 DO Bernartice 44 CZ.1.06/3.4.00/10.xx270</t>
  </si>
  <si>
    <t>214V112009084</t>
  </si>
  <si>
    <t>P1000 OOP Zbraslavice 189 CZ.1.06/3.4.00/10.xx270</t>
  </si>
  <si>
    <t>214V112009085</t>
  </si>
  <si>
    <t>KŘP Olomouc, ul. Kosmonautů č.p. 189/10 - zprovoznění objektu</t>
  </si>
  <si>
    <t>214V112009086</t>
  </si>
  <si>
    <t>Brno, Hrázní 1 - rekonstrukce loděnice</t>
  </si>
  <si>
    <t>214V112009087</t>
  </si>
  <si>
    <t>P1000 OOP Žamberk, Husovo nábřeží 314</t>
  </si>
  <si>
    <t>214V112009088</t>
  </si>
  <si>
    <t>P1000 OOP Králíky, 5. května 422</t>
  </si>
  <si>
    <t>214V112009089</t>
  </si>
  <si>
    <t>P1000 OOP Moravská Třebová, Komenského 296</t>
  </si>
  <si>
    <t>214V112009090</t>
  </si>
  <si>
    <t>P1000 OOP Unhošť, Pražská 864 CZ.1.06/3.4.00/10.xx270</t>
  </si>
  <si>
    <t>214V112009091</t>
  </si>
  <si>
    <t>P1000 OOP Mladá Boleslav, Jana Palacha 1298/II CZ.1.06/3.4.00/10.xx270</t>
  </si>
  <si>
    <t>214V112009092</t>
  </si>
  <si>
    <t>Olomouc, Žižkovo nám. 600 - zdravotní zařízení  (ÚO KŘP)</t>
  </si>
  <si>
    <t>214V112009093</t>
  </si>
  <si>
    <t>OOP Hradišťko 75 - rekonstrukce kotelny</t>
  </si>
  <si>
    <t>214V112009096</t>
  </si>
  <si>
    <t>P1000 - Praha 3, Olšanská 2 - úprava vstupu pro styk s veřejností</t>
  </si>
  <si>
    <t>214V112009097</t>
  </si>
  <si>
    <t>KŘP Karlovy Vary I. etapa - připojení nového odběrného místa</t>
  </si>
  <si>
    <t>214V112009098</t>
  </si>
  <si>
    <t>P1000 - DO PČR Rudná u Prahy, Masarykova 962/234 CZ.1.06/3.4.00/10.xx270</t>
  </si>
  <si>
    <t>214V112009099</t>
  </si>
  <si>
    <t>FKSP - RZ Cyrilka, Čeladná - vstupní závora a  dláždění chodníku</t>
  </si>
  <si>
    <t>214V112009100</t>
  </si>
  <si>
    <t>P1000 - OOP Holýšov - II. etapa - Back office</t>
  </si>
  <si>
    <t>214V112009101</t>
  </si>
  <si>
    <t>P1000 - OOP Rokycany - Back office</t>
  </si>
  <si>
    <t>214V112009103</t>
  </si>
  <si>
    <t>P1000 - OOP Sokolov - venkov, Dobrovského 1935 - Back office</t>
  </si>
  <si>
    <t>214V112009104</t>
  </si>
  <si>
    <t>OŘP Sokolov, Jednoty 1773 - úpravy policejních cel</t>
  </si>
  <si>
    <t>214V112009105</t>
  </si>
  <si>
    <t>OŘP Sokolov, K.H. Borovského 1040 - úpravy objektu</t>
  </si>
  <si>
    <t>214V112009106</t>
  </si>
  <si>
    <t>OŘP Sokolov, Dobrovského 1935 - úpravy autodílny</t>
  </si>
  <si>
    <t>214V112009107</t>
  </si>
  <si>
    <t>KŘP Karlovarského kraje - rekonstrukce datových sítí</t>
  </si>
  <si>
    <t>214V112009108</t>
  </si>
  <si>
    <t>P1000 OOP Nýřany, Křižíkova 394 - Back office</t>
  </si>
  <si>
    <t>214V112009109</t>
  </si>
  <si>
    <t>P1000 OOP Plzeň, Kaznějovská 2 - Back office</t>
  </si>
  <si>
    <t>214V112009110</t>
  </si>
  <si>
    <t>P1000 ÚO VS SKPV KŘPZK Plzeň-sever-jih - Back office</t>
  </si>
  <si>
    <t>214V112009111</t>
  </si>
  <si>
    <t>P1000 OOP Sušice, Na Burince 273 - Back office</t>
  </si>
  <si>
    <t>214V112009112</t>
  </si>
  <si>
    <t>P1000 OOP Zlín, tř. T. Bati 44 CZ.1.06/3.4.00/10.xx267</t>
  </si>
  <si>
    <t>214V112009114</t>
  </si>
  <si>
    <t>KŘP Jihlava, Vrchlického 46 - dodání a montáž hliníkové stěny</t>
  </si>
  <si>
    <t>214V112009116</t>
  </si>
  <si>
    <t>KŘP Zlín - zateplení (ŠF-EU OPŽP) CZ.1.02.R</t>
  </si>
  <si>
    <t>214V112009117</t>
  </si>
  <si>
    <t>P1000 - OOP Nová Bystřice, čp. 671 - Back office</t>
  </si>
  <si>
    <t>214V112009118</t>
  </si>
  <si>
    <t>P1000 - OOP Trhové Sviny, č.p. 1191 - Back office</t>
  </si>
  <si>
    <t>214V112009119</t>
  </si>
  <si>
    <t>P1000 - OOP Boršov nad Vltavou, č.p. 206 - Back office</t>
  </si>
  <si>
    <t>214V112009120</t>
  </si>
  <si>
    <t>P1000 - OOP Ševětín, č.p. 161 - Back office</t>
  </si>
  <si>
    <t>214V112009121</t>
  </si>
  <si>
    <t>P1000 - OOP Lipno nad Vltavou, č.p. 75 - Back office</t>
  </si>
  <si>
    <t>214V112009122</t>
  </si>
  <si>
    <t>KŘP České Budějovice, Plavská 2 - vybudování trafostanice</t>
  </si>
  <si>
    <t>214V112009123</t>
  </si>
  <si>
    <t>ÚOP Havlíčkův Brod - dodání a montáž klimatizační jednotky</t>
  </si>
  <si>
    <t>214V112009126</t>
  </si>
  <si>
    <t>P1000 DI PČR ÚO Kolín, Václavská 11 CZ.1.06/3.4.00/10.xx270</t>
  </si>
  <si>
    <t>214V112009127</t>
  </si>
  <si>
    <t>FKSP - ÚZ Riviéra - Podhradí nad Dyjí - rekonstrukce části objektu</t>
  </si>
  <si>
    <t>214V112009128</t>
  </si>
  <si>
    <t>Praha 6, Ruzyně - rekonstrukce hangáru D</t>
  </si>
  <si>
    <t>214V112009129</t>
  </si>
  <si>
    <t>P1000 - Ubytovna Barbora - stavební úpravy</t>
  </si>
  <si>
    <t>214V112009130</t>
  </si>
  <si>
    <t>P1000 OOP Cheb - venkov, Žižkov 17 - Back office</t>
  </si>
  <si>
    <t>214V112009131</t>
  </si>
  <si>
    <t>Praha 3, Olšanská 2C - posílení klimatizace sálu CVS</t>
  </si>
  <si>
    <t>214V112009132</t>
  </si>
  <si>
    <t>OOP Rokytnice v Orlických horách - výkup pozemku</t>
  </si>
  <si>
    <t>214V112009133</t>
  </si>
  <si>
    <t>OOP Znojmo, Pražská 59 - zastřešení objektu</t>
  </si>
  <si>
    <t>214V112009134</t>
  </si>
  <si>
    <t>OOP Jemnice, Lipová 924 - rekonstrukce elektroinstalace</t>
  </si>
  <si>
    <t>214V112009135</t>
  </si>
  <si>
    <t>KŘP Zlín, T.G.Masaryka 3218 - st. úpravy pro IOS</t>
  </si>
  <si>
    <t>214V112009136</t>
  </si>
  <si>
    <t>KŘ Jmk - stavební připravenost pro IS BETA</t>
  </si>
  <si>
    <t>214V112009137</t>
  </si>
  <si>
    <t>P1000 - OOP Třeboň, Riegrova 1227 - Back office</t>
  </si>
  <si>
    <t>214V112009139</t>
  </si>
  <si>
    <t>P1000 OOP Třeboň, Riegrova 1227 CZ.1.06/3.4.00/10.xx266</t>
  </si>
  <si>
    <t>214V112009140</t>
  </si>
  <si>
    <t>P1000 - Praha 1, Thůnovská 9 - stavební úpravy místnosti č. 28</t>
  </si>
  <si>
    <t>214V112009141</t>
  </si>
  <si>
    <t>P1000 - Praha 1, Dlážděná 6 - zřízení sanitárního zařízení pro ostrahu</t>
  </si>
  <si>
    <t>214V112009142</t>
  </si>
  <si>
    <t>P1000 - Praha 5, Zbraslav, obj. 01.2 - zřízení bezbariérového pracoviště</t>
  </si>
  <si>
    <t>214V112009143</t>
  </si>
  <si>
    <t>P1000 OOP Jaroměř, Patrného 270 CZ.1.06/3.4.00/10.xx271</t>
  </si>
  <si>
    <t>214V112009144</t>
  </si>
  <si>
    <t>P1000 - Praha 5, Zbraslav, čerpací stanice PHM - stavební úpravy</t>
  </si>
  <si>
    <t>214V112009145</t>
  </si>
  <si>
    <t>P1000 - Brno, Obilní trh - vybudování kotelny</t>
  </si>
  <si>
    <t>214V112009146</t>
  </si>
  <si>
    <t>Znojmo, Cínová Hora - skladové prostory - stavební úpravy</t>
  </si>
  <si>
    <t>214V112009147</t>
  </si>
  <si>
    <t>Praha 5, Zbraslav - stavební úpravy v objektu 4 a 5</t>
  </si>
  <si>
    <t>214V112009148</t>
  </si>
  <si>
    <t>P1000 - Praha 5, Zbraslav - odstranění odlučovače ropných látek</t>
  </si>
  <si>
    <t>214V112009149</t>
  </si>
  <si>
    <t>TOV Planá - změna topného média</t>
  </si>
  <si>
    <t>214V112009150</t>
  </si>
  <si>
    <t>P1000 - OOP Broumov, T.G. Masaryka 248  CZ.1.06/3.4.00/10.xx271</t>
  </si>
  <si>
    <t>214V112009152</t>
  </si>
  <si>
    <t>P1000 - ÚOP Kolín, K Dílnám 684 - Back office</t>
  </si>
  <si>
    <t>214V112009155</t>
  </si>
  <si>
    <t>P1000 - Praha 5, Zbraslav - SÚ vrátnice a přijímací místnosti</t>
  </si>
  <si>
    <t>214V112009156</t>
  </si>
  <si>
    <t>P1000 KŘP Brno, Kounicova - rekonstrukce elektroinstalace - II. etapa</t>
  </si>
  <si>
    <t>214V112009158</t>
  </si>
  <si>
    <t>DI Brno - venkov - výkup pozemku</t>
  </si>
  <si>
    <t>214V112009161</t>
  </si>
  <si>
    <t>P1000 - KŘP Jmk Brno, Kounicova 24 - rekonstrukce výtahu</t>
  </si>
  <si>
    <t>214V112009162</t>
  </si>
  <si>
    <t>ÚOP a OOP Přerov, nová výstavba - výkup pozemku</t>
  </si>
  <si>
    <t>214V112009163</t>
  </si>
  <si>
    <t>P1000 - ÚO Příbram, Žežická 498 CZ.1.06/3.4.00/10.xx270</t>
  </si>
  <si>
    <t>214V112009164</t>
  </si>
  <si>
    <t>KŘP KV - Dolní Rychnov, Dobrovského 1935 - úpravy STK</t>
  </si>
  <si>
    <t>214V112009165</t>
  </si>
  <si>
    <t>FKSP - ÚZ Riviéra - rekonstrukce ústředního topení a TUV</t>
  </si>
  <si>
    <t>214V112009166</t>
  </si>
  <si>
    <t>P1000 - OOP Lipno nad Vltavou, č.p. 75  CZ.1.06/3.4.00/10.xx266</t>
  </si>
  <si>
    <t>214V112009167</t>
  </si>
  <si>
    <t>ÚOP Benešov - vjezd na parkoviště - stavební úpravy</t>
  </si>
  <si>
    <t>214V112009169</t>
  </si>
  <si>
    <t>P1000 OOP Říčany, Masarykovo nám. 56 - II. etapa CZ.1.06/3.4.00/10.xx270</t>
  </si>
  <si>
    <t>214V112009170</t>
  </si>
  <si>
    <t>Kasárna Kutná Hora - projektová dokumentace</t>
  </si>
  <si>
    <t>214V112009171</t>
  </si>
  <si>
    <t>P1000 OOP Plzeň-Bory, Nemocniční 6 - II.etapa CZ.1.06/3.4.00/10.xx272</t>
  </si>
  <si>
    <t>214V112009173</t>
  </si>
  <si>
    <t>KŘP Smk Ostrava, ul. 30.dubna 24 - klimatizační jednotka</t>
  </si>
  <si>
    <t>214V112009174</t>
  </si>
  <si>
    <t>Plzeň, Bílá Hora - st. úpravy kynologického střediska</t>
  </si>
  <si>
    <t>214V112009175</t>
  </si>
  <si>
    <t>P1000 OOP Nový Bydžov, Jiráskova 545 - Back office</t>
  </si>
  <si>
    <t>214V112009176</t>
  </si>
  <si>
    <t>P1000 - Projektové dokumentace - II. etapa CZ.1.06/3.4.00/10.xx266</t>
  </si>
  <si>
    <t>214V112009177</t>
  </si>
  <si>
    <t>P1000 - Projektové dokumentace II. etapa CZ.1.06/3.4.00/10.xx268</t>
  </si>
  <si>
    <t>214V112009179</t>
  </si>
  <si>
    <t>P1000 - OOP Chodov u Karlových Varů, Staroměstská 18 - výměna oken a rekonstrukce soc. zařízení</t>
  </si>
  <si>
    <t>214V112009180</t>
  </si>
  <si>
    <t>P1000 DO Nová Ves - II. etapa CZ.1.06/3.4.00/10.xx270</t>
  </si>
  <si>
    <t>214V112009181</t>
  </si>
  <si>
    <t>P1000 - OOP Dvůr Králové nad Labem, Legionářská 1234 - II. etapa  CZ.1.06/3.4.00/10.xx271</t>
  </si>
  <si>
    <t>214V112009182</t>
  </si>
  <si>
    <t>Tuchoměřice, služební kynologie - vybudování nových kotců pro psy</t>
  </si>
  <si>
    <t>214V112009183</t>
  </si>
  <si>
    <t>P1000 Královéhradeckého kraje - II. etapa KKC CZ.1.06/3.4.00/10.xx271</t>
  </si>
  <si>
    <t>214V112009184</t>
  </si>
  <si>
    <t>Plzeň, Sedláčkova 44 - výměníková stanice</t>
  </si>
  <si>
    <t>214V112009185</t>
  </si>
  <si>
    <t>Plzeň, Nádražní 2 - výměníková stanice</t>
  </si>
  <si>
    <t>214V112009186</t>
  </si>
  <si>
    <t>P1000 - OOP Louny, U Cukrovarské zahrady 1124 CZ.1.06/3.4.00/10.xx268</t>
  </si>
  <si>
    <t>214V112009187</t>
  </si>
  <si>
    <t>Křenová - výkup pozemku</t>
  </si>
  <si>
    <t>214V112009200</t>
  </si>
  <si>
    <t>P1000 - Kontaktní a koordinační centra I. - Krajské ředitelství Jihočeského kraje CZ.1.06/3.4.00/01.06076</t>
  </si>
  <si>
    <t>214V112009201</t>
  </si>
  <si>
    <t>P1000 - Kontaktní a koordinační centra I. - Krajské ředitelství Východočeského kraje CZ.1.06/3.4.00/01.06070</t>
  </si>
  <si>
    <t>214V112009202</t>
  </si>
  <si>
    <t>P1000 - Kontaktní a koordinační centra I. - Krajské ředitelství Západočeského kraje CZ.1.06/3.4.00/01.06071</t>
  </si>
  <si>
    <t>214V112009203</t>
  </si>
  <si>
    <t>P1000 - Kontaktní a koordinační centra I. - Krajské ředitelství Severomoravského kraje CZ.1.06/3.4.00/01.06077</t>
  </si>
  <si>
    <t>214V112009204</t>
  </si>
  <si>
    <t>P1000 - Kontaktní a koordinační centra I. - Krajské ředitelství Středočeského kraje CZ.1.06/3.4.00/01.06068</t>
  </si>
  <si>
    <t>214V112009205</t>
  </si>
  <si>
    <t>P1000 - Kontaktní a koordinační centra I. - Krajské ředitelství Jihomoravského kraje CZ.1.06/3.4.00/01.06075</t>
  </si>
  <si>
    <t>214V112009206</t>
  </si>
  <si>
    <t>P1000 - Kontaktní a koordinační centra I. - Krajské ředitelství Severočeského kraje CZ.1.06/3.4.00/01.06069</t>
  </si>
  <si>
    <t>214V11200R002</t>
  </si>
  <si>
    <t>Rezerva na financování programu v letech 2008-2010 CZ.1.06.R</t>
  </si>
  <si>
    <t>214V113000206</t>
  </si>
  <si>
    <t>Mobilní cely</t>
  </si>
  <si>
    <t>214V113008014</t>
  </si>
  <si>
    <t>SDP pro Schengen (Schengen bus)</t>
  </si>
  <si>
    <t>214V113008035</t>
  </si>
  <si>
    <t>Automobily osobní silniční</t>
  </si>
  <si>
    <t>214V113008059</t>
  </si>
  <si>
    <t>P1000 Mobilní kontaktní a koordinační centra CZ.1.06/3.4.00/01.00138</t>
  </si>
  <si>
    <t>214V113008060</t>
  </si>
  <si>
    <t>P1000 Mobilní kontaktní a koordinační centra</t>
  </si>
  <si>
    <t>214V113008065</t>
  </si>
  <si>
    <t>OPPS Mobilní monitorovací centrum - NA skříňový do 3,5 t PL.3.22/1.3.00/08.00030</t>
  </si>
  <si>
    <t>214V113009002</t>
  </si>
  <si>
    <t>OP Česko-Polsko - Zlepš. bezp. na PL - ČR příhraničí - Vozidlo MMC a terénní vozidla PL.3.22/1.3.00/08.00624</t>
  </si>
  <si>
    <t>214V113009004</t>
  </si>
  <si>
    <t>214V113009005</t>
  </si>
  <si>
    <t>Vozidla pro spojovací systém pro ÚRN - II. etapa</t>
  </si>
  <si>
    <t>214V113009006</t>
  </si>
  <si>
    <t>CN - Pořízení movitého majetku (PP ČR)</t>
  </si>
  <si>
    <t>214V113009007</t>
  </si>
  <si>
    <t>Pořízení movitého majetku (PČR S Sevčk)</t>
  </si>
  <si>
    <t>214V113009008</t>
  </si>
  <si>
    <t>Pořízení movitého majetku (PČR S Včk)</t>
  </si>
  <si>
    <t>214V113009009</t>
  </si>
  <si>
    <t>CN - Automobily osobní silniční</t>
  </si>
  <si>
    <t>214V113009010</t>
  </si>
  <si>
    <t>CN - SDP pro Schengen (Schengen bus)</t>
  </si>
  <si>
    <t>214V113009011</t>
  </si>
  <si>
    <t>Velitelsko-štábní a justiční mobilní pracoviště Policie ČR ATLAS</t>
  </si>
  <si>
    <t>214V113009012</t>
  </si>
  <si>
    <t>P1000 CN Mobilní kontaktní a koordinační centra</t>
  </si>
  <si>
    <t>214V113009013</t>
  </si>
  <si>
    <t>P1000 CN - Mobilní kontaktní a koordinační centra CZ.1.06/3.4.00/01.00138</t>
  </si>
  <si>
    <t>214V113009014</t>
  </si>
  <si>
    <t>Automobily osobní silniční - policejní</t>
  </si>
  <si>
    <t>214V113009015</t>
  </si>
  <si>
    <t>PEU - CN - Noktovizory</t>
  </si>
  <si>
    <t>214V113009016</t>
  </si>
  <si>
    <t>OP Česko-Sasko - Zlepšení bezpečnosti na česko-saském příhraničí - mobilní monitorovací centrum (100012402) CZ.1.18.R01</t>
  </si>
  <si>
    <t>214V113009017</t>
  </si>
  <si>
    <t>OP Česko-Sasko - Zlepšení bezpečnosti na česko-saském příhraničí - služební kynologie (100012391) CZ.1.18.R02</t>
  </si>
  <si>
    <t>214V113009018</t>
  </si>
  <si>
    <t>OP Česko-Sasko - Zlepšení bezpečnosti na česko-saském příhraničí - silniční doprava (100012401) CZ.1.18.R03</t>
  </si>
  <si>
    <t>214V113009019</t>
  </si>
  <si>
    <t>OP Česko-Sasko - Zlepšení bezpečnosti na česko-saském příhraničí - silniční doprava - dálnice (100013692) CZ.1.18.R04</t>
  </si>
  <si>
    <t>214V113009020</t>
  </si>
  <si>
    <t>DAR - Termokamera</t>
  </si>
  <si>
    <t>214V113009021</t>
  </si>
  <si>
    <t>PEU - Samopaly včetně příslušenství</t>
  </si>
  <si>
    <t>214V113009023</t>
  </si>
  <si>
    <t>CN - Motocykly policejní s příslušenstvím</t>
  </si>
  <si>
    <t>214V113009024</t>
  </si>
  <si>
    <t>CN - Zbraně včetně příslušenství pro zabezpečení civilních zahraničních misí</t>
  </si>
  <si>
    <t>214V113009025</t>
  </si>
  <si>
    <t>214V113009026</t>
  </si>
  <si>
    <t>214V113009027</t>
  </si>
  <si>
    <t>214V113009028</t>
  </si>
  <si>
    <t>214V113009029</t>
  </si>
  <si>
    <t>Automobily osobní sliniční</t>
  </si>
  <si>
    <t>214V113009030</t>
  </si>
  <si>
    <t>214V113009031</t>
  </si>
  <si>
    <t>214V113009032</t>
  </si>
  <si>
    <t>214V113009033</t>
  </si>
  <si>
    <t>Vybavení pro kontrolu dokladů FVH2008-05</t>
  </si>
  <si>
    <t>214V113009034</t>
  </si>
  <si>
    <t>Modernizace speciálního vozidla s mobilní termovizí FVH2008-06</t>
  </si>
  <si>
    <t>214V113009035</t>
  </si>
  <si>
    <t>DAR - Zařízení pro provozní informace - sklopné panely s LED</t>
  </si>
  <si>
    <t>214V113009036</t>
  </si>
  <si>
    <t>Mikrobusy</t>
  </si>
  <si>
    <t>214V113009037</t>
  </si>
  <si>
    <t>214V113009038</t>
  </si>
  <si>
    <t>214V113009039</t>
  </si>
  <si>
    <t>214V113009040</t>
  </si>
  <si>
    <t>214V113009041</t>
  </si>
  <si>
    <t>214V113009042</t>
  </si>
  <si>
    <t>214V113009043</t>
  </si>
  <si>
    <t>214V113009044</t>
  </si>
  <si>
    <t>214V113009045</t>
  </si>
  <si>
    <t>Stroj na montáž a demontáž pneu</t>
  </si>
  <si>
    <t>214V113009046</t>
  </si>
  <si>
    <t>FKSP - Gastro zařízení ÚZ Riviéra</t>
  </si>
  <si>
    <t>214V113009047</t>
  </si>
  <si>
    <t>Autobus nad 30 osob</t>
  </si>
  <si>
    <t>214V113009049</t>
  </si>
  <si>
    <t>P1000 Vnitřní vybavení a nábytek KKC pro úsek Hradec Králové CZ.1.06/3.4.00/10.xx271</t>
  </si>
  <si>
    <t>214V113009055</t>
  </si>
  <si>
    <t>Automobily osobní silniční komerční (USČ)</t>
  </si>
  <si>
    <t>214V113009056</t>
  </si>
  <si>
    <t>Mikrobus silniční komerční (USČ)</t>
  </si>
  <si>
    <t>214V113009058</t>
  </si>
  <si>
    <t>Automobil nákladní skříňový do 3,5 t</t>
  </si>
  <si>
    <t>214V113009059</t>
  </si>
  <si>
    <t>Automobil terénní komerční</t>
  </si>
  <si>
    <t>214V113009060</t>
  </si>
  <si>
    <t>Mikrobus silniční komerční</t>
  </si>
  <si>
    <t>214V113009061</t>
  </si>
  <si>
    <t>Minilab - tiskárna</t>
  </si>
  <si>
    <t>214V113009062</t>
  </si>
  <si>
    <t>Automobil nákladní speciální odtahový</t>
  </si>
  <si>
    <t>214V113009063</t>
  </si>
  <si>
    <t>Automobil nákladní skříňový nad 3,5 t</t>
  </si>
  <si>
    <t>214V113009065</t>
  </si>
  <si>
    <t>DAR - automobil nákladní skříňový do 5 t</t>
  </si>
  <si>
    <t>214V113009066</t>
  </si>
  <si>
    <t>Automobil osobní silniční komerční Škoda</t>
  </si>
  <si>
    <t>214V113009067</t>
  </si>
  <si>
    <t>Automobil osobní terénní komerční</t>
  </si>
  <si>
    <t>214V113009069</t>
  </si>
  <si>
    <t>Automobil nákladní skříňový do 3,5t</t>
  </si>
  <si>
    <t>214V113009070</t>
  </si>
  <si>
    <t>Automobily osobní terénní komerční</t>
  </si>
  <si>
    <t>214V113009071</t>
  </si>
  <si>
    <t>Autobus do 30 osob</t>
  </si>
  <si>
    <t>214V113009072</t>
  </si>
  <si>
    <t>Mikrobusy silniční komerční</t>
  </si>
  <si>
    <t>214V113009073</t>
  </si>
  <si>
    <t>Automobily nákladní skříňové do 3,5t</t>
  </si>
  <si>
    <t>214V113009074</t>
  </si>
  <si>
    <t>Automobily osobní silniční komerční Škoda</t>
  </si>
  <si>
    <t>214V113009076</t>
  </si>
  <si>
    <t>214V113009077</t>
  </si>
  <si>
    <t>214V113009078</t>
  </si>
  <si>
    <t>214V113009079</t>
  </si>
  <si>
    <t>214V113009080</t>
  </si>
  <si>
    <t>Mikrobus terénní komerční</t>
  </si>
  <si>
    <t>214V113009081</t>
  </si>
  <si>
    <t>214V113009082</t>
  </si>
  <si>
    <t>214V113009083</t>
  </si>
  <si>
    <t>214V113009085</t>
  </si>
  <si>
    <t>214V113009086</t>
  </si>
  <si>
    <t>214V113009088</t>
  </si>
  <si>
    <t>214V113009089</t>
  </si>
  <si>
    <t>214V113009090</t>
  </si>
  <si>
    <t>214V113009091</t>
  </si>
  <si>
    <t>214V113009092</t>
  </si>
  <si>
    <t>214V113009094</t>
  </si>
  <si>
    <t>214V113009095</t>
  </si>
  <si>
    <t>214V113009096</t>
  </si>
  <si>
    <t>214V113009097</t>
  </si>
  <si>
    <t>DAR - Autobus do 30 osob</t>
  </si>
  <si>
    <t>214V113009098</t>
  </si>
  <si>
    <t>Nákladní automobily pick-up</t>
  </si>
  <si>
    <t>214V113009099</t>
  </si>
  <si>
    <t>Automobily osobní silniční komerční</t>
  </si>
  <si>
    <t>214V113009100</t>
  </si>
  <si>
    <t>Automobily nákladní pick-up</t>
  </si>
  <si>
    <t>214V113009101</t>
  </si>
  <si>
    <t>Stroje kopírovací středněkapacitní</t>
  </si>
  <si>
    <t>214V113009102</t>
  </si>
  <si>
    <t>Automobily osobní silniční speciální pro ÚZČ SKPV</t>
  </si>
  <si>
    <t>214V113009103</t>
  </si>
  <si>
    <t>Mobilní střelecká stolice STZA 12 - bez vrchní lafety</t>
  </si>
  <si>
    <t>214V113009104</t>
  </si>
  <si>
    <t>P1000 Vnitřní zařízení a nábytek II. etapa CZ.1.06/3.4.00/10.xx269</t>
  </si>
  <si>
    <t>214V113009105</t>
  </si>
  <si>
    <t>Kopírovací stroje</t>
  </si>
  <si>
    <t>214V113009106</t>
  </si>
  <si>
    <t>P1000 - Vnitřní vybavení II. etapa CZ.1.06/3.4.00/10.xx267</t>
  </si>
  <si>
    <t>214V113009107</t>
  </si>
  <si>
    <t>Plničky klimatizace pro automobily</t>
  </si>
  <si>
    <t>214V113009108</t>
  </si>
  <si>
    <t>KŘP kraje Vysočina - čerpací stanice (strojní zařízení)</t>
  </si>
  <si>
    <t>214V113009109</t>
  </si>
  <si>
    <t>KŘP Zlínského kraje - mycí linka (strojní zařízení)</t>
  </si>
  <si>
    <t>214V113009110</t>
  </si>
  <si>
    <t>Sklopný panel</t>
  </si>
  <si>
    <t>214V113009111</t>
  </si>
  <si>
    <t>Měřič rychlosti vozidel POLCAM PC2006</t>
  </si>
  <si>
    <t>214V113009112</t>
  </si>
  <si>
    <t>Měřič rychlosti vozidel AD9C T</t>
  </si>
  <si>
    <t>214V113009113</t>
  </si>
  <si>
    <t>Infračervený mikroskop</t>
  </si>
  <si>
    <t>214V113009114</t>
  </si>
  <si>
    <t>Komora vyvíjecí pro kyanoakrylátové páry</t>
  </si>
  <si>
    <t>214V113009115</t>
  </si>
  <si>
    <t>Rentgenový fluorescenční spektrometr</t>
  </si>
  <si>
    <t>214V113009116</t>
  </si>
  <si>
    <t>Přívěs pro přepravu koní</t>
  </si>
  <si>
    <t>214V113009117</t>
  </si>
  <si>
    <t>Automobily osobní silniční komerční II.</t>
  </si>
  <si>
    <t>214V113009118</t>
  </si>
  <si>
    <t>Gastronomické zařízení pro kuchyň KH</t>
  </si>
  <si>
    <t>214V113009119</t>
  </si>
  <si>
    <t>Zařízení pro plnění klimatizací</t>
  </si>
  <si>
    <t>214V113009120</t>
  </si>
  <si>
    <t>Analyzátor výfukových plynů</t>
  </si>
  <si>
    <t>214V113009121</t>
  </si>
  <si>
    <t>Malotraktor s příslušenstvím</t>
  </si>
  <si>
    <t>214V113009122</t>
  </si>
  <si>
    <t>Automobil se sklopným hydraulickým čelem</t>
  </si>
  <si>
    <t>214V113009123</t>
  </si>
  <si>
    <t>Automobil užitkový komerční</t>
  </si>
  <si>
    <t>214V113009124</t>
  </si>
  <si>
    <t>Mlýnek na kosti</t>
  </si>
  <si>
    <t>214V113009125</t>
  </si>
  <si>
    <t>DAR - vybavení posilovny</t>
  </si>
  <si>
    <t>214V113009126</t>
  </si>
  <si>
    <t>Nákladní přívěs pro převoz automobilů</t>
  </si>
  <si>
    <t>214V114009001</t>
  </si>
  <si>
    <t>Automobily osobní silniční komerční (AUDI)</t>
  </si>
  <si>
    <t>214V115000001</t>
  </si>
  <si>
    <t>Vrtulníky lehké hmotnostní kategorie pro zajištění leteckých činností v IZS</t>
  </si>
  <si>
    <t>214V115008000</t>
  </si>
  <si>
    <t>Oprava a údržba leteckého majetku</t>
  </si>
  <si>
    <t>214V115008004</t>
  </si>
  <si>
    <t>Vrtulníky střední hmotnostní kategorie v zásahové a záchranné verzi Bell 412 EP</t>
  </si>
  <si>
    <t>214V115009001</t>
  </si>
  <si>
    <t>Servisní a obslužná zařízení pro vrtulníky LS PČR</t>
  </si>
  <si>
    <t>214V119008012</t>
  </si>
  <si>
    <t>P1000 Příprava podkladů a vyplnění žádosti o dotaci</t>
  </si>
  <si>
    <t>214V119009001</t>
  </si>
  <si>
    <t>P1000 energetický audit  CZ.1.02.R</t>
  </si>
  <si>
    <t>214V119009003</t>
  </si>
  <si>
    <t>ÚOP Pardubice, Na Spravedlnosti 2516 - odstranění závad dle EA</t>
  </si>
  <si>
    <t>214V119009004</t>
  </si>
  <si>
    <t>214V119009005</t>
  </si>
  <si>
    <t>214V119009006</t>
  </si>
  <si>
    <t>214V119009007</t>
  </si>
  <si>
    <t>214V119009008</t>
  </si>
  <si>
    <t>214V119009009</t>
  </si>
  <si>
    <t>214V119009010</t>
  </si>
  <si>
    <t>214V119009011</t>
  </si>
  <si>
    <t>Celkem za 214110</t>
  </si>
  <si>
    <t>214V211008274</t>
  </si>
  <si>
    <t>Příspěvek - Projekční vybavení krajského operačního střediska (KOPIS)</t>
  </si>
  <si>
    <t>214V212006034</t>
  </si>
  <si>
    <t>OUPO Brno, Trnkova 85 - přístavba ubytovny B - severní křídlo</t>
  </si>
  <si>
    <t>214V212008012</t>
  </si>
  <si>
    <t>Tanvald PS - výstavba</t>
  </si>
  <si>
    <t>214V212008013</t>
  </si>
  <si>
    <t>Hradec Králové PS, Kukleny - výstavba P1 - 2. etapa</t>
  </si>
  <si>
    <t>214V212008022</t>
  </si>
  <si>
    <t>Chomutov PS - rekonstrukce</t>
  </si>
  <si>
    <t>214V212008038</t>
  </si>
  <si>
    <t>Lovosice PS - nová výstavba</t>
  </si>
  <si>
    <t>214V212008049</t>
  </si>
  <si>
    <t>Kamenice nad Lipou - výstavba nové PS</t>
  </si>
  <si>
    <t>214V212008077</t>
  </si>
  <si>
    <t>Příspěvek - Havlíčkův Brod PS - rekonstrukce cvičné lezecké věže</t>
  </si>
  <si>
    <t>214V212008092</t>
  </si>
  <si>
    <t>Kladno, stanice HZS - rekonstrukce a nástavba budovy B</t>
  </si>
  <si>
    <t>214V212008097</t>
  </si>
  <si>
    <t>IOO Lázně Bohdaneč - opatření z EA - elektroinstalace 1.část</t>
  </si>
  <si>
    <t>214V212008098</t>
  </si>
  <si>
    <t>Dvůr Králové nad Labem - výstavba požární stanice P1</t>
  </si>
  <si>
    <t>214V212008099</t>
  </si>
  <si>
    <t>Liberec CPS - přístavba CHTS</t>
  </si>
  <si>
    <t>214V212008117</t>
  </si>
  <si>
    <t>Tachov PS - výstavba stanice C1</t>
  </si>
  <si>
    <t>214V213008255</t>
  </si>
  <si>
    <t>214V213008256</t>
  </si>
  <si>
    <t>Kontejnerový automobil (nákladní)</t>
  </si>
  <si>
    <t>214V213008257</t>
  </si>
  <si>
    <t>Technický automobil barokomora</t>
  </si>
  <si>
    <t>214D214008017</t>
  </si>
  <si>
    <t>Ostrov, okr. Karlovy Vary - cisternová automobilová stříkačka</t>
  </si>
  <si>
    <t>214D214008031</t>
  </si>
  <si>
    <t>Újezd u Brna, okr. Brno - venkov - cisternová automobilová stříkačka</t>
  </si>
  <si>
    <t>214D214008047</t>
  </si>
  <si>
    <t>Statutární město Brno, MČ Brno-Chrlice - cisternová automobilová stříkačka</t>
  </si>
  <si>
    <t>214V217008009</t>
  </si>
  <si>
    <t>FKSP - Nahořany RZ - výstavba ČOV</t>
  </si>
  <si>
    <t>Celkem za 214210</t>
  </si>
  <si>
    <t>214V511006001</t>
  </si>
  <si>
    <t>IP kryptografické prostředky pro IS VEGA - D</t>
  </si>
  <si>
    <t>Celkem za 214510</t>
  </si>
  <si>
    <t>214V911008009</t>
  </si>
  <si>
    <t>Rozšíření páteřní optické sítě</t>
  </si>
  <si>
    <t>214V911008010</t>
  </si>
  <si>
    <t>Upgrade hlasové sítě - I. etapa</t>
  </si>
  <si>
    <t>214V911009001</t>
  </si>
  <si>
    <t>Napojení OŘ PČR optickým kabelem</t>
  </si>
  <si>
    <t>214V911009002</t>
  </si>
  <si>
    <t>Upgrade hlasové sítě</t>
  </si>
  <si>
    <t>214V911009003</t>
  </si>
  <si>
    <t>Napojení OŘ PČR rrl spojem</t>
  </si>
  <si>
    <t>214V912009000</t>
  </si>
  <si>
    <t>Modernizace infrastruktury a datové sítě</t>
  </si>
  <si>
    <t>214V912009001</t>
  </si>
  <si>
    <t>Bezpečnost datových sítí</t>
  </si>
  <si>
    <t>214V913007008</t>
  </si>
  <si>
    <t>Pegas - implementace systémové verze 35.07 a rozšíření pokrytí</t>
  </si>
  <si>
    <t>214V913008004</t>
  </si>
  <si>
    <t>PEGAS - optimalizace systému I. etapa</t>
  </si>
  <si>
    <t>214V913009001</t>
  </si>
  <si>
    <t>PEGAS - Optimalizace systému</t>
  </si>
  <si>
    <t>214V915009000</t>
  </si>
  <si>
    <t>Pořízení koncových zařízení ICT</t>
  </si>
  <si>
    <t>214V915009001</t>
  </si>
  <si>
    <t>Pořízení SW produktů Microsoft Enterprise pro MV ČR, GŘ HZS a PČR</t>
  </si>
  <si>
    <t>214V916005005</t>
  </si>
  <si>
    <t>MVP - HW a SW rozšíření serverového jádra CIS</t>
  </si>
  <si>
    <t>214V916008007</t>
  </si>
  <si>
    <t>Rozvoj informačních systémů PČR</t>
  </si>
  <si>
    <t>214V916008011</t>
  </si>
  <si>
    <t>Konsolidace IT infrastruktury MV</t>
  </si>
  <si>
    <t>214V916008016</t>
  </si>
  <si>
    <t>Oznamování protiprávní činnosti dětí</t>
  </si>
  <si>
    <t>214V916009003</t>
  </si>
  <si>
    <t>Elektronická spisová služba MV</t>
  </si>
  <si>
    <t>214V916009004</t>
  </si>
  <si>
    <t>Konsolidace IT</t>
  </si>
  <si>
    <t>214V916009005</t>
  </si>
  <si>
    <t>Content a Seurity Management</t>
  </si>
  <si>
    <t>214V916009006</t>
  </si>
  <si>
    <t>Vybudování technologické platformy pro IS MV</t>
  </si>
  <si>
    <t>214V916009007</t>
  </si>
  <si>
    <t>Rozvoj kontrolního systému resortu MV - etapa 2009</t>
  </si>
  <si>
    <t>214V916009009</t>
  </si>
  <si>
    <t>Informační a vyrozumívací systém ÚRN P ČR</t>
  </si>
  <si>
    <t>214V916009010</t>
  </si>
  <si>
    <t>IS AZYL II - náhrada stávajícího systému Azyl</t>
  </si>
  <si>
    <t>Celkem za 214910</t>
  </si>
  <si>
    <t>Celkem za kapitolu 314</t>
  </si>
  <si>
    <t>Výdaje Policie ČR celkem a detail dle jednotlivých krajských ředitelství v roce 2009</t>
  </si>
  <si>
    <t>Policie ČR</t>
  </si>
  <si>
    <t xml:space="preserve">KŘ hl. m. Prahy </t>
  </si>
  <si>
    <t>KŘ Středočeského kraje</t>
  </si>
  <si>
    <t>KŘ Jihočeského kraje</t>
  </si>
  <si>
    <t>KŘ Západočeského kraje</t>
  </si>
  <si>
    <t>KŘ Severočeského kraje</t>
  </si>
  <si>
    <t>KŘ Východočeského kraje</t>
  </si>
  <si>
    <t>KŘ Jihomoravského kraje</t>
  </si>
  <si>
    <t>KŘ Severomoravského kraje</t>
  </si>
  <si>
    <t>KŘ Policie ČR CELKEM</t>
  </si>
  <si>
    <t>SLZ PP ČR</t>
  </si>
  <si>
    <t>Vypracoval: Ing. Zachař, tel. 974 849 816</t>
  </si>
  <si>
    <t>Tabulka č. 17</t>
  </si>
  <si>
    <t>VÝDAJE CELKEM</t>
  </si>
  <si>
    <t>v mil. Kč</t>
  </si>
  <si>
    <t>114V211009018</t>
  </si>
  <si>
    <t>OUPO FM - diskové pole</t>
  </si>
  <si>
    <t>114V211009019</t>
  </si>
  <si>
    <t>OUPO FM - Vmware</t>
  </si>
  <si>
    <t>114V211009020</t>
  </si>
  <si>
    <t>OUPO FM - Router</t>
  </si>
  <si>
    <t>114V211009021</t>
  </si>
  <si>
    <t>OUPO Borovany -Terminály EASY + Smart vozidlové</t>
  </si>
  <si>
    <t>Vypracoval : Štěpánek, tel. 974 849 205                                     Kontroloval: Ing. Šolta, tel. 974 849 818</t>
  </si>
  <si>
    <t>Tabulka č. 14</t>
  </si>
  <si>
    <t>114V211009025</t>
  </si>
  <si>
    <t>Audiovizuální projekce na KOIS</t>
  </si>
  <si>
    <t>114V211009026</t>
  </si>
  <si>
    <t>Upgrade technologie OPIS</t>
  </si>
  <si>
    <t>Přenosný analogový převaděč</t>
  </si>
  <si>
    <t>114V211009030</t>
  </si>
  <si>
    <t>SW PC Help</t>
  </si>
  <si>
    <t>114V211009031</t>
  </si>
  <si>
    <t>Aktivní prvky sítě Cisco</t>
  </si>
  <si>
    <t>114V211009032</t>
  </si>
  <si>
    <t>Technologie KOPIS</t>
  </si>
  <si>
    <t>114V211009033</t>
  </si>
  <si>
    <t>Servery aplikační, technologický, souborový</t>
  </si>
  <si>
    <t>114V211009034</t>
  </si>
  <si>
    <t>Server HP KOPIS</t>
  </si>
  <si>
    <t>114V211009035</t>
  </si>
  <si>
    <t>N server HP KOPIS</t>
  </si>
  <si>
    <t>114V211009036</t>
  </si>
  <si>
    <t>UPS pro ÚO Klatovy</t>
  </si>
  <si>
    <t>114V211009037</t>
  </si>
  <si>
    <t>Projektor</t>
  </si>
  <si>
    <t>114V211009038</t>
  </si>
  <si>
    <t>Interaktivní tabule</t>
  </si>
  <si>
    <t>114V211009039</t>
  </si>
  <si>
    <t>Prvky infrastruktury LAN ( switche )</t>
  </si>
  <si>
    <t>114V211009040</t>
  </si>
  <si>
    <t>SW pro KOPIS</t>
  </si>
  <si>
    <t>114V211009041</t>
  </si>
  <si>
    <t>Servery pro KOPIS</t>
  </si>
  <si>
    <t>114V211009042</t>
  </si>
  <si>
    <t>Síťová tiskárna</t>
  </si>
  <si>
    <t>114V211009043</t>
  </si>
  <si>
    <t>Zálohovací systém</t>
  </si>
  <si>
    <t>114V211009044</t>
  </si>
  <si>
    <t>Virtualizační systém</t>
  </si>
  <si>
    <t>114V211009045</t>
  </si>
  <si>
    <t>Tiskové řešení</t>
  </si>
  <si>
    <t>114V211009046</t>
  </si>
  <si>
    <t>Integrace AMDS</t>
  </si>
  <si>
    <t>114V211009047</t>
  </si>
  <si>
    <t>OPIS IT</t>
  </si>
  <si>
    <t>114V211009048</t>
  </si>
  <si>
    <t>Upgrade a doplnění technologií PS</t>
  </si>
  <si>
    <t>114V211009049</t>
  </si>
  <si>
    <t>114V211009050</t>
  </si>
  <si>
    <t>Multilicence AMDS</t>
  </si>
  <si>
    <t>114V211009051</t>
  </si>
  <si>
    <t>Switch</t>
  </si>
  <si>
    <t>114V211009052</t>
  </si>
  <si>
    <t>Arceditor - upgrade z Arcview</t>
  </si>
  <si>
    <t>114V211009053</t>
  </si>
  <si>
    <t>ArcPublisher</t>
  </si>
  <si>
    <t>114V211009054</t>
  </si>
  <si>
    <t>3D Analyst</t>
  </si>
  <si>
    <t>114V211009055</t>
  </si>
  <si>
    <t>Notebook</t>
  </si>
  <si>
    <t>114V211009056</t>
  </si>
  <si>
    <t>Stacionární sestava PC</t>
  </si>
  <si>
    <t>114V211009057</t>
  </si>
  <si>
    <t>Aplikační server</t>
  </si>
  <si>
    <t>114V211009058</t>
  </si>
  <si>
    <t>Meteorologická stanice</t>
  </si>
  <si>
    <t>114V211009059</t>
  </si>
  <si>
    <t>Server Oracle</t>
  </si>
  <si>
    <t>114V211009060</t>
  </si>
  <si>
    <t>Sledování vozidel IZS</t>
  </si>
  <si>
    <t>114V211009061</t>
  </si>
  <si>
    <t>PC - pracoviště GIS</t>
  </si>
  <si>
    <t>114V211009062</t>
  </si>
  <si>
    <t>Virtualizovaná serverová infrastruktura pro zálohování</t>
  </si>
  <si>
    <t>114V211009063</t>
  </si>
  <si>
    <t>Zálohovací systém HZS JmK</t>
  </si>
  <si>
    <t>114V211009064</t>
  </si>
  <si>
    <t>Integrace AMDS do systému Výjezd</t>
  </si>
  <si>
    <t>114V211009065</t>
  </si>
  <si>
    <t>Pořízení a upgrade informačních a komunikačních technologií</t>
  </si>
  <si>
    <t>114V211009066</t>
  </si>
  <si>
    <t>IDS systém detekce útoků v síti KŘ</t>
  </si>
  <si>
    <t>114V211009067</t>
  </si>
  <si>
    <t>Upgrade ISV u HZS MSK - moduly ISV</t>
  </si>
  <si>
    <t>114V211009068</t>
  </si>
  <si>
    <t>Vozidlová radiostanice včetně montážních sad</t>
  </si>
  <si>
    <t>114V211009069</t>
  </si>
  <si>
    <t>Rozšíření technologie KOPIS</t>
  </si>
  <si>
    <t>114V211009070</t>
  </si>
  <si>
    <t>Pořízení mapového serveru HZS ZLK</t>
  </si>
  <si>
    <t>114V211009071</t>
  </si>
  <si>
    <t>ORACLE DTB</t>
  </si>
  <si>
    <t>114V211009072</t>
  </si>
  <si>
    <t>Pevný radiový digitální terminál</t>
  </si>
  <si>
    <t>SOŠ a VOŠ PO Frýdek-Místek</t>
  </si>
  <si>
    <t>114V211009073</t>
  </si>
  <si>
    <t>Vozidlový radiový digitální terminál</t>
  </si>
  <si>
    <t>114V211009074</t>
  </si>
  <si>
    <t>Ruční radiový digitální terminál</t>
  </si>
  <si>
    <t>114V211009075</t>
  </si>
  <si>
    <t>114V211009076</t>
  </si>
  <si>
    <t>Záchranný útvar HZS - výpočetní technika</t>
  </si>
  <si>
    <t>114V211009077</t>
  </si>
  <si>
    <t>Upgrade mikrovlnného spoje</t>
  </si>
  <si>
    <t>114V211009078</t>
  </si>
  <si>
    <t>CallCentrum - upgrade TÚ Alcatel</t>
  </si>
  <si>
    <t>114V211009079</t>
  </si>
  <si>
    <t>VT pro systém Datových schránek</t>
  </si>
  <si>
    <t>114V211009080</t>
  </si>
  <si>
    <t>114V211009081</t>
  </si>
  <si>
    <t>Skener a terminal server</t>
  </si>
  <si>
    <t>114V211009082</t>
  </si>
  <si>
    <t>Server pro provoz IS</t>
  </si>
  <si>
    <t>114V211009084</t>
  </si>
  <si>
    <t>Server pro elektronickou spisovou službu</t>
  </si>
  <si>
    <t>114V211009086</t>
  </si>
  <si>
    <t>Terminálový server</t>
  </si>
  <si>
    <t>114V211009087</t>
  </si>
  <si>
    <t>114V211009088</t>
  </si>
  <si>
    <t>Implementace elektronické spisové služby</t>
  </si>
  <si>
    <t>114V211009089</t>
  </si>
  <si>
    <t>Scanner s vybavením pro obsluhu datových schránek</t>
  </si>
  <si>
    <t>114V211009090</t>
  </si>
  <si>
    <t>Elektronická spisová služba - skenery, tiskárny</t>
  </si>
  <si>
    <t>114V211009091</t>
  </si>
  <si>
    <t>Scannery, tiskárny</t>
  </si>
  <si>
    <t>114V211009092</t>
  </si>
  <si>
    <t>WINDOWS terminál server</t>
  </si>
  <si>
    <t>114V211009094</t>
  </si>
  <si>
    <t>Nákup multifunkčního stroje se síťovým scannerem</t>
  </si>
  <si>
    <t>114V211009095</t>
  </si>
  <si>
    <t>Nákup jehličkové tiskárny</t>
  </si>
  <si>
    <t>114V211009096</t>
  </si>
  <si>
    <t>Upgrade komunikačního systému</t>
  </si>
  <si>
    <t>114V211009097</t>
  </si>
  <si>
    <t>114V211009098</t>
  </si>
  <si>
    <t>114V211009099</t>
  </si>
  <si>
    <t>114V211009100</t>
  </si>
  <si>
    <t>Upgrade sítě PBX Alcatel - Lucent</t>
  </si>
  <si>
    <t>114V211009101</t>
  </si>
  <si>
    <t>Aktuální SW verze pro TÚ ALCATEL</t>
  </si>
  <si>
    <t>114V211009102</t>
  </si>
  <si>
    <t>114V211009103</t>
  </si>
  <si>
    <t>OUPO Brno - Stravovací systém</t>
  </si>
  <si>
    <t>114V211009104</t>
  </si>
  <si>
    <t>OUPO FM - SW modul Spojař</t>
  </si>
  <si>
    <t>114V211009105</t>
  </si>
  <si>
    <t>OUPO Chomutov - server</t>
  </si>
  <si>
    <t>114V211009107</t>
  </si>
  <si>
    <t>Záznamové zařízení</t>
  </si>
  <si>
    <t>114V211009108</t>
  </si>
  <si>
    <t>Příspěvek - časoměrná tabule</t>
  </si>
  <si>
    <t>114V211009109</t>
  </si>
  <si>
    <t>Pořízení softwarového díla - Aplikace požární prevence</t>
  </si>
  <si>
    <t>114V211009110</t>
  </si>
  <si>
    <t>Příspěvek - Rozšíření datové sítě HZS Královéhradeckého kraje</t>
  </si>
  <si>
    <t>114V211009111</t>
  </si>
  <si>
    <t>Síťové aktivní prvky</t>
  </si>
  <si>
    <t>114V211009112</t>
  </si>
  <si>
    <t>Bladecentrum</t>
  </si>
  <si>
    <t>114V211009113</t>
  </si>
  <si>
    <t>Satelitní datový terminál - USAR09-01</t>
  </si>
  <si>
    <t>KV - MRZ EU</t>
  </si>
  <si>
    <t>114V211009114</t>
  </si>
  <si>
    <t>114V211009115</t>
  </si>
  <si>
    <t>114V211009116</t>
  </si>
  <si>
    <t>SW My - teamwork</t>
  </si>
  <si>
    <t>114V211009117</t>
  </si>
  <si>
    <t>Upgrade komunikačního systému Alcatel</t>
  </si>
  <si>
    <t>114V211009118</t>
  </si>
  <si>
    <t>Upgrade sítě PBX</t>
  </si>
  <si>
    <t>114V211009119</t>
  </si>
  <si>
    <t>Upgrade telefonní ústředny</t>
  </si>
  <si>
    <t>114V211009120</t>
  </si>
  <si>
    <t>114V211009121</t>
  </si>
  <si>
    <t>Pořízení telefonní ústředny</t>
  </si>
  <si>
    <t>114V211009122</t>
  </si>
  <si>
    <t>Příspěvek - Záznamové prostředky pro jednání krizového štábu</t>
  </si>
  <si>
    <t>114V211009123</t>
  </si>
  <si>
    <t>Analogový převaděč 160 MHz</t>
  </si>
  <si>
    <t>114V211009124</t>
  </si>
  <si>
    <t>Kopírovací zařízení</t>
  </si>
  <si>
    <t>114V211009125</t>
  </si>
  <si>
    <t>Server VEMA</t>
  </si>
  <si>
    <t>114V211009126</t>
  </si>
  <si>
    <t>Příspěvek - Klient GIS pro potřeby KOPIS</t>
  </si>
  <si>
    <t>114V211009127</t>
  </si>
  <si>
    <t>Příspěvek - Přechod telefonie KOPIS na technologii Alcatel</t>
  </si>
  <si>
    <t>114V211009128</t>
  </si>
  <si>
    <t>Příspěvek - Podpora vybavení krajského operačního střediska (KOPIS)</t>
  </si>
  <si>
    <t>114V211009129</t>
  </si>
  <si>
    <t>Upgrade AMDS - My Teamwork</t>
  </si>
  <si>
    <t>114V211009130</t>
  </si>
  <si>
    <t>Modul ISV 5.0 statistické sledování událostí/zpráva o zásahu</t>
  </si>
  <si>
    <t>114V211009131</t>
  </si>
  <si>
    <t>Modul informací pro ČHMÚ</t>
  </si>
  <si>
    <t>114V211009132</t>
  </si>
  <si>
    <t>Elektronická spisová služba GŘ HZS</t>
  </si>
  <si>
    <t>114V211009133</t>
  </si>
  <si>
    <t>Elektronická spisová služba HZS</t>
  </si>
  <si>
    <t>114V211009134</t>
  </si>
  <si>
    <t>Upgrade Krajského operačního střediska - I.etapa</t>
  </si>
  <si>
    <t>114V211009135</t>
  </si>
  <si>
    <t>114V211009136</t>
  </si>
  <si>
    <t>Docházkový a přístupový systém</t>
  </si>
  <si>
    <t>114V211009137</t>
  </si>
  <si>
    <t>Privátní telekomunikační síť HZS hl. m. Prahy</t>
  </si>
  <si>
    <t>114V211009138</t>
  </si>
  <si>
    <t>Optické propojení sídla KŘ a areálu stanice Liberec</t>
  </si>
  <si>
    <t>114V211009139</t>
  </si>
  <si>
    <t>Upgrade komunikačního systému - zálohové organizace</t>
  </si>
  <si>
    <t>114V211009140</t>
  </si>
  <si>
    <t>Příspěvek - pracovní stanice operačních důstojníků - KOPIS</t>
  </si>
  <si>
    <t>114V211009141</t>
  </si>
  <si>
    <t>Technologické servery</t>
  </si>
  <si>
    <t>114V211009142</t>
  </si>
  <si>
    <t>Multifunkční zařízení</t>
  </si>
  <si>
    <t>114V211009143</t>
  </si>
  <si>
    <t>Síťový server</t>
  </si>
  <si>
    <t>114V212009003</t>
  </si>
  <si>
    <t>ZL Olomouc - rekonstrukce skladů</t>
  </si>
  <si>
    <t>114V212009004</t>
  </si>
  <si>
    <t>Mikulov PS - výstavba nové požární stanice</t>
  </si>
  <si>
    <t>114V212009005</t>
  </si>
  <si>
    <t>OUPO BM-výcviková plocha-III. etapa</t>
  </si>
  <si>
    <t>114V212009006</t>
  </si>
  <si>
    <t>Praha 2,Legerova - rekonstrukce objektu CPS</t>
  </si>
  <si>
    <t>114V212009007</t>
  </si>
  <si>
    <t>Areál Hlučín - stavební úpravy 1. NP budovy č. 3</t>
  </si>
  <si>
    <t>114V212009009</t>
  </si>
  <si>
    <t>Příspěvek - Cheb CPS - výstavba garáží</t>
  </si>
  <si>
    <t>114V212009010</t>
  </si>
  <si>
    <t>Příbram HZS - výkup pozemku</t>
  </si>
  <si>
    <t>114V212009011</t>
  </si>
  <si>
    <t>Výstavba HS Modřany - studie proveditelnosti</t>
  </si>
  <si>
    <t>114V212009012</t>
  </si>
  <si>
    <t>Jílové u Prahy - výkup pozemku</t>
  </si>
  <si>
    <t>114V212009013</t>
  </si>
  <si>
    <t>Příspěvek - Tišnov PS - rekonstrukce PS - 2. etapa</t>
  </si>
  <si>
    <t>114V212009014</t>
  </si>
  <si>
    <t>Zbiroh - výstavba výcvikového a pozorovacího trenažéru</t>
  </si>
  <si>
    <t>114V212009015</t>
  </si>
  <si>
    <t>Příspěvek - Sokolov CPS - stavební úpravy vnitřních prostor</t>
  </si>
  <si>
    <t>114V212009016</t>
  </si>
  <si>
    <t>Příspěvek - stanice Jihlava - rekonstrukce chemické dílny</t>
  </si>
  <si>
    <t>114V212009017</t>
  </si>
  <si>
    <t>Příspěvek - stanice Havlíčkův Brod - výměna vrat</t>
  </si>
  <si>
    <t>114V212009018</t>
  </si>
  <si>
    <t>VÚZ Zbiroh - stavební úpravy budov č. 22,25,26 - 1. etapa</t>
  </si>
  <si>
    <t>114V212009019</t>
  </si>
  <si>
    <t>Příspěvek - Karlovy Vary CPS - stavební úpravy vnitřních prostor</t>
  </si>
  <si>
    <t>114V212009020</t>
  </si>
  <si>
    <t>Příspěvek - Havířov HS - odsávání garáží</t>
  </si>
  <si>
    <t>114V212009021</t>
  </si>
  <si>
    <t>Areál Hlučín - stavební úpravy 2. NP budovy č. 5</t>
  </si>
  <si>
    <t>114V212009022</t>
  </si>
  <si>
    <t>Zlín PS - technické zhodnocení budovy a přilehlých ploch</t>
  </si>
  <si>
    <t>114V212009023</t>
  </si>
  <si>
    <t>Valašské Klobouky PS - posílení el. příkonu odběrového místa</t>
  </si>
  <si>
    <t>114V212009024</t>
  </si>
  <si>
    <t>Liberec KŘ - administrativní objekt - rekonstrukce vytápěcí soustavy</t>
  </si>
  <si>
    <t>114V212009025</t>
  </si>
  <si>
    <t>Příspěvek - Vsetín PS - výměna garážových vrat</t>
  </si>
  <si>
    <t>114V212009026</t>
  </si>
  <si>
    <t>Příspěvek - Vsetín PS - výměna oken budovy stanice - 1. etapa</t>
  </si>
  <si>
    <t>114V212009027</t>
  </si>
  <si>
    <t>VÚZ Zbiroh - rekonstrukce pravé části budovy č. 6</t>
  </si>
  <si>
    <t>114V212009028</t>
  </si>
  <si>
    <t>Hluboká n/Vltavou - skladový areál - rekonstrukce kanalizace a osazení ČOV</t>
  </si>
  <si>
    <t>114V212009029</t>
  </si>
  <si>
    <t>Semily CPS - výměna brány, dálkové ovládání vrat</t>
  </si>
  <si>
    <t>114V212009030</t>
  </si>
  <si>
    <t>Liberec CPS - rekonstrukce ČOV</t>
  </si>
  <si>
    <t>114V212009031</t>
  </si>
  <si>
    <t>Příspěvek - Ústí nad Labem PS - drobné stavební úpravy</t>
  </si>
  <si>
    <t>114V212009032</t>
  </si>
  <si>
    <t>Příspěvek - Nová Paka PS - náhradní zdroj elektrické energie</t>
  </si>
  <si>
    <t>114V212009033</t>
  </si>
  <si>
    <t>Příspěvek - Jičín PS - rekonstrukce kotelny</t>
  </si>
  <si>
    <t>114V212009035</t>
  </si>
  <si>
    <t>Příspěvek - Hodonín PS - výměna garážových vrat</t>
  </si>
  <si>
    <t>114V212009036</t>
  </si>
  <si>
    <t>Rozšíření klimatizace technologické místnosti</t>
  </si>
  <si>
    <t>114V212009037</t>
  </si>
  <si>
    <t>Kladno HZS - klimatizace technologické místnosti - přízemí budovy E</t>
  </si>
  <si>
    <t>114V212009038</t>
  </si>
  <si>
    <t>Příspěvek - Plzeň PS, Pobřežní - rekonstrukce střechy administrativní budovy</t>
  </si>
  <si>
    <t>114V212009039</t>
  </si>
  <si>
    <t>Liberec CPS - výstavba ČOV</t>
  </si>
  <si>
    <t>114V212009040</t>
  </si>
  <si>
    <t>Příspěvek - Orlová HS - rekonstrukce sociálního zázemí</t>
  </si>
  <si>
    <t>114V212009041</t>
  </si>
  <si>
    <t>Příspěvek - Frýdek-Místek HS - odsávání garáží</t>
  </si>
  <si>
    <t>114V212009044</t>
  </si>
  <si>
    <t>Příspěvek - Bohumín HS - rekonstrukce a revitalizace - 1. etapa</t>
  </si>
  <si>
    <t>114V212009045</t>
  </si>
  <si>
    <t>Příspěvek - Zábřeh PS - výstavba brány</t>
  </si>
  <si>
    <t>114V212009046</t>
  </si>
  <si>
    <t>Příspěvek - Karviná HS - rekonstrukce sociálního zázemí</t>
  </si>
  <si>
    <t>114V212009047</t>
  </si>
  <si>
    <t>Třebíč PS - rekonstrukce vjezdové brány a branky</t>
  </si>
  <si>
    <t>114V212009048</t>
  </si>
  <si>
    <t>Třebíč PS - rozšíření parkoviště</t>
  </si>
  <si>
    <t>114V212009049</t>
  </si>
  <si>
    <t>Příspěvek - Karlovy Vary CPS - stavební úpravy vnitřních prostor - II. etapa</t>
  </si>
  <si>
    <t>114V212009050</t>
  </si>
  <si>
    <t>Uherské Hradiště PS - odstranění havarijního stavu topení</t>
  </si>
  <si>
    <t>114V212009051</t>
  </si>
  <si>
    <t>Cheb CPS - výkup pozemku</t>
  </si>
  <si>
    <t>114V212009052</t>
  </si>
  <si>
    <t>Jihlava, Brněnský kopec - EZS</t>
  </si>
  <si>
    <t>114V212009053</t>
  </si>
  <si>
    <t>Uherské Hradiště PS - technické zhodnocení budovy</t>
  </si>
  <si>
    <t>114V213009001</t>
  </si>
  <si>
    <t>Automobilní technika GŘ HZS ČR</t>
  </si>
  <si>
    <t>114V213009002</t>
  </si>
  <si>
    <t>SGD-SC-5L  jednotka pro ředění plynů</t>
  </si>
  <si>
    <t>114V213009003</t>
  </si>
  <si>
    <t>Sušárna vakuová</t>
  </si>
  <si>
    <t>114V213009004</t>
  </si>
  <si>
    <t>Elektrická pícka</t>
  </si>
  <si>
    <t>114V213009005</t>
  </si>
  <si>
    <t>Výcvikový trenažér</t>
  </si>
  <si>
    <t>114V213009006</t>
  </si>
  <si>
    <t>Záchranný rukáv</t>
  </si>
  <si>
    <t>114V213009007</t>
  </si>
  <si>
    <t>Cvičná ohnivzdorná figurína</t>
  </si>
  <si>
    <t>114V213009008</t>
  </si>
  <si>
    <t>Pračka na hadice</t>
  </si>
  <si>
    <t>114V213009009</t>
  </si>
  <si>
    <t>Přetlakový ventilátor</t>
  </si>
  <si>
    <t>114V213009010</t>
  </si>
  <si>
    <t>Seskoková matrace</t>
  </si>
  <si>
    <t>114V213009011</t>
  </si>
  <si>
    <t>Automatické monitorovací podvodní zařízení</t>
  </si>
  <si>
    <t>114V213009012</t>
  </si>
  <si>
    <t>Kalibrátory dozimetrů</t>
  </si>
  <si>
    <t>114V213009013</t>
  </si>
  <si>
    <t>Spektrometr FTIR</t>
  </si>
  <si>
    <t>114V213009014</t>
  </si>
  <si>
    <t>Laboratorní myčka nádobí</t>
  </si>
  <si>
    <t>114V213009015</t>
  </si>
  <si>
    <t>Technické zhodnocení stacionárního spektrometru  - ATR nástavec k infračervenému spektrometru</t>
  </si>
  <si>
    <t>114V213009016</t>
  </si>
  <si>
    <t>Technické zhodnocení stacionárního spektrometru  - knihovna infračerveného spektrometru</t>
  </si>
  <si>
    <t>114V213009017</t>
  </si>
  <si>
    <t>Laboratorní sušárna</t>
  </si>
  <si>
    <t>114V213009018</t>
  </si>
  <si>
    <t>Malotraktor s přídavným zařízením</t>
  </si>
  <si>
    <t>114V213009019</t>
  </si>
  <si>
    <t>Zabezpečení HZS požární technikou</t>
  </si>
  <si>
    <t>114V213009020</t>
  </si>
  <si>
    <t>Stan pro velení při zásazích</t>
  </si>
  <si>
    <t>114V213009021</t>
  </si>
  <si>
    <t>Osobní automobil</t>
  </si>
  <si>
    <t>114V213009022</t>
  </si>
  <si>
    <t>Hadicový  automobil</t>
  </si>
  <si>
    <t>114V213009023</t>
  </si>
  <si>
    <t>Cisternová automobilová stříkačka - redukovaná</t>
  </si>
  <si>
    <t>114V213009024</t>
  </si>
  <si>
    <t>Rekonstrukce CAS 32 T 815</t>
  </si>
  <si>
    <t>114V213009025</t>
  </si>
  <si>
    <t>Technické zhodnocení AZ 30</t>
  </si>
  <si>
    <t>114V213009026</t>
  </si>
  <si>
    <t>Velitelský automobil</t>
  </si>
  <si>
    <t>114V213009027</t>
  </si>
  <si>
    <t>Pořízení automobilu pro hospodářské účely</t>
  </si>
  <si>
    <t>114V213009028</t>
  </si>
  <si>
    <t>114V213009029</t>
  </si>
  <si>
    <t>Osobní automobil pro přepravu lodí a přívěsů</t>
  </si>
  <si>
    <t>114V213009030</t>
  </si>
  <si>
    <t>Pořízení sady vyprošťovacího zařízení</t>
  </si>
  <si>
    <t>114V213009031</t>
  </si>
  <si>
    <t>Pořízení ostatních strojů a zařízení</t>
  </si>
  <si>
    <t>114V213009032</t>
  </si>
  <si>
    <t>Cisternová automobilová stříkačka - technické provedení</t>
  </si>
  <si>
    <t>114V213009033</t>
  </si>
  <si>
    <t>Technický automobil</t>
  </si>
  <si>
    <t>114V213009034</t>
  </si>
  <si>
    <t>Osobní automobily</t>
  </si>
  <si>
    <t>114V213009035</t>
  </si>
  <si>
    <t>Vyprošťovací zařízení</t>
  </si>
  <si>
    <t>114V213009036</t>
  </si>
  <si>
    <t>Přetlakové ventilátory</t>
  </si>
  <si>
    <t>114V213009037</t>
  </si>
  <si>
    <t>Přímočaré rozpínací nástroje HVZ</t>
  </si>
  <si>
    <t>114V213009038</t>
  </si>
  <si>
    <t>Stabilizovací zařízení</t>
  </si>
  <si>
    <t>114V213009039</t>
  </si>
  <si>
    <t>Elektrický lanový naviják</t>
  </si>
  <si>
    <t>114V213009040</t>
  </si>
  <si>
    <t>Dýchací přístroje</t>
  </si>
  <si>
    <t>114V213009041</t>
  </si>
  <si>
    <t>Přenosná požární stříkačka PPS 12</t>
  </si>
  <si>
    <t>114V213009042</t>
  </si>
  <si>
    <t>Osvětlovací balóny</t>
  </si>
  <si>
    <t>114V213009043</t>
  </si>
  <si>
    <t>Elektrický lanový naviják na mobilní požární techniku</t>
  </si>
  <si>
    <t>114V213009044</t>
  </si>
  <si>
    <t>Vysokotlaké mycí zařízení</t>
  </si>
  <si>
    <t>114V213009045</t>
  </si>
  <si>
    <t>Měřící zařízení pro dýchací techniku a ochranné obleky</t>
  </si>
  <si>
    <t>114V213009046</t>
  </si>
  <si>
    <t>Nákladní automobil M</t>
  </si>
  <si>
    <t>114V213009047</t>
  </si>
  <si>
    <t>Technický automobil L1</t>
  </si>
  <si>
    <t>114V213009048</t>
  </si>
  <si>
    <t>Cisternová automobilová stříkačka</t>
  </si>
  <si>
    <t>114V213009049</t>
  </si>
  <si>
    <t>Automobilová plošina se záchrannou výškou do 30m</t>
  </si>
  <si>
    <t>114V213009050</t>
  </si>
  <si>
    <t>114V213009051</t>
  </si>
  <si>
    <t>Pneumatické vyprošťovací zařízení</t>
  </si>
  <si>
    <t>114V213009052</t>
  </si>
  <si>
    <t>Požární  přívěs pod člun</t>
  </si>
  <si>
    <t>114V213009053</t>
  </si>
  <si>
    <t>114V213009054</t>
  </si>
  <si>
    <t>Sušička na ochranné masky</t>
  </si>
  <si>
    <t>114V213009055</t>
  </si>
  <si>
    <t>Rekonstrukce CAS 32</t>
  </si>
  <si>
    <t>114V213009056</t>
  </si>
  <si>
    <t>114V213009057</t>
  </si>
  <si>
    <t>114V213009058</t>
  </si>
  <si>
    <t>Mikrobus</t>
  </si>
  <si>
    <t>114V213009059</t>
  </si>
  <si>
    <t>114V213009060</t>
  </si>
  <si>
    <t>Osobní automobil terénní</t>
  </si>
  <si>
    <t>114V213009061</t>
  </si>
  <si>
    <t>Technické zhodnocení TA 4</t>
  </si>
  <si>
    <t>114V213009062</t>
  </si>
  <si>
    <t>Pneumatické zvedací vaky</t>
  </si>
  <si>
    <t>114V213009063</t>
  </si>
  <si>
    <t>Zařízení na čištění a údržbu zásahových oděvů</t>
  </si>
  <si>
    <t>114V213009064</t>
  </si>
  <si>
    <t>Pračka na oděvy</t>
  </si>
  <si>
    <t>114V213009065</t>
  </si>
  <si>
    <t>Nákladní kontejner</t>
  </si>
  <si>
    <t>114V213009066</t>
  </si>
  <si>
    <t>114V213009067</t>
  </si>
  <si>
    <t>Zařízení na údržbu hadic</t>
  </si>
  <si>
    <t>114V213009068</t>
  </si>
  <si>
    <t>114V213009069</t>
  </si>
  <si>
    <t>Termokamera</t>
  </si>
  <si>
    <t>114V213009070</t>
  </si>
  <si>
    <t>Automobilový žebřík</t>
  </si>
  <si>
    <t>114V213009071</t>
  </si>
  <si>
    <t>114V213009072</t>
  </si>
  <si>
    <t>114V213009073</t>
  </si>
  <si>
    <t>114V213009074</t>
  </si>
  <si>
    <t>114V213009075</t>
  </si>
  <si>
    <t>Evakuační rukáv k AP 42</t>
  </si>
  <si>
    <t>114V213009076</t>
  </si>
  <si>
    <t>Kompresory pro plnění TL 30 MPa</t>
  </si>
  <si>
    <t>114V213009077</t>
  </si>
  <si>
    <t>Zátěžový trenažer k PP polygonu</t>
  </si>
  <si>
    <t>114V213009078</t>
  </si>
  <si>
    <t>Plošinový přívěs</t>
  </si>
  <si>
    <t>114V213009079</t>
  </si>
  <si>
    <t>Lanové elektrické navijáky</t>
  </si>
  <si>
    <t>114V213009080</t>
  </si>
  <si>
    <t>Pračky hadic</t>
  </si>
  <si>
    <t>114V213009081</t>
  </si>
  <si>
    <t>Technické automobily</t>
  </si>
  <si>
    <t>114V213009082</t>
  </si>
  <si>
    <t>Požární kontejnerový nosič</t>
  </si>
  <si>
    <t>114V213009083</t>
  </si>
  <si>
    <t>114V213009084</t>
  </si>
  <si>
    <t>Použité osobní automobily</t>
  </si>
  <si>
    <t>114V213009085</t>
  </si>
  <si>
    <t>Použitý mikrobus</t>
  </si>
  <si>
    <t>114V213009086</t>
  </si>
  <si>
    <t>Požární kontejnerový nosič s požárním nákladním kontejnerem</t>
  </si>
  <si>
    <t>114V213009087</t>
  </si>
  <si>
    <t>Zdvihací zařízení k nosiči kontejnerů</t>
  </si>
  <si>
    <t>114V213009088</t>
  </si>
  <si>
    <t>Podmetací řetězy</t>
  </si>
  <si>
    <t>114V213009089</t>
  </si>
  <si>
    <t>Ultrazvukové myčky</t>
  </si>
  <si>
    <t>114V213009090</t>
  </si>
  <si>
    <t>Ohřívač technické vody pro dekontaminační stanoviště</t>
  </si>
  <si>
    <t>114V213009091</t>
  </si>
  <si>
    <t>Ventilátor s vodní turbínou</t>
  </si>
  <si>
    <t>114V213009092</t>
  </si>
  <si>
    <t>Náhradní zdroj elektrické energie</t>
  </si>
  <si>
    <t>114V213009093</t>
  </si>
  <si>
    <t>Rekonstrukce cisternové automobilové stříkačky</t>
  </si>
  <si>
    <t>114V213009094</t>
  </si>
  <si>
    <t>114V213009095</t>
  </si>
  <si>
    <t>Autobus</t>
  </si>
  <si>
    <t>114V213009096</t>
  </si>
  <si>
    <t>Zkušební zařízení</t>
  </si>
  <si>
    <t>114V213009097</t>
  </si>
  <si>
    <t>Cisternová automobilová stříkačka 20 S2 speciální technická</t>
  </si>
  <si>
    <t>114V213009098</t>
  </si>
  <si>
    <t>Rekonstrukce cisternové automobilové stříkačky 32 T-815</t>
  </si>
  <si>
    <t>114V213009099</t>
  </si>
  <si>
    <t>Rekonstrukce cisternové automobilové stříkačky 32 T-148</t>
  </si>
  <si>
    <t>114V213009100</t>
  </si>
  <si>
    <t>114V213009101</t>
  </si>
  <si>
    <t>Velitelské automobily</t>
  </si>
  <si>
    <t>114V213009102</t>
  </si>
  <si>
    <t>Technický automobil – chemický + loď s motorem a přívěsem</t>
  </si>
  <si>
    <t>114V213009103</t>
  </si>
  <si>
    <t>114V213009104</t>
  </si>
  <si>
    <t>Hydraulické vyprošťovací zařízení</t>
  </si>
  <si>
    <t>114V213009105</t>
  </si>
  <si>
    <t>Plovoucí čerpadla</t>
  </si>
  <si>
    <t>114V213009106</t>
  </si>
  <si>
    <t>Skříň na kyseliny</t>
  </si>
  <si>
    <t>114V213009107</t>
  </si>
  <si>
    <t>Skříň na hořlaviny</t>
  </si>
  <si>
    <t>114V213009108</t>
  </si>
  <si>
    <t>Vakuová odparka</t>
  </si>
  <si>
    <t>114V213009109</t>
  </si>
  <si>
    <t>Měřící zařízení pro revize dýchacích přístrojů a protichemických obleků</t>
  </si>
  <si>
    <t>114V213009110</t>
  </si>
  <si>
    <t>Vysokotlaký kompresor pro zásahovou činnost</t>
  </si>
  <si>
    <t>114V213009111</t>
  </si>
  <si>
    <t>Vysokotlaký kompresor</t>
  </si>
  <si>
    <t>114V213009112</t>
  </si>
  <si>
    <t>Izolační vzduchové dýchací přístroje přetlakové</t>
  </si>
  <si>
    <t>114V213009113</t>
  </si>
  <si>
    <t>Úprava štěrbinové kamery pro odřady</t>
  </si>
  <si>
    <t>114V213009114</t>
  </si>
  <si>
    <t>Fotoionizační detektor</t>
  </si>
  <si>
    <t>114V213009115</t>
  </si>
  <si>
    <t>Plynotěsné ochranné chemické oděvy</t>
  </si>
  <si>
    <t>114V213009116</t>
  </si>
  <si>
    <t>114V213009117</t>
  </si>
  <si>
    <t>114V213009118</t>
  </si>
  <si>
    <t>Ostatní stroje a zařízení</t>
  </si>
  <si>
    <t>114V213009119</t>
  </si>
  <si>
    <t>Cisternová automobilová stříkačka CAS 20</t>
  </si>
  <si>
    <t>114V213009120</t>
  </si>
  <si>
    <t>Rekonstrukce CAS 32 T815</t>
  </si>
  <si>
    <t>114V213009121</t>
  </si>
  <si>
    <t>Rekonstrukce CAS 24 T815 4x4</t>
  </si>
  <si>
    <t>114V213009122</t>
  </si>
  <si>
    <t>Obnova vozového parku HZS MSK</t>
  </si>
  <si>
    <t>114V213009123</t>
  </si>
  <si>
    <t>114V213009124</t>
  </si>
  <si>
    <t>Automobil osobní</t>
  </si>
  <si>
    <t>114V213009125</t>
  </si>
  <si>
    <t>Automobil účelový</t>
  </si>
  <si>
    <t>114V213009126</t>
  </si>
  <si>
    <t>Kontejner protiplynový</t>
  </si>
  <si>
    <t>114V213009127</t>
  </si>
  <si>
    <t>Kontejner technický</t>
  </si>
  <si>
    <t>114V213009128</t>
  </si>
  <si>
    <t>Kompresor vzduchový (stany nouzového přežití)</t>
  </si>
  <si>
    <t>114V213009129</t>
  </si>
  <si>
    <t>Nákup automobilní techniky</t>
  </si>
  <si>
    <t>114V213009131</t>
  </si>
  <si>
    <t>Rekonstrukce AZ 30</t>
  </si>
  <si>
    <t>114V213009132</t>
  </si>
  <si>
    <t>Cvičné věže</t>
  </si>
  <si>
    <t>114V213009133</t>
  </si>
  <si>
    <t>Zásahový automobil pro ZPP a CHL</t>
  </si>
  <si>
    <t>114V213009134</t>
  </si>
  <si>
    <t>Pořízení osobního automobilu 7-9 osob</t>
  </si>
  <si>
    <t>114V213009135</t>
  </si>
  <si>
    <t>Pračka a sušička zásahových oděvů</t>
  </si>
  <si>
    <t>114V213009136</t>
  </si>
  <si>
    <t>Nosič kontejnerů</t>
  </si>
  <si>
    <t>114V213009137</t>
  </si>
  <si>
    <t>114V213009138</t>
  </si>
  <si>
    <t>Příspěvek - Cisternová automobilová stříkačka</t>
  </si>
  <si>
    <t>114V213009139</t>
  </si>
  <si>
    <t>Příspěvek - Elektrický odsávač kouře v nevýbušném provedení</t>
  </si>
  <si>
    <t>114V213009140</t>
  </si>
  <si>
    <t>Příspěvek - Osvětlovací balón s HMI výbojkou</t>
  </si>
  <si>
    <t>114V213009141</t>
  </si>
  <si>
    <t>Opatření povodí Opavy - Kontejner protipovodňové stěny</t>
  </si>
  <si>
    <t>114V213009143</t>
  </si>
  <si>
    <t>Příspěvek - Velitelský automobil</t>
  </si>
  <si>
    <t>114V213009144</t>
  </si>
  <si>
    <t>Příspěvek - Dopravní automobil</t>
  </si>
  <si>
    <t>114V213009145</t>
  </si>
  <si>
    <t>Nákup lodního motoru</t>
  </si>
  <si>
    <t>114V213009146</t>
  </si>
  <si>
    <t>Nákup kompresoru</t>
  </si>
  <si>
    <t>114V213009147</t>
  </si>
  <si>
    <t>Technické zhodnocení vozidla IVECO DAILY 50C15V</t>
  </si>
  <si>
    <t>114V213009148</t>
  </si>
  <si>
    <t>Trojnožka</t>
  </si>
  <si>
    <t>114V213009149</t>
  </si>
  <si>
    <t>Technický automobil pro lezecké družstvo</t>
  </si>
  <si>
    <t>114V213009150</t>
  </si>
  <si>
    <t>Nákup zahradního traktoru</t>
  </si>
  <si>
    <t>114V213009151</t>
  </si>
  <si>
    <t>Příspěvek - Nosič kontejnerů</t>
  </si>
  <si>
    <t>114V213009153</t>
  </si>
  <si>
    <t>Opatření povodí Opavy - Sorbentový kontejner</t>
  </si>
  <si>
    <t>114V213009154</t>
  </si>
  <si>
    <t>Příspěvek - elektrocentrála</t>
  </si>
  <si>
    <t>114V213009155</t>
  </si>
  <si>
    <t>Příspěvek -  rekonstrukce CAS 32 T 815</t>
  </si>
  <si>
    <t>114V213009156</t>
  </si>
  <si>
    <t>Příspěvek - pračka a sušička OOP</t>
  </si>
  <si>
    <t>114V213009157</t>
  </si>
  <si>
    <t>Velkokapacitní CAS v provedení pro hašení lesních požárů</t>
  </si>
  <si>
    <t>114V213009158</t>
  </si>
  <si>
    <t>Příspěvek - dovybavení CAS</t>
  </si>
  <si>
    <t>114V213009159</t>
  </si>
  <si>
    <t>Příspěvek - hydraulické vyprošťovací zařízení</t>
  </si>
  <si>
    <t>114V213009160</t>
  </si>
  <si>
    <t>Příspěvek - velitelský automobil</t>
  </si>
  <si>
    <t>114V213009161</t>
  </si>
  <si>
    <t>Příspěvek - dovybavení HS Nošovice</t>
  </si>
  <si>
    <t>114V213009162</t>
  </si>
  <si>
    <t>Příspěvek - vozový park</t>
  </si>
  <si>
    <t>114V213009163</t>
  </si>
  <si>
    <t>Izolační vzduchové dýchací přístroje s příslušenstvím</t>
  </si>
  <si>
    <t>114V213009164</t>
  </si>
  <si>
    <t>Mobilní zkušební zařízení pro provádění hydraulických zkoušek</t>
  </si>
  <si>
    <t>114V213009165</t>
  </si>
  <si>
    <t>Stacionární vysokotlaký kompresor</t>
  </si>
  <si>
    <t>114V213009166</t>
  </si>
  <si>
    <t>Příspěvek - Zařízení pro fyzickou přípravu - posilovací trenažér</t>
  </si>
  <si>
    <t>114V213009167</t>
  </si>
  <si>
    <t>Kontejnerová souprava pro řešení mimořádných událostí - CZ.1.22.R</t>
  </si>
  <si>
    <t>114V213009168</t>
  </si>
  <si>
    <t>Povodně - Přenosná požární stříkačka</t>
  </si>
  <si>
    <t>114V213009169</t>
  </si>
  <si>
    <t>Povodně - Velitelský automobil a užitkový automobil</t>
  </si>
  <si>
    <t>114V213009170</t>
  </si>
  <si>
    <t>Povodeň - Technické prostředky HZS MSK</t>
  </si>
  <si>
    <t>114V213009171</t>
  </si>
  <si>
    <t>Opatření povodí Opavy - Kontejner povodňový</t>
  </si>
  <si>
    <t>114V213009172</t>
  </si>
  <si>
    <t>Opatření povodí Opavy - Kontejner pro nouzové ubytování</t>
  </si>
  <si>
    <t>114V213009173</t>
  </si>
  <si>
    <t>Kontejner technický - ropný</t>
  </si>
  <si>
    <t>114V213009174</t>
  </si>
  <si>
    <t>Příspěvek - Pohonná jednotka k hydraulickému vyprošťovacímu zařízení</t>
  </si>
  <si>
    <t>114V213009175</t>
  </si>
  <si>
    <t>Příspěvek - Terénní automobil</t>
  </si>
  <si>
    <t>114V213009176</t>
  </si>
  <si>
    <t>Příspěvek - Osobní automobil</t>
  </si>
  <si>
    <t>114V213009177</t>
  </si>
  <si>
    <t>Příspěvek - Rychlý zásahový automobil</t>
  </si>
  <si>
    <t>114V213009178</t>
  </si>
  <si>
    <t>Příspěvek - Termokamery</t>
  </si>
  <si>
    <t>114V213009179</t>
  </si>
  <si>
    <t>Příspěvek - Osvětlovací balón</t>
  </si>
  <si>
    <t>114V213009180</t>
  </si>
  <si>
    <t>Příspěvek - Kalové čerpadlo</t>
  </si>
  <si>
    <t>114V213009181</t>
  </si>
  <si>
    <t>Příspěvek - Přenosná požární stříkačka</t>
  </si>
  <si>
    <t>114V213009182</t>
  </si>
  <si>
    <t>Příspěvek - Vyprošťovací nůžky</t>
  </si>
  <si>
    <t>114V213009183</t>
  </si>
  <si>
    <t>Požární příslušenství do požární techniky</t>
  </si>
  <si>
    <t>114V213009184</t>
  </si>
  <si>
    <t>Měřící zařízení pro dýchací přístroje</t>
  </si>
  <si>
    <t>114V213009185</t>
  </si>
  <si>
    <t>Dýchací technika</t>
  </si>
  <si>
    <t>114V213009186</t>
  </si>
  <si>
    <t>Příspěvek - člun + lodní motor</t>
  </si>
  <si>
    <t>114V213009187</t>
  </si>
  <si>
    <t>114V213009188</t>
  </si>
  <si>
    <t>Příspěvek - Soupravy hydraulického vyprošťovacího nářadí</t>
  </si>
  <si>
    <t>114V213009189</t>
  </si>
  <si>
    <t>Povodně - Člun + lodní motor</t>
  </si>
  <si>
    <t>114V213009190</t>
  </si>
  <si>
    <t>Frankovací stroj</t>
  </si>
  <si>
    <t>114V213009191</t>
  </si>
  <si>
    <t>Ponorné kalové čerpadlo</t>
  </si>
  <si>
    <t>114V213009192</t>
  </si>
  <si>
    <t>Pracovní člun</t>
  </si>
  <si>
    <t>114V213009193</t>
  </si>
  <si>
    <t>Příspěvek - Osobní automobil pro 9 osob</t>
  </si>
  <si>
    <t>114V213009194</t>
  </si>
  <si>
    <t>Příspěvek - Pneumatické podpěrné a zajišťovací tyče</t>
  </si>
  <si>
    <t>114V213009195</t>
  </si>
  <si>
    <t>Příspěvek - Hydraulické vyprošťovací zařízení</t>
  </si>
  <si>
    <t>114V213009196</t>
  </si>
  <si>
    <t>Příspěvek - Vysokotlaké kompresory</t>
  </si>
  <si>
    <t>114V213009197</t>
  </si>
  <si>
    <t>Příspěvek - Užitkový automobil</t>
  </si>
  <si>
    <t>114V213009198</t>
  </si>
  <si>
    <t>Přenosná nádrž na PHM</t>
  </si>
  <si>
    <t>114V213009199</t>
  </si>
  <si>
    <t>114V213009200</t>
  </si>
  <si>
    <t>114V213009201</t>
  </si>
  <si>
    <t>114V213009202</t>
  </si>
  <si>
    <t>Příspěvek - rekonstrukce CAS</t>
  </si>
  <si>
    <t>114V213009203</t>
  </si>
  <si>
    <t>Osvětlovací systémy a mobilní zdroj elektrické energie</t>
  </si>
  <si>
    <t>114V213009204</t>
  </si>
  <si>
    <t>Pracoviště operačního řízení mobilní</t>
  </si>
  <si>
    <t>114V213009205</t>
  </si>
  <si>
    <t>Příspěvek - Sada zvedacích vaků + doplnění sady hydraulického vyprošťovacího nářadí</t>
  </si>
  <si>
    <t>114V213009206</t>
  </si>
  <si>
    <t>114V213009207</t>
  </si>
  <si>
    <t>Třífázový analyzátor sítě a termovizní kamera</t>
  </si>
  <si>
    <t>114V213009208</t>
  </si>
  <si>
    <t>Gastronomické vybavení stravovacího zařízení</t>
  </si>
  <si>
    <t>114V213009209</t>
  </si>
  <si>
    <t>Příspěvek - Sada zvedacích a těsnících vaků</t>
  </si>
  <si>
    <t>114V213009210</t>
  </si>
  <si>
    <t>Příspěvek - Nosič kontejnerů 4x4</t>
  </si>
  <si>
    <t>114V213009211</t>
  </si>
  <si>
    <t>Rekonstrukce brzdové soustavy cisternového automobilu</t>
  </si>
  <si>
    <t>114V213009213</t>
  </si>
  <si>
    <t>Nádrž přenosná na pohonné hmoty</t>
  </si>
  <si>
    <t>114V213009214</t>
  </si>
  <si>
    <t>Manipulační technika</t>
  </si>
  <si>
    <t>114V213009215</t>
  </si>
  <si>
    <t>Příspěvek - pračka a sušička ÚO Karviná</t>
  </si>
  <si>
    <t>114V213009216</t>
  </si>
  <si>
    <t>Nosič kontejnerů 4x2</t>
  </si>
  <si>
    <t>114V213009217</t>
  </si>
  <si>
    <t>Požární technika hmotnostní kategorie L</t>
  </si>
  <si>
    <t>114V213009218</t>
  </si>
  <si>
    <t>Technické prostředky</t>
  </si>
  <si>
    <t>114V213009219</t>
  </si>
  <si>
    <t>Opatření povodí Opavy - záchranná povodňová lávka</t>
  </si>
  <si>
    <t>114V213009220</t>
  </si>
  <si>
    <t>Zařízení pro dopravu vodícího lana</t>
  </si>
  <si>
    <t>114V213009221</t>
  </si>
  <si>
    <t>Technické zhodnocení speciálního cisternového automobilu</t>
  </si>
  <si>
    <t>114V213009222</t>
  </si>
  <si>
    <t>Příspěvek - Přívěsný vozík pro dekontaminační prostředky</t>
  </si>
  <si>
    <t>114V213009223</t>
  </si>
  <si>
    <t>Příspěvek - naviják hadic</t>
  </si>
  <si>
    <t>114V213009224</t>
  </si>
  <si>
    <t>Lanový naviják</t>
  </si>
  <si>
    <t>114V213009225</t>
  </si>
  <si>
    <t>Modernizace AVIA CAN na PHM</t>
  </si>
  <si>
    <t>114V213009226</t>
  </si>
  <si>
    <t>Rekonstrukce brzdového systému CAN AVIA</t>
  </si>
  <si>
    <t>114V213009227</t>
  </si>
  <si>
    <t>Technické zhodnocení vozidla Avia 31.1 - přestavba brzdového systému</t>
  </si>
  <si>
    <t>114V213009228</t>
  </si>
  <si>
    <t>Rekonstrukce nosiče kontejnerů SCANIA</t>
  </si>
  <si>
    <t>114V213009229</t>
  </si>
  <si>
    <t>Zařízení pro fyzickou přípravu - běžecký trenažér</t>
  </si>
  <si>
    <t>114V213009230</t>
  </si>
  <si>
    <t>Rekonstrukce brzd vozidla AVIA A31.1K-CAN</t>
  </si>
  <si>
    <t>114V213009231</t>
  </si>
  <si>
    <t>Střihač pedálů</t>
  </si>
  <si>
    <t>114V213009232</t>
  </si>
  <si>
    <t>Mobilní zdroje elektrické energie</t>
  </si>
  <si>
    <t>114V213009233</t>
  </si>
  <si>
    <t>Mobilní čerpací stanice PHM - PS Humpolec</t>
  </si>
  <si>
    <t>114V213009234</t>
  </si>
  <si>
    <t>114D214009001</t>
  </si>
  <si>
    <t>Dotace-reprodukce  požární techniky</t>
  </si>
  <si>
    <t>114D214009002</t>
  </si>
  <si>
    <t>Dotace-reprodukce JSVV</t>
  </si>
  <si>
    <t>114D214009004</t>
  </si>
  <si>
    <t>Město Králův Dvůr - cisternová automobilová stříkačka</t>
  </si>
  <si>
    <t>114D214009005</t>
  </si>
  <si>
    <t>Město Úvaly - cisternová automobilová stříkačka</t>
  </si>
  <si>
    <t>114D214009006</t>
  </si>
  <si>
    <t>Město Tábor - cisternová automobilová stříkačka</t>
  </si>
  <si>
    <t>114D214009007</t>
  </si>
  <si>
    <t>Obec Srní, okr. Klatovy - cisternová automobilová stříkačka</t>
  </si>
  <si>
    <t>114D214009008</t>
  </si>
  <si>
    <t>Statutární město Plzeň-Plzeň 5-Křimice - cisternová automobilová stříkačka</t>
  </si>
  <si>
    <t>114D214009009</t>
  </si>
  <si>
    <t>Obec Halže - cisternová automobilová stříkačka</t>
  </si>
  <si>
    <t>114D214009010</t>
  </si>
  <si>
    <t>Městys Koloveč - cisternová automobilová stříkačka</t>
  </si>
  <si>
    <t>114D214009011</t>
  </si>
  <si>
    <t>Město Litoměřice - cisternová automobilová stříkačka</t>
  </si>
  <si>
    <t>114D214009012</t>
  </si>
  <si>
    <t>Město Oloví, okr. Sokolov - cisternová automobilová stříkačka</t>
  </si>
  <si>
    <t>114D214009013</t>
  </si>
  <si>
    <t>Město Nová Role - cisternová automobilová stříkačka</t>
  </si>
  <si>
    <t>114D214009014</t>
  </si>
  <si>
    <t>Město Mimoň - cisternová automobilová stříkačka</t>
  </si>
  <si>
    <t>114D214009016</t>
  </si>
  <si>
    <t>Město Frýdlant - hasičský žebřík</t>
  </si>
  <si>
    <t>114D214009017</t>
  </si>
  <si>
    <t>Město Týniště na Orlicí - cistrernová automobilová stříkačka</t>
  </si>
  <si>
    <t>114D214009018</t>
  </si>
  <si>
    <t>Město Borohrádek - cisternová automobilová stříkačka</t>
  </si>
  <si>
    <t>114D214009019</t>
  </si>
  <si>
    <t>Obec Valdice - cisternová automobilová stříkačka</t>
  </si>
  <si>
    <t>114D214009020</t>
  </si>
  <si>
    <t>Město Králíky - cisternová automobilová stříkačka</t>
  </si>
  <si>
    <t>114D214009021</t>
  </si>
  <si>
    <t>Obec Hrochův Týnec - cisternová automobilová stříkačka</t>
  </si>
  <si>
    <t>114D214009022</t>
  </si>
  <si>
    <t>Obec Hrušky - cisternová automobilová stříkačka</t>
  </si>
  <si>
    <t>114D214009023</t>
  </si>
  <si>
    <t>Městys Doubravice nad Svitavou - cisternová automobilová stříkačka</t>
  </si>
  <si>
    <t>114D214009024</t>
  </si>
  <si>
    <t>Městys Lysice - cisternová automobilová stříkačka</t>
  </si>
  <si>
    <t>114D214009025</t>
  </si>
  <si>
    <t>Obec Lukavice - cisternová automobilová stříkačka</t>
  </si>
  <si>
    <t>114D214009026</t>
  </si>
  <si>
    <t>Obec Klenovice na Hané - cisternová automobilová stříkačka</t>
  </si>
  <si>
    <t>114D214009027</t>
  </si>
  <si>
    <t>Město Fulnek - cisternová automobilová stříkačka</t>
  </si>
  <si>
    <t>114D214009028</t>
  </si>
  <si>
    <t>Statutární město Chomutov - cisternová automobilová stříkačka</t>
  </si>
  <si>
    <t>114D214009029</t>
  </si>
  <si>
    <t>Obec Pustá Polom - cisternová automobilová stříkačka</t>
  </si>
  <si>
    <t>114D214009030</t>
  </si>
  <si>
    <t>Obec Fryčovice, okr. Frýdek Místek - cisternová automobilová stříkačka</t>
  </si>
  <si>
    <t>114D214009031</t>
  </si>
  <si>
    <t>Město Vrbno pod Pradědem - rekonstrukce CAS</t>
  </si>
  <si>
    <t>114D214009032</t>
  </si>
  <si>
    <t>Město Dolní Benešov - cisternová automobilová stříkačka</t>
  </si>
  <si>
    <t>114D214009033</t>
  </si>
  <si>
    <t>Obec Krmelín - cisternová automobilová stříkačka</t>
  </si>
  <si>
    <t>114D214009034</t>
  </si>
  <si>
    <t>Obec Bílovice, okr. Uherské Hradiště - cisternová automobilová stříkačka</t>
  </si>
  <si>
    <t>114D214009035</t>
  </si>
  <si>
    <t>Obec Nivnice - cisternová automobilová stříkačka</t>
  </si>
  <si>
    <t>114D214009036</t>
  </si>
  <si>
    <t>Obec Záboří nad Labem - obecní rozhlas</t>
  </si>
  <si>
    <t>114D214009037</t>
  </si>
  <si>
    <t>Statutární město České Budějovice - varovací systém pro město Č. Budějovice</t>
  </si>
  <si>
    <t>114D214009038</t>
  </si>
  <si>
    <t>Město Vodňany - obecní rozhlas</t>
  </si>
  <si>
    <t>114D214009039</t>
  </si>
  <si>
    <t>Statutární město Plzeň - elektronické sirény</t>
  </si>
  <si>
    <t>114D214009040</t>
  </si>
  <si>
    <t>Město Skuteč - elektronické sirény a bezdrátový rozhlas</t>
  </si>
  <si>
    <t>114D214009041</t>
  </si>
  <si>
    <t>Městys Mohelno - bezdrátový rozhlas</t>
  </si>
  <si>
    <t>114D214009042</t>
  </si>
  <si>
    <t>Město Boskovice - bezdrátový rozhlas</t>
  </si>
  <si>
    <t>114D214009043</t>
  </si>
  <si>
    <t>Statutární město Brno, Městská část Brno-Židenice - výstavba elektronických sirén</t>
  </si>
  <si>
    <t>114D214009044</t>
  </si>
  <si>
    <t>Statutární město Olomouc - elektronické sirény</t>
  </si>
  <si>
    <t>114D214009045</t>
  </si>
  <si>
    <t>Obec Starý Jičín - bezdrátový rozhlas</t>
  </si>
  <si>
    <t>114D214009046</t>
  </si>
  <si>
    <t>Obec Troubky - dopravní automobil</t>
  </si>
  <si>
    <t>114D214009047</t>
  </si>
  <si>
    <t>Obec Rynholec - dopravní automobil</t>
  </si>
  <si>
    <t>114D214009048</t>
  </si>
  <si>
    <t>Obec Doloplazy, okr. Prostějov - vybavení pro Sbor dobrovolných hasičů</t>
  </si>
  <si>
    <t>114D214009049</t>
  </si>
  <si>
    <t>Obec Křižánky, okr. Žďár nad Sázavou - stavba budovy hasičské zbrojnice</t>
  </si>
  <si>
    <t>114D214009050</t>
  </si>
  <si>
    <t>Obec Staré Jesenčany, okr. Pardubice - rekonstrukce hasičské zbrojnice</t>
  </si>
  <si>
    <t>114D214009051</t>
  </si>
  <si>
    <t>Obec Újezd u Přelouče, okr. Pardubice - rekonstrukce hasičské požární zbrojnice (půdní vestavba)</t>
  </si>
  <si>
    <t>114D214009052</t>
  </si>
  <si>
    <t>Obec Voleč, okr. Pardubice - rekonstrukce hasičské zbrojnice</t>
  </si>
  <si>
    <t>114D214009053</t>
  </si>
  <si>
    <t>Obec Kunětice, okr. Pardubice - rekonstrukce střechy hasičské zbrojnice</t>
  </si>
  <si>
    <t>114D214009054</t>
  </si>
  <si>
    <t>Obec Jezbořice, okr. Pardubice - rekonstrukce hasičské zbrojnice</t>
  </si>
  <si>
    <t>114D214009055</t>
  </si>
  <si>
    <t>Obec Libišany, okr. Pardubice - rekonstrukce vrat a vnější opravy hasičské zbrojnice</t>
  </si>
  <si>
    <t>114D214009056</t>
  </si>
  <si>
    <t>Město Janovice nad Úhlavou, okr. Klatovy - výstavba hasičské zbrojnice</t>
  </si>
  <si>
    <t>114D214009057</t>
  </si>
  <si>
    <t>Obec Pěnčín, okr. Jablonec nad Nisou - hasičská zbrojnice Pěnčín - Huť</t>
  </si>
  <si>
    <t>114D214009058</t>
  </si>
  <si>
    <t>Obec Slavětín, okr. Havlíčkův Brod - stavební úpravy hasičské zbrojnice a sportoviště Slavětín</t>
  </si>
  <si>
    <t>114D214009059</t>
  </si>
  <si>
    <t>Město Kloubouky u Brna - rekonstrukce požární zbrojnice</t>
  </si>
  <si>
    <t>114D214009060</t>
  </si>
  <si>
    <t>Moravský Krumlov - obec Rakšice (SDH) - rozšíření hasičské zbrojnice</t>
  </si>
  <si>
    <t>114D214009061</t>
  </si>
  <si>
    <t>Obec Lutonina, okr. Zlín - nákup nového hasičského vozidla pro jednotku SDH</t>
  </si>
  <si>
    <t>114D214009062</t>
  </si>
  <si>
    <t>Obec Rohatec, Jihomoravský kraj - Rekonstrukce požárního automobilu CAS 32-T 148</t>
  </si>
  <si>
    <t>114D214009063</t>
  </si>
  <si>
    <t>Městys Nový Hrozenkov, okr. Vsetín - střešní krytina hasičského domu</t>
  </si>
  <si>
    <t>114D214009064</t>
  </si>
  <si>
    <t>Obec Horní Bečva - oprava budovy SDH v Horní Bečvě č. 656</t>
  </si>
  <si>
    <t>114D214009065</t>
  </si>
  <si>
    <t>Městys Vrchotovy Janovice - vybavení jednotky SDH</t>
  </si>
  <si>
    <t>114D214009066</t>
  </si>
  <si>
    <t>Město Kostelec nad Černými lesy - rekonstrukce požárního vozu SDH</t>
  </si>
  <si>
    <t>114D214009067</t>
  </si>
  <si>
    <t>Jesenice - hasičská zbrojnice (dostavba střechy)</t>
  </si>
  <si>
    <t>114D214009068</t>
  </si>
  <si>
    <t>Městys Rataje nad Sázavou - výstavba hasičské zbrojnice</t>
  </si>
  <si>
    <t>114D214009069</t>
  </si>
  <si>
    <t>Město Lysá nad  Labem - systém včasného varování obyvatelstva</t>
  </si>
  <si>
    <t>Celkem za 114210</t>
  </si>
  <si>
    <t>114V233009001</t>
  </si>
  <si>
    <t>114V233009002</t>
  </si>
  <si>
    <t>114V233009003</t>
  </si>
  <si>
    <t>114V233009004</t>
  </si>
  <si>
    <t>114V233009005</t>
  </si>
  <si>
    <t>114V233009006</t>
  </si>
  <si>
    <t>114V233009007</t>
  </si>
  <si>
    <t>114V233009008</t>
  </si>
  <si>
    <t>114V233009009</t>
  </si>
  <si>
    <t>114V233009010</t>
  </si>
  <si>
    <t>114V233009011</t>
  </si>
  <si>
    <t>114V233009012</t>
  </si>
  <si>
    <t>114V233009013</t>
  </si>
  <si>
    <t>114V233009014</t>
  </si>
  <si>
    <t>114V233009015</t>
  </si>
  <si>
    <t>114V233009016</t>
  </si>
  <si>
    <t>Celkem za 114230</t>
  </si>
  <si>
    <t>114V411009001</t>
  </si>
  <si>
    <t>Rozvoj informačního systému o datových prvcích (ISDP)</t>
  </si>
  <si>
    <t>114V411009002</t>
  </si>
  <si>
    <t>Rozvoj  veřejného informačního systému (IS o ISVS)</t>
  </si>
  <si>
    <t>114V412008001</t>
  </si>
  <si>
    <t>Czech POINT - centrála CZ.1.06/1.1.00/03.05921</t>
  </si>
  <si>
    <t>114V412008005</t>
  </si>
  <si>
    <t>Czech POINT 2009</t>
  </si>
  <si>
    <t>114V413008001</t>
  </si>
  <si>
    <t>Centrální místo služeb CZ.1.06/1.1.00/03.05995</t>
  </si>
  <si>
    <t>BVs - MRZ EU</t>
  </si>
  <si>
    <t>114V413008008</t>
  </si>
  <si>
    <t>Vybudování komunikačního systému</t>
  </si>
  <si>
    <t>114V413009002</t>
  </si>
  <si>
    <t>Přizpůsobení infrastruktury KIVS a CMS na ISDS</t>
  </si>
  <si>
    <t>114V415009001</t>
  </si>
  <si>
    <t>Základní registry včetně informačního systému evidence obyvatel (ISEO)</t>
  </si>
  <si>
    <t>114V417008028</t>
  </si>
  <si>
    <t>Zajištění nově požadovaných funkcí a příprava na přechod na pouze centrální systém</t>
  </si>
  <si>
    <t>114V417009003</t>
  </si>
  <si>
    <t>Zajištění nově požadovaných funkcí Registru rodných čísel</t>
  </si>
  <si>
    <t>114V418009001</t>
  </si>
  <si>
    <t>Biometrika</t>
  </si>
  <si>
    <t>114V418009002</t>
  </si>
  <si>
    <t>Aktualizace bezpečnostních modulů systému pro BioLab MV</t>
  </si>
  <si>
    <t>114V418009003</t>
  </si>
  <si>
    <t>Testovací systém v elektronických dokladech - BioLab MV</t>
  </si>
  <si>
    <t>114V419009001</t>
  </si>
  <si>
    <t>Rozvojové a integrující projekty</t>
  </si>
  <si>
    <t>114V419009002</t>
  </si>
  <si>
    <t>Projekt Účelová katastrální mapa</t>
  </si>
  <si>
    <t>114V419009003</t>
  </si>
  <si>
    <t>Projekt Krajský evidenční informační systém (KEVIS)</t>
  </si>
  <si>
    <t>114V419009004</t>
  </si>
  <si>
    <t>Projekt Nástroje pro tvorbu a údržbu digitální technické mapy (DTM)</t>
  </si>
  <si>
    <t>114V419009005</t>
  </si>
  <si>
    <t>Projekt Nástroje pro tvorbu a údržbu územně analytických podkladů (ÚAP)</t>
  </si>
  <si>
    <t>Celkem za 114410</t>
  </si>
  <si>
    <t>214V012007009</t>
  </si>
  <si>
    <t>Praha 7 Letná - chráněné pracoviště</t>
  </si>
  <si>
    <t>Celkem za 214010</t>
  </si>
  <si>
    <t>214V021009001</t>
  </si>
  <si>
    <t>Vybavení PA ČR výpočetní technikou</t>
  </si>
  <si>
    <t>214V021009002</t>
  </si>
  <si>
    <t>VPŠ MV v Brně</t>
  </si>
  <si>
    <t>214V021009003</t>
  </si>
  <si>
    <t>Nákup serveru a jeho instalace</t>
  </si>
  <si>
    <t>VPŠ MV v Jihlavě</t>
  </si>
  <si>
    <t>214V021009004</t>
  </si>
  <si>
    <t>Obnova serverových počítačů a sítí</t>
  </si>
  <si>
    <t>214V021009005</t>
  </si>
  <si>
    <t>Výpočetní technika</t>
  </si>
  <si>
    <t>214V021009006</t>
  </si>
  <si>
    <t>Software IT</t>
  </si>
  <si>
    <t>214V021009007</t>
  </si>
  <si>
    <t>Spojovací technika</t>
  </si>
  <si>
    <t>214V021009008</t>
  </si>
  <si>
    <t>Profesionální kamera</t>
  </si>
  <si>
    <t>214V021009009</t>
  </si>
  <si>
    <t>SMART BOARD</t>
  </si>
  <si>
    <t>Školské účelové zařízení MV v Praze - Ruzyni</t>
  </si>
  <si>
    <t>214V021009014</t>
  </si>
  <si>
    <t>Vybudování speciálního cvičiště pro odbavování na vnější schengenské hranici - 1. část - FVH2007-01</t>
  </si>
  <si>
    <t>214V021009015</t>
  </si>
  <si>
    <t>Modernizace jazykových učeben - FVH2007-02</t>
  </si>
  <si>
    <t>214V021009016</t>
  </si>
  <si>
    <t>Vybudování učeben k výuce SIS a VIS - 1. část - FVH2007-03</t>
  </si>
  <si>
    <t>214V021009017</t>
  </si>
  <si>
    <t>Vybudování učeben k výuce SIS a VIS - FVH2008-01</t>
  </si>
  <si>
    <t>214V021009018</t>
  </si>
  <si>
    <t>Zabezpečení edukačního procesu výuky služby cizinecké policie moderní didaktickou technikou - FVH2008-02</t>
  </si>
  <si>
    <t>214V021009019</t>
  </si>
  <si>
    <t>214V021009020</t>
  </si>
  <si>
    <t>Modernizace sítě LAN</t>
  </si>
  <si>
    <t>214V021009021</t>
  </si>
  <si>
    <t>Multifunkční barevné zařízení</t>
  </si>
  <si>
    <t>214V022007022</t>
  </si>
  <si>
    <t>Rekonstrukce ubytovny s kuchyní - 2. etapa</t>
  </si>
  <si>
    <t>214V022009001</t>
  </si>
  <si>
    <t>Zateplení a výměna oken CZ.1.02/3.2.00/08.01023</t>
  </si>
  <si>
    <t>KV - SFŽP</t>
  </si>
  <si>
    <t>214V022009002</t>
  </si>
  <si>
    <t>Užitkový automobil silniční</t>
  </si>
  <si>
    <t>214V022009003</t>
  </si>
  <si>
    <t>Dopravní prostředky</t>
  </si>
  <si>
    <t>214V022009004</t>
  </si>
  <si>
    <t>Služební dopravní prostředky</t>
  </si>
  <si>
    <t>214V022009005</t>
  </si>
  <si>
    <t>214V022009006</t>
  </si>
  <si>
    <t>214V022009007</t>
  </si>
  <si>
    <t>Víceúčelový zem. stroj (malotraktor)</t>
  </si>
  <si>
    <t>214V022009008</t>
  </si>
  <si>
    <t>Kuchyňské zařízení</t>
  </si>
  <si>
    <t>214V022009009</t>
  </si>
  <si>
    <t>Podlahový čistící stroj</t>
  </si>
  <si>
    <t>214V022009010</t>
  </si>
  <si>
    <t>Zařízení pro gastronomii</t>
  </si>
  <si>
    <t>214V022009011</t>
  </si>
  <si>
    <t>Detektor výbušnin</t>
  </si>
  <si>
    <t>214V022009012</t>
  </si>
  <si>
    <t>Didaktická technika</t>
  </si>
  <si>
    <t>214V022009013</t>
  </si>
  <si>
    <t>214V022009014</t>
  </si>
  <si>
    <t>Rekonstrukce vnitřních rozvodů vody, objekt D-1</t>
  </si>
  <si>
    <t>214V022009015</t>
  </si>
  <si>
    <t>Fasáda - Opatovice n. Labem</t>
  </si>
  <si>
    <t>214V022009016</t>
  </si>
  <si>
    <t>Rekonstrukce dopravního hřiště</t>
  </si>
  <si>
    <t>214V022009017</t>
  </si>
  <si>
    <t>OPŽP Zateplení fasády a výměna oken, budova V1 - V7 CZ.1.02.R</t>
  </si>
  <si>
    <t>214V022009023</t>
  </si>
  <si>
    <t>Rekonstrukce hlavního rozvaděče elektrické energie</t>
  </si>
  <si>
    <t>214V022009024</t>
  </si>
  <si>
    <t>Instalace žaluzií do oken objektu č. 8</t>
  </si>
  <si>
    <t>214V022009025</t>
  </si>
  <si>
    <t>Pietní místo</t>
  </si>
  <si>
    <t>214V022009026</t>
  </si>
  <si>
    <t>Vybudování speciálního cvičiště pro odbavování na vnější schengenské hranici – 2. část – FVH2007-01</t>
  </si>
  <si>
    <t>214V022009027</t>
  </si>
  <si>
    <t>Vybudování učeben k výuce SIS a VIS - 2. část - FVH2007-03</t>
  </si>
  <si>
    <t>214V022009028</t>
  </si>
  <si>
    <t>Zabezpečení edukačního procesu výuky cestovních dokladů laboratorní technikou - FVH2008-03</t>
  </si>
  <si>
    <t>214V022009029</t>
  </si>
  <si>
    <t>Dokumentace k projektu Zateplení a výměna oken - VPŠ a SPŠ MV v Holešově - II. etapa</t>
  </si>
  <si>
    <t>214V022009030</t>
  </si>
  <si>
    <t>Stavební úpravy bloku č. 5 v Opatovicích nad Labem - projektová dokumentace</t>
  </si>
  <si>
    <t>214V022009032</t>
  </si>
  <si>
    <t>Serverovna</t>
  </si>
  <si>
    <t>214V022009033</t>
  </si>
  <si>
    <t>Spisovna</t>
  </si>
  <si>
    <t>214V022009034</t>
  </si>
  <si>
    <t>Oplocení areálu</t>
  </si>
  <si>
    <t>214V022009035</t>
  </si>
  <si>
    <t>Fotografický přístroj digitální</t>
  </si>
  <si>
    <t>214V022009036</t>
  </si>
  <si>
    <t>Zateplení a výměna oken budov V1 až V7 - projektová dokumentace</t>
  </si>
  <si>
    <t>214V022009037</t>
  </si>
  <si>
    <t>Nákladní automobil</t>
  </si>
  <si>
    <t>214V024009001</t>
  </si>
  <si>
    <t>Praha 7, Stromovka - rekonstrukce kotelny v hl. budově</t>
  </si>
  <si>
    <t>214V024009002</t>
  </si>
  <si>
    <t>Břízky, biatl. areál - kanalizace s přečerpávací stanicí</t>
  </si>
  <si>
    <t>214V029004004</t>
  </si>
  <si>
    <t>Realizace závěrů z energetického auditu</t>
  </si>
  <si>
    <t>214V029008002</t>
  </si>
  <si>
    <t>Oprava ÚT blok E,F</t>
  </si>
  <si>
    <t>Celkem za 214020</t>
  </si>
  <si>
    <t>214V031009001</t>
  </si>
  <si>
    <t>SOkA  Havlíčkův Brod - modernizace systému EPS</t>
  </si>
  <si>
    <t>Moravský zemský archiv v Brně</t>
  </si>
  <si>
    <t>214V031009002</t>
  </si>
  <si>
    <t>SOkA Hodonín - pob. Nerudova - EPS</t>
  </si>
  <si>
    <t>214V031009003</t>
  </si>
  <si>
    <t>SOkA Vyškov - EPS Lysovice</t>
  </si>
  <si>
    <t>214V031009004</t>
  </si>
  <si>
    <t>SOkA Třebíč - rekonstrukce EZS</t>
  </si>
  <si>
    <t>214V031009005</t>
  </si>
  <si>
    <t>SOkA Vyškov - kamerový systém badatelny</t>
  </si>
  <si>
    <t>214V031009006</t>
  </si>
  <si>
    <t>Státní oblastní archiv v Litoměřicích</t>
  </si>
  <si>
    <t>214V031009007</t>
  </si>
  <si>
    <t>Výpočetní technika a software</t>
  </si>
  <si>
    <t>Státní oblastní archiv v Plzni</t>
  </si>
  <si>
    <t>214V031009008</t>
  </si>
  <si>
    <t>Pásková knihovna</t>
  </si>
  <si>
    <t>Státní oblastní archiv v Třeboni</t>
  </si>
  <si>
    <t>214V031009009</t>
  </si>
  <si>
    <t>Zařízení pro ukládání digitalizovaných dat</t>
  </si>
  <si>
    <t>Státní oblastní archiv v Praze</t>
  </si>
  <si>
    <t>214V031009010</t>
  </si>
  <si>
    <t>EPS SOkA Svitavy</t>
  </si>
  <si>
    <t>Státní oblastní archiv v Zámrsku</t>
  </si>
  <si>
    <t>214V031009011</t>
  </si>
  <si>
    <t>Rozšíření kamerového systému v SOkA Náchod</t>
  </si>
  <si>
    <t>214V031009012</t>
  </si>
  <si>
    <t>Síťový server s OS pro SOkA Chrudim</t>
  </si>
  <si>
    <t>214V031009013</t>
  </si>
  <si>
    <t>Dokončení EPS v SOkA Zámrsk</t>
  </si>
  <si>
    <t>214V031009014</t>
  </si>
  <si>
    <t>Zařízení dálkového přenosu EPS - SOkA Prachatice</t>
  </si>
  <si>
    <t>214V031009015</t>
  </si>
  <si>
    <t>Zařízení pro digitalizaci archiválií a knižních dokumentů SOA v Zámrsku - SOkA Chrudim</t>
  </si>
  <si>
    <t>114V211009022</t>
  </si>
  <si>
    <t>Síťové bezpečnostní prvky</t>
  </si>
  <si>
    <t>114V211009023</t>
  </si>
  <si>
    <t>Dovybavení pracoviště GIS</t>
  </si>
  <si>
    <t>114V211009024</t>
  </si>
  <si>
    <t>Vybudování zóny D v budově KŘ HZS</t>
  </si>
  <si>
    <t>114V211009027</t>
  </si>
  <si>
    <t>Diskové pole</t>
  </si>
  <si>
    <t>114V211009028</t>
  </si>
  <si>
    <t>Ovládání rdst Kladno po IP RCS</t>
  </si>
  <si>
    <t>114V211009029</t>
  </si>
  <si>
    <t>schválený rozpočet 2010</t>
  </si>
  <si>
    <t>Systém elektronické spisové služby</t>
  </si>
  <si>
    <t>214V031009018</t>
  </si>
  <si>
    <t>Elektronická spisová služba</t>
  </si>
  <si>
    <t>214V031009019</t>
  </si>
  <si>
    <t>Nákup serverů pro SOA Třeboň</t>
  </si>
  <si>
    <t>214V031009021</t>
  </si>
  <si>
    <t>Knižní skener</t>
  </si>
  <si>
    <t>214V031009022</t>
  </si>
  <si>
    <t>214V031009023</t>
  </si>
  <si>
    <t xml:space="preserve"> MINISTERSTVO VNITRA  ČR</t>
  </si>
  <si>
    <t>ORGANIZAČNÍ SLOŽKY STÁTU</t>
  </si>
  <si>
    <t xml:space="preserve"> - krajská ředitelství P ČR</t>
  </si>
  <si>
    <t>Ministerstvo vnitra</t>
  </si>
  <si>
    <t>Krajské ředitelství policie hl. m. Prahy se sídlem v Praze</t>
  </si>
  <si>
    <t>Krajské ředitelství policie Středočeského kraje se sídlem v Praze</t>
  </si>
  <si>
    <r>
      <t xml:space="preserve">VPŠ </t>
    </r>
    <r>
      <rPr>
        <b/>
        <sz val="11"/>
        <color indexed="18"/>
        <rFont val="Times New Roman CE"/>
        <family val="1"/>
      </rPr>
      <t>MV v Brně</t>
    </r>
  </si>
  <si>
    <t>Krajské ředitelství policie Jihočeského kraje se sídlem v                 Č. Budějovicích</t>
  </si>
  <si>
    <t xml:space="preserve">Generální ředitelství HZS  </t>
  </si>
  <si>
    <t>Krajské ředitelství policie Plzeňského kraje se sídlem v Plzni</t>
  </si>
  <si>
    <t>Školské účelové zařízení v Praze - Ruzyni</t>
  </si>
  <si>
    <t>Složky MV - zařízení GŘ HZS</t>
  </si>
  <si>
    <t>Krajské ředitelství policie Ústeckého kraje se sídlem v Ústí n. Labem</t>
  </si>
  <si>
    <r>
      <t xml:space="preserve">VPŠ </t>
    </r>
    <r>
      <rPr>
        <b/>
        <sz val="11"/>
        <color indexed="18"/>
        <rFont val="Times New Roman CE"/>
        <family val="1"/>
      </rPr>
      <t>MV v Jihlavě</t>
    </r>
  </si>
  <si>
    <t xml:space="preserve">Policejní prezidium ČR a útvary policie s celostátní působností </t>
  </si>
  <si>
    <t>Krajské ředitelství policie Královéhradeckého kraje se sídlem v H. Králové</t>
  </si>
  <si>
    <t>Složky Policie ČR</t>
  </si>
  <si>
    <t>Krajské ředitelství policie Jihomoravského kraje se sídlem v Brně</t>
  </si>
  <si>
    <t>Zařízení služeb  pro MV</t>
  </si>
  <si>
    <t>Krajské ředitelství policie Moravskoslezského kraje se sídlem v Ostravě</t>
  </si>
  <si>
    <t>Střední odborná škola PO a Vyšší odborná škola PO ve Frýdku-Místku</t>
  </si>
  <si>
    <t xml:space="preserve">Lázeňské léčebné ústavy  MV </t>
  </si>
  <si>
    <t>4/</t>
  </si>
  <si>
    <t>Muzeum  Policie ČR</t>
  </si>
  <si>
    <t>Bytová správa  MV</t>
  </si>
  <si>
    <t>Správa uprchlických zařízení  MV</t>
  </si>
  <si>
    <t>Tiskárna   MV</t>
  </si>
  <si>
    <t>Centrum sportu MV</t>
  </si>
  <si>
    <t>Zdravotnické zařízení MV</t>
  </si>
  <si>
    <t>záchranný útvar HZS</t>
  </si>
  <si>
    <r>
      <t xml:space="preserve">3/ </t>
    </r>
    <r>
      <rPr>
        <sz val="10"/>
        <rFont val="Arial CE"/>
        <family val="2"/>
      </rPr>
      <t>Příspěvková organizace odměňující své zaměstnance dle z. č. 143/1992 Sb.</t>
    </r>
  </si>
  <si>
    <r>
      <t>3/</t>
    </r>
    <r>
      <rPr>
        <sz val="10"/>
        <rFont val="Arial CE"/>
        <family val="2"/>
      </rPr>
      <t xml:space="preserve">  Příspěvkové organizace odměňující své zaměstnance dle § 109 odst. 3 z. č. 262/2006 Sb.</t>
    </r>
  </si>
  <si>
    <r>
      <t xml:space="preserve">4/ </t>
    </r>
    <r>
      <rPr>
        <sz val="10"/>
        <rFont val="Arial CE"/>
        <family val="2"/>
      </rPr>
      <t>Příspěvková organizace odměňující své zaměstnance dle z. č. 1/1992 Sb.</t>
    </r>
  </si>
  <si>
    <r>
      <t>4/</t>
    </r>
    <r>
      <rPr>
        <sz val="10"/>
        <rFont val="Arial CE"/>
        <family val="2"/>
      </rPr>
      <t xml:space="preserve">  Příspěvkové organizace odměňující své zaměstnance dle § 109 odst. 2 z. č. 262/2006 Sb.</t>
    </r>
  </si>
  <si>
    <t>Plzeňský kraj</t>
  </si>
  <si>
    <t>N</t>
  </si>
  <si>
    <t>Státní oblastní archiv
v Litoměřicích</t>
  </si>
  <si>
    <t>P</t>
  </si>
  <si>
    <t>Pardubický kraj</t>
  </si>
  <si>
    <r>
      <t xml:space="preserve">2/ </t>
    </r>
    <r>
      <rPr>
        <sz val="10"/>
        <rFont val="Arial CE"/>
        <family val="2"/>
      </rPr>
      <t xml:space="preserve"> Územní pracoviště  OSS MV </t>
    </r>
  </si>
  <si>
    <t>Á</t>
  </si>
  <si>
    <t>Státní oblastní archiv
v Třeboni</t>
  </si>
  <si>
    <t>Jihočeský kraj</t>
  </si>
  <si>
    <t>Státní oblastní archiv
v Plzni</t>
  </si>
  <si>
    <t>R</t>
  </si>
  <si>
    <t>kraj Vysočina</t>
  </si>
  <si>
    <t>ORGANIZAČNÍ</t>
  </si>
  <si>
    <t>1/</t>
  </si>
  <si>
    <t>ORGANIZAČNÍ SLOŽKY</t>
  </si>
  <si>
    <t>OSTATNÍ ORGANIZAČNÍ</t>
  </si>
  <si>
    <t>STÁTNÍ</t>
  </si>
  <si>
    <t>SLOŽKA STÁTU  MV</t>
  </si>
  <si>
    <t>STÁTU - ARCHIVY</t>
  </si>
  <si>
    <t>STÁTU - HZS krajů</t>
  </si>
  <si>
    <t xml:space="preserve"> SLOŽKY STÁTU</t>
  </si>
  <si>
    <t>PŘÍSPĚVKOVÉ  ORGANIZACE</t>
  </si>
  <si>
    <t>2/</t>
  </si>
  <si>
    <t>S</t>
  </si>
  <si>
    <t xml:space="preserve"> Praha hl.m.</t>
  </si>
  <si>
    <t>Ústřední orgán státní správy</t>
  </si>
  <si>
    <t>T</t>
  </si>
  <si>
    <t>Státní oblastní archiv
v Praze</t>
  </si>
  <si>
    <t>Středočeský kraj</t>
  </si>
  <si>
    <t>Jihomoravský kraj</t>
  </si>
  <si>
    <t>V</t>
  </si>
  <si>
    <t>Zlínský kraj</t>
  </si>
  <si>
    <t>A</t>
  </si>
  <si>
    <t>Olomoucký kraj</t>
  </si>
  <si>
    <t>Moravskoslezský kraj</t>
  </si>
  <si>
    <t>Poznámka:</t>
  </si>
  <si>
    <r>
      <t>1/</t>
    </r>
    <r>
      <rPr>
        <sz val="10"/>
        <rFont val="Arial CE"/>
        <family val="2"/>
      </rPr>
      <t xml:space="preserve">  Hospodaří jako organizační složka státu MV</t>
    </r>
  </si>
  <si>
    <t>Národní archiv</t>
  </si>
  <si>
    <t>Institut pro místní správu Praha</t>
  </si>
  <si>
    <t>VPŠ a SPŠ MV v Praze</t>
  </si>
  <si>
    <t>Policejní akademie ČR</t>
  </si>
  <si>
    <t>VPŠ a SPŠ MV v Holešově</t>
  </si>
  <si>
    <t>VPŠ MV v Pardubicích</t>
  </si>
  <si>
    <t>Karlovarský kraj</t>
  </si>
  <si>
    <t>Í</t>
  </si>
  <si>
    <t>Státní oblastní archiv
v Zámrsku</t>
  </si>
  <si>
    <t>Ústecký kraj</t>
  </si>
  <si>
    <t>Moravský zemský archiv
v Brně</t>
  </si>
  <si>
    <t>Liberecký kraj</t>
  </si>
  <si>
    <t>3/</t>
  </si>
  <si>
    <t>Zemský archiv v Opavě</t>
  </si>
  <si>
    <t>Královéhradecký kraj</t>
  </si>
  <si>
    <t>Organizační schéma kapitoly 314 - Ministerstva vnitra s vyjádřením kompetenčního uspořádání mezi ústředním orgánem a jím zřízenými OSS a příspěvkovými organizacemi se stavem k 31. 12. 2009</t>
  </si>
  <si>
    <t>Kapitola: 314 - Ministerstvo vnitra</t>
  </si>
  <si>
    <t xml:space="preserve">           Tabulka č. 19</t>
  </si>
  <si>
    <t xml:space="preserve">Výdaje za oblast archivnictví v roce 2009 </t>
  </si>
  <si>
    <t>v tis. Kč</t>
  </si>
  <si>
    <t xml:space="preserve">                    Mzdové prostředky</t>
  </si>
  <si>
    <t>Povinné pojistné</t>
  </si>
  <si>
    <t>FKSP</t>
  </si>
  <si>
    <t>Ostatní běžné výdaje</t>
  </si>
  <si>
    <t>Výdaje na financování programů</t>
  </si>
  <si>
    <t>Výzkum a vývoj</t>
  </si>
  <si>
    <t>Převod</t>
  </si>
  <si>
    <t>VÝDAJE  CELKEM</t>
  </si>
  <si>
    <t>OSS</t>
  </si>
  <si>
    <t>R1</t>
  </si>
  <si>
    <t>R2</t>
  </si>
  <si>
    <t>čerpání</t>
  </si>
  <si>
    <t>do RF</t>
  </si>
  <si>
    <t>Státní oblastní archiv Praha</t>
  </si>
  <si>
    <t>Státní oblastní archiv Třeboň</t>
  </si>
  <si>
    <t>Státní oblastní archiv Plzeň</t>
  </si>
  <si>
    <t>Státní oblastní archiv Litoměřice</t>
  </si>
  <si>
    <t>Státní oblastní archiv Zámrsk</t>
  </si>
  <si>
    <t>Moravský zemský archiv Brno</t>
  </si>
  <si>
    <t>Zemský archiv Opava</t>
  </si>
  <si>
    <t>nerozepsané prostředky</t>
  </si>
  <si>
    <t>ARCHIVNICTVÍ  CELKEM</t>
  </si>
  <si>
    <t>Legenda:</t>
  </si>
  <si>
    <t>R1 - schválený rozpočet</t>
  </si>
  <si>
    <t>R2 - upravený rozpočet</t>
  </si>
  <si>
    <t>Vypracovala: Ing. Bočanová, tel. 974 849 815</t>
  </si>
  <si>
    <t>Kontroloval: Ing. Jásenský, tel. 974 849 809</t>
  </si>
  <si>
    <t>Datum: 17. února 2010</t>
  </si>
  <si>
    <t>Tabulka č. 11</t>
  </si>
  <si>
    <t>Plnění rozpočtových příjmů MV k 31.12.2009</t>
  </si>
  <si>
    <t>Daňové příjmy</t>
  </si>
  <si>
    <t>Příjmy z pojistného</t>
  </si>
  <si>
    <t>Příjmy z rozpočtu EU a finančních mechanismů</t>
  </si>
  <si>
    <t>Ostatní nedaňové příjmy, kapitálové příjmy a přijaté transfery celkem</t>
  </si>
  <si>
    <t>Příjmy celkem</t>
  </si>
  <si>
    <t>Plnění</t>
  </si>
  <si>
    <t>Rozdíl</t>
  </si>
  <si>
    <t>SAP - 4. tř.</t>
  </si>
  <si>
    <t>% plnění k R2</t>
  </si>
  <si>
    <t>a</t>
  </si>
  <si>
    <t>b</t>
  </si>
  <si>
    <t>a-b</t>
  </si>
  <si>
    <t>Policejní prezídium</t>
  </si>
  <si>
    <t>KŘ Policie ČR</t>
  </si>
  <si>
    <t>Policie ČR celkem</t>
  </si>
  <si>
    <t xml:space="preserve">GŘ HZS </t>
  </si>
  <si>
    <t>HZS kraje celkem + ZÚ Hlučín</t>
  </si>
  <si>
    <t>HZS ČR celkem</t>
  </si>
  <si>
    <t>Ústřední orgán</t>
  </si>
  <si>
    <t>VPŠ a SPŠ MV Praha</t>
  </si>
  <si>
    <t>VPŠ MV Brno</t>
  </si>
  <si>
    <t>VPŠ a SPŠ MV Holešov</t>
  </si>
  <si>
    <t>VPŠ MV Jihlava</t>
  </si>
  <si>
    <t>VPŠ MV Pardubice</t>
  </si>
  <si>
    <t>Školské účelové zařízení MV Praha - Ruzyně</t>
  </si>
  <si>
    <t>Střední policejní školství</t>
  </si>
  <si>
    <t>Resortní policejní školství</t>
  </si>
  <si>
    <t>Muzeum Policie ČR</t>
  </si>
  <si>
    <t>Resortní pol. školství a Muzeum PČR</t>
  </si>
  <si>
    <t>Národní archiv Praha</t>
  </si>
  <si>
    <t>Správa uprchlických zařízení MV</t>
  </si>
  <si>
    <t>Rezerva</t>
  </si>
  <si>
    <t>Kapitola MV celkem</t>
  </si>
  <si>
    <t>Vypracoval: Ing. Menšík, tel. 974 849 801</t>
  </si>
  <si>
    <t>Kontroloval: Ing. Jásenský, tel: 974 849 809</t>
  </si>
  <si>
    <t>Datum: 9. února 2010</t>
  </si>
  <si>
    <t>Tabulka č. 11/1</t>
  </si>
  <si>
    <t>Plnění rozpočtových příjmů MV k 31.12.2009 - detail za HZS krajů</t>
  </si>
  <si>
    <t>HZS krajů</t>
  </si>
  <si>
    <t>HZS hl. m. Prahy</t>
  </si>
  <si>
    <t>HZS Středočeského kraje</t>
  </si>
  <si>
    <t>HZS Jihočeského kraje</t>
  </si>
  <si>
    <t>HZS Plzeňského kraje</t>
  </si>
  <si>
    <t>HZS Karlovarského kraje</t>
  </si>
  <si>
    <t>HZS Ústeckého kraje</t>
  </si>
  <si>
    <t>HZS Libereckého kraje</t>
  </si>
  <si>
    <t>HZS Královéhradeckého kraje</t>
  </si>
  <si>
    <t>HZS Pardubického kraje</t>
  </si>
  <si>
    <t>HZS Kraje Vysočina</t>
  </si>
  <si>
    <t>HZS Jihomoravského kraje</t>
  </si>
  <si>
    <t>HZS Zlínského kraje</t>
  </si>
  <si>
    <t>HZS Moravskoslezského kraje</t>
  </si>
  <si>
    <t>HZS Olomouckého kraje</t>
  </si>
  <si>
    <t>HZS krajů celkem</t>
  </si>
  <si>
    <t>Záchranný útvar HZS</t>
  </si>
  <si>
    <t>HZS krajů + ZÚ HZS celkem</t>
  </si>
  <si>
    <t>Tabulka č. 11/2</t>
  </si>
  <si>
    <t>Plnění rozpočtových příjmů MV k 31.12.2009 - detail za krajská ředitelství Policie ČR</t>
  </si>
  <si>
    <t>KŘ PČR</t>
  </si>
  <si>
    <t>Příjmy z pojistného                        (včetně správních poplatků)</t>
  </si>
  <si>
    <t>KŘP Středočeského kraje</t>
  </si>
  <si>
    <t>KŘP Jihočeského kraje</t>
  </si>
  <si>
    <t>KŘP Plzeňského kraje</t>
  </si>
  <si>
    <t>KŘP Ústeckého kraje</t>
  </si>
  <si>
    <t>KŘP Královéhradeckého kraje</t>
  </si>
  <si>
    <t>KŘP Jihomoravského kraje</t>
  </si>
  <si>
    <t>KŘP Moravskoslezského kraje</t>
  </si>
  <si>
    <t>KŘP hl. m. Prahy</t>
  </si>
  <si>
    <t>KŘ Policie ČR celkem</t>
  </si>
  <si>
    <t>SOŠ PO a VOŠ PO Frýdek - Místek</t>
  </si>
  <si>
    <t>Archivnictví celkem</t>
  </si>
  <si>
    <t>Přehled o důchodech v roce 2009</t>
  </si>
  <si>
    <t>v Kč</t>
  </si>
  <si>
    <t>Druh dávky</t>
  </si>
  <si>
    <t xml:space="preserve">Schválený rozpočet            (R1)                 </t>
  </si>
  <si>
    <t xml:space="preserve">Upravený rozpočet          (R2)                   </t>
  </si>
  <si>
    <t xml:space="preserve">Porovnání čerpání  v roce 2009 s upraveným rozpočtem (R2)             </t>
  </si>
  <si>
    <t xml:space="preserve">Porovnání čerpání          2009/2008             (v %)      </t>
  </si>
  <si>
    <t xml:space="preserve">Počet vyplácených důchodů                          </t>
  </si>
  <si>
    <t xml:space="preserve">Průměrná vyplácená výše důchodu                  </t>
  </si>
  <si>
    <t>Počet                                        nově přiznaných důchodů v roce 2009</t>
  </si>
  <si>
    <t>z toho : počet nově přiznaných předčasných důchodů</t>
  </si>
  <si>
    <t>z toho:                     zapojení mimorozpočtových zdrojů</t>
  </si>
  <si>
    <t>v %</t>
  </si>
  <si>
    <t>k 31.12. 2009</t>
  </si>
  <si>
    <t>k 31.12.2008</t>
  </si>
  <si>
    <t xml:space="preserve">  v roce 2009 </t>
  </si>
  <si>
    <t xml:space="preserve"> v roce 2008</t>
  </si>
  <si>
    <t>5 = 3 - 2</t>
  </si>
  <si>
    <t>6 = 3 : 2</t>
  </si>
  <si>
    <t>8 = 3 : 7</t>
  </si>
  <si>
    <t>9</t>
  </si>
  <si>
    <t>10</t>
  </si>
  <si>
    <t>11</t>
  </si>
  <si>
    <t>12</t>
  </si>
  <si>
    <t>13</t>
  </si>
  <si>
    <t>14</t>
  </si>
  <si>
    <t xml:space="preserve"> Důchody celkem</t>
  </si>
  <si>
    <t>x</t>
  </si>
  <si>
    <t>v tom :</t>
  </si>
  <si>
    <t>Důchody starobní</t>
  </si>
  <si>
    <t>Důchody plné invalidní</t>
  </si>
  <si>
    <t xml:space="preserve">Důchody částečné invalidní </t>
  </si>
  <si>
    <t xml:space="preserve">Důchody částečně invalidní </t>
  </si>
  <si>
    <t>Důchody vdovské</t>
  </si>
  <si>
    <t>z toho:</t>
  </si>
  <si>
    <t>4a</t>
  </si>
  <si>
    <t xml:space="preserve"> sólo</t>
  </si>
  <si>
    <t>X</t>
  </si>
  <si>
    <t>4b</t>
  </si>
  <si>
    <t>v souběhu</t>
  </si>
  <si>
    <t>Důchody vdovecké</t>
  </si>
  <si>
    <t>5a</t>
  </si>
  <si>
    <t>5b</t>
  </si>
  <si>
    <t>Důchody sirotčí</t>
  </si>
  <si>
    <r>
      <t xml:space="preserve">Čerpání v roce 2009 </t>
    </r>
    <r>
      <rPr>
        <sz val="12"/>
        <rFont val="Arial"/>
        <family val="2"/>
      </rPr>
      <t xml:space="preserve"> </t>
    </r>
  </si>
  <si>
    <r>
      <t>Čerpání v roce   2008</t>
    </r>
    <r>
      <rPr>
        <sz val="12"/>
        <rFont val="Arial"/>
        <family val="2"/>
      </rPr>
      <t xml:space="preserve"> 
(vč.
mimorozpoč-tových zdrojů)           bez převodu do rezervního fondu              </t>
    </r>
  </si>
  <si>
    <r>
      <t xml:space="preserve">celkem </t>
    </r>
    <r>
      <rPr>
        <sz val="12"/>
        <rFont val="Arial"/>
        <family val="2"/>
      </rPr>
      <t>(vč.mimorozpočtových zdrojů  v r.2009)</t>
    </r>
  </si>
  <si>
    <t>Tabulka č. 12</t>
  </si>
  <si>
    <t>Výdaje HZS celkem a detail dle jednotlivých HZS krajů v roce 2009</t>
  </si>
  <si>
    <t xml:space="preserve"> Mzdové prostředky</t>
  </si>
  <si>
    <t>Výdaje na financov. programů</t>
  </si>
  <si>
    <t xml:space="preserve"> Výdaje CELKEM</t>
  </si>
  <si>
    <t xml:space="preserve">hl. m. Praha </t>
  </si>
  <si>
    <t>Středočeský</t>
  </si>
  <si>
    <t>Jihočeský</t>
  </si>
  <si>
    <t>Plzeňský</t>
  </si>
  <si>
    <t>Karlovarský</t>
  </si>
  <si>
    <t>Ústecký</t>
  </si>
  <si>
    <t>Liberecký</t>
  </si>
  <si>
    <t>Pardubický</t>
  </si>
  <si>
    <t>Vysočina</t>
  </si>
  <si>
    <t>Jihomoravský</t>
  </si>
  <si>
    <t>Zlínský</t>
  </si>
  <si>
    <t>Olomoucký</t>
  </si>
  <si>
    <t>Moravskoslezský</t>
  </si>
  <si>
    <t>ZÚ HZS ČR</t>
  </si>
  <si>
    <t>Celkem HZS krajů</t>
  </si>
  <si>
    <t>SOŠ PO a VOŠ PO F-M</t>
  </si>
  <si>
    <t>GŘ HZS ČR</t>
  </si>
  <si>
    <t>Nerozepsané prostředky</t>
  </si>
  <si>
    <t>CELKEM</t>
  </si>
  <si>
    <t>Tabulka č. 16</t>
  </si>
  <si>
    <t>Královéhradecký</t>
  </si>
  <si>
    <t>Tabulka č. 13</t>
  </si>
  <si>
    <t>Přehled o  ostatních dávkách, dávkách nemocenského pojištění a  výdajích na zvýšení důchodů pro bezmocnost v roce 2009</t>
  </si>
  <si>
    <t xml:space="preserve"> </t>
  </si>
  <si>
    <t xml:space="preserve">Schválený rozpočet            (R1)               </t>
  </si>
  <si>
    <t xml:space="preserve">Čerpání v roce 2009 celkem včetně mimorozpočtových zdrojů </t>
  </si>
  <si>
    <t xml:space="preserve">Čerpání v roce 2008             </t>
  </si>
  <si>
    <t>Porovnání čerpání 2009/2008     v %            (sl. 3:5)</t>
  </si>
  <si>
    <t>Počet
příjemců  dávky k 31.12. 2009</t>
  </si>
  <si>
    <t>Počet
příjemců dávky k 31.12.2008</t>
  </si>
  <si>
    <t xml:space="preserve">Průměrná výše dávky v roce 2009       </t>
  </si>
  <si>
    <t xml:space="preserve">Průměrná výše dávky v roce 2008      </t>
  </si>
  <si>
    <t>5</t>
  </si>
  <si>
    <t>6</t>
  </si>
  <si>
    <t>7</t>
  </si>
  <si>
    <t>8</t>
  </si>
  <si>
    <t>Ostatní dávky celkem</t>
  </si>
  <si>
    <t>(účet s předčíslím 3025)</t>
  </si>
  <si>
    <t>Výsluhový příspěvek</t>
  </si>
  <si>
    <t>Úmrtné</t>
  </si>
  <si>
    <t>Odchodné</t>
  </si>
  <si>
    <t>Platové vyrovnání</t>
  </si>
  <si>
    <t>Dávky nemocenského pojištění a výdaje na zvýšení důchodů pro bezmocnost celkem</t>
  </si>
  <si>
    <t>(účet s předčíslím 027)</t>
  </si>
  <si>
    <t>Nemocenské</t>
  </si>
  <si>
    <t>Peněžitá pomoc v mateřství</t>
  </si>
  <si>
    <t>Příspěvek v těhot. a mateřství</t>
  </si>
  <si>
    <t>Zvýšení důchodu pro bezmocnost</t>
  </si>
  <si>
    <t>Dávky jinde nezařazené</t>
  </si>
  <si>
    <t>Celkem</t>
  </si>
  <si>
    <t>Vypracoval: Ing  Menšík, tel. 974 849 801</t>
  </si>
  <si>
    <t>z toho: zapojení mimorozpočtových zdrojů</t>
  </si>
  <si>
    <t>Kontroloval : Ing. Jásenský, tel.974 849 809</t>
  </si>
  <si>
    <t>Přehled čerpání výdajů v roce 2009 dle jednotlivých čtvrtletích</t>
  </si>
  <si>
    <t xml:space="preserve">    Čerpání </t>
  </si>
  <si>
    <t>z toho</t>
  </si>
  <si>
    <t>celkem</t>
  </si>
  <si>
    <t>I. čtvrtletí</t>
  </si>
  <si>
    <t>II. čtvrtletí</t>
  </si>
  <si>
    <t>III. čtvrtletí</t>
  </si>
  <si>
    <t>IV. čtvrtletí</t>
  </si>
  <si>
    <t>OSS, SPO</t>
  </si>
  <si>
    <t xml:space="preserve">% </t>
  </si>
  <si>
    <t>%</t>
  </si>
  <si>
    <t>PP ČR</t>
  </si>
  <si>
    <t xml:space="preserve">KŘ Policie ČR </t>
  </si>
  <si>
    <t>AXB</t>
  </si>
  <si>
    <t xml:space="preserve">Policie ČR </t>
  </si>
  <si>
    <t xml:space="preserve">ms HZS ČR </t>
  </si>
  <si>
    <t>SOA Praha</t>
  </si>
  <si>
    <t>SOA Třeboň</t>
  </si>
  <si>
    <t>SOA Plzeň</t>
  </si>
  <si>
    <t>SOA Litoměřice</t>
  </si>
  <si>
    <t>SOA Zámrsk</t>
  </si>
  <si>
    <t>MZA Brno</t>
  </si>
  <si>
    <t>ZA Opava</t>
  </si>
  <si>
    <t>ms archivy</t>
  </si>
  <si>
    <t>PA ČR</t>
  </si>
  <si>
    <t>Muzeum P ČR</t>
  </si>
  <si>
    <t xml:space="preserve">ms resortní školství a Muzeum P ČR </t>
  </si>
  <si>
    <t>SUZ MV</t>
  </si>
  <si>
    <t>Zařízení služeb pro MV</t>
  </si>
  <si>
    <t>IMS MV</t>
  </si>
  <si>
    <t>LLÚ MV</t>
  </si>
  <si>
    <t>Tiskárna MV</t>
  </si>
  <si>
    <t>Bytová správa MV</t>
  </si>
  <si>
    <t xml:space="preserve">ms SPO </t>
  </si>
  <si>
    <t>Celkem MV</t>
  </si>
  <si>
    <t xml:space="preserve">Čerpání celkem zahrnuje nároky z nespotřebovaných výdajů  roku 2008, mimorozpočtové zdroje a prostředky, o které byly OSS oprávněny překročit závazné ukazatele. </t>
  </si>
  <si>
    <t>% - čerpání po čtvrtletích k celkovému čerpání</t>
  </si>
  <si>
    <t>Tabulka č. 15</t>
  </si>
  <si>
    <t>Školské účelové zařízení MV Ruzyně</t>
  </si>
  <si>
    <t>Vypracovala: Ing. Meluzinová, tel. 974 849 662</t>
  </si>
  <si>
    <t>Přehled o čerpání rozpočtu Ministerstva vnitra v letech 2003 až 2009 včetně návrhu rozpočtu na rok 2010</t>
  </si>
  <si>
    <t>U k a z a t e l</t>
  </si>
  <si>
    <t>skutečnost  1993</t>
  </si>
  <si>
    <t>skutečnost  1994</t>
  </si>
  <si>
    <t>skutečnost  1995</t>
  </si>
  <si>
    <t>skutečnost  1996</t>
  </si>
  <si>
    <t>skutečnost  1997</t>
  </si>
  <si>
    <t>skutečnost  1998</t>
  </si>
  <si>
    <t>skutečnost  1999</t>
  </si>
  <si>
    <t>skutečnost   2000</t>
  </si>
  <si>
    <t>skutečnost  2001</t>
  </si>
  <si>
    <t>skutečnost  2002</t>
  </si>
  <si>
    <t>skutečnost      2003</t>
  </si>
  <si>
    <t>skutečnost      2004</t>
  </si>
  <si>
    <t>skutečnost      2005</t>
  </si>
  <si>
    <t>skutečnost   2006</t>
  </si>
  <si>
    <t>skutečnost   2007</t>
  </si>
  <si>
    <t>skutečnost   2008</t>
  </si>
  <si>
    <t>skutečnost   2009</t>
  </si>
  <si>
    <t>v tom :  -  příjmy z pojistného a přísp. na státní politiku zaměstn.</t>
  </si>
  <si>
    <t xml:space="preserve">                z toho: pojistné na důchodové pojištění</t>
  </si>
  <si>
    <t xml:space="preserve">             -  nedaňové příjmy</t>
  </si>
  <si>
    <t xml:space="preserve">             -  daňové příjmy (původně rozpočtovány u MF)</t>
  </si>
  <si>
    <t>Výdaje celkem *)</t>
  </si>
  <si>
    <t>v tom: - výdaje na financ.progr. vč. niv souvisejících (PF)</t>
  </si>
  <si>
    <r>
      <t xml:space="preserve">            - výzkum a vývoj </t>
    </r>
    <r>
      <rPr>
        <b/>
        <vertAlign val="superscript"/>
        <sz val="11"/>
        <rFont val="Arial CE"/>
        <family val="0"/>
      </rPr>
      <t>*)</t>
    </r>
  </si>
  <si>
    <t xml:space="preserve">            - převod do rezervního fondu</t>
  </si>
  <si>
    <t xml:space="preserve">            - běžné výdaje celkem</t>
  </si>
  <si>
    <t>v tom:</t>
  </si>
  <si>
    <r>
      <t xml:space="preserve">           - platy zaměstnanců a OPPP </t>
    </r>
    <r>
      <rPr>
        <vertAlign val="superscript"/>
        <sz val="11"/>
        <rFont val="Arial CE"/>
        <family val="0"/>
      </rPr>
      <t>*)</t>
    </r>
  </si>
  <si>
    <t xml:space="preserve">           - pojistné a FKSP</t>
  </si>
  <si>
    <t xml:space="preserve">           - dávky sociálního zabezpečení</t>
  </si>
  <si>
    <t xml:space="preserve">           - příspěvek na provoz PO</t>
  </si>
  <si>
    <t xml:space="preserve">           - dotace nestátním neziskovým organizacím</t>
  </si>
  <si>
    <t xml:space="preserve">           - ostatní běžné výdaje (OBV)</t>
  </si>
  <si>
    <t xml:space="preserve">Počet pracovníků OSS MV celkem </t>
  </si>
  <si>
    <t xml:space="preserve">         v tom: - příslušníci</t>
  </si>
  <si>
    <t xml:space="preserve">                    - občanští zaměstnanci</t>
  </si>
  <si>
    <t>Průměrná měsíční mzda pracovníků OSS MV celkem</t>
  </si>
  <si>
    <t xml:space="preserve">          z toho: -  příslušníci</t>
  </si>
  <si>
    <t xml:space="preserve">                      - občanských zaměstnanců</t>
  </si>
  <si>
    <t>Informativní údaje</t>
  </si>
  <si>
    <t>Podíl mandatorních výdajů na běžných výdajích celkem (v%)</t>
  </si>
  <si>
    <t>Podíl ostatních výdajů na běžných výdajích celkem  (v%)</t>
  </si>
  <si>
    <t>OBV na pracovníka a rok  (v tis.Kč)</t>
  </si>
  <si>
    <t>Výdaje na PF + OBV</t>
  </si>
  <si>
    <t>Výdaje na PF + OBV na prac. a rok (v tis.Kč)</t>
  </si>
  <si>
    <t>HDP v běžných cenách</t>
  </si>
  <si>
    <t>Podíl celkových výdajů MV na HDP</t>
  </si>
  <si>
    <t>Pro účely tohoto přehledu jsou za mandatorní výdaje považovány platy zaměstnanců a OPPP, pojistné a FKSP a dávky sociálního zabezpečení.</t>
  </si>
  <si>
    <t>Od 1.7.2004 byla zřízena Finanční policie delimitací z Ministerstva financí - 255 pracovních míst.</t>
  </si>
  <si>
    <t>Podle metodiky MF byly pro rok 2005 z OBV vyvedeny prostředky ve výši 2 207 000 tis.Kč do programového financování a současně tyto byly podle pokynu MF kráceny o 450 000 tis.Kč.</t>
  </si>
  <si>
    <t>Podle novely zákona č. 218/2000 Sb. mohou být od 1/3/2008 neinvestiční výdaje vedené v programovém financování vyvedeny do ostatních běžných výdajů. Tím došlo v roce 2009 ke snížení výdajů na programové financování a navýšení ostatních běžných výdajů.</t>
  </si>
  <si>
    <t xml:space="preserve">Údaje o HDP vycházejí z podkladů MF (Státní závěrečné účty za jednotlivá léta a Návrh rozpočtu na rok 2010) </t>
  </si>
  <si>
    <t>*) ve skutečnosti jsou mzdové prostředky v oblasti výzkumu a vývoje zahrnuty v ukazateli "výzkum a vývoj" a současně "platy zaměstnanců a OPPP" =&gt; výdaje celkem neodpovídají součtu výdajů na financování programů vč. niv. souvisejících, výzkumu a vývoje, převodu do rezervního fondu a běžných výdajů celkem</t>
  </si>
  <si>
    <t>Vypracovala: Ing. Šoltová, tel. 974 849 811</t>
  </si>
  <si>
    <t>Kontroloval: Ing. Hudera, tel. 974 849 802</t>
  </si>
  <si>
    <t>Tabulka č. 20</t>
  </si>
  <si>
    <t>Výdaje resotního policejního školství a Muzea policie ČR v roce 2009</t>
  </si>
  <si>
    <t>Sociální dávky celkem</t>
  </si>
  <si>
    <t>Mzdové prostředky</t>
  </si>
  <si>
    <t>Zákonné odvody</t>
  </si>
  <si>
    <t>Škol. účel. zař. MV Ruzyně</t>
  </si>
  <si>
    <t>Policejní školství celkem</t>
  </si>
  <si>
    <t>Muzeum PČR</t>
  </si>
  <si>
    <t>Vypracoval: Ing. Voříšek, tel. 974 849 228</t>
  </si>
  <si>
    <t>Kapitoly: 314 - Ministerstvo vnitra</t>
  </si>
  <si>
    <t>Tabulka č. 18</t>
  </si>
  <si>
    <t>Přehled o výdajích na financování programů reprodukce majetku v roce 2009 dle jednotlivých programů</t>
  </si>
  <si>
    <t>Investiční program resp. podprogram</t>
  </si>
  <si>
    <t>Název</t>
  </si>
  <si>
    <t>Čerpání doplňkových zdrojů</t>
  </si>
  <si>
    <t xml:space="preserve">Celková možnost 
čerpání po zapojení mimorozpočtových zdrojů
(sl. 2+3)        </t>
  </si>
  <si>
    <t>Čerpání v roce 2009</t>
  </si>
  <si>
    <t>Nespotřebované výdaje státního rozpočtu roku 2009</t>
  </si>
  <si>
    <t>Porovnání čerpání v roce 2009 ve vztahu k R2</t>
  </si>
  <si>
    <t xml:space="preserve">Porovnání čerpání v roce 2009 ve vztahu k celk. možnosti čerpání  </t>
  </si>
  <si>
    <t xml:space="preserve">Čerpání
v roce
2008              </t>
  </si>
  <si>
    <t>Porovnání čerpání 2009/2008     (sloupec 5:9)</t>
  </si>
  <si>
    <t>114040</t>
  </si>
  <si>
    <t>Rozvoj a obnova mat. tech. základny organizací služeb resortu MV</t>
  </si>
  <si>
    <t>114050</t>
  </si>
  <si>
    <t>Podpora prevence kriminality</t>
  </si>
  <si>
    <t>114060</t>
  </si>
  <si>
    <t>Podpora mezinárodní spolupráce a aktivní zapojení do formulování azylové a migrační politiky v rámci EU</t>
  </si>
  <si>
    <t>114070</t>
  </si>
  <si>
    <t>Programy spolufinancováné z rozpočtu EU - IOP a OP LZZ</t>
  </si>
  <si>
    <t>***.**</t>
  </si>
  <si>
    <t>114110</t>
  </si>
  <si>
    <t>Rozvoj a obnova materiálně-technické základny Policie ČR</t>
  </si>
  <si>
    <t>***,**</t>
  </si>
  <si>
    <t>114210</t>
  </si>
  <si>
    <t>Reprodukce majetku HZS ČR</t>
  </si>
  <si>
    <t>Periodická obnova základní požární techniky jednotek zařazených do plošného pokrytí</t>
  </si>
  <si>
    <t>e-Government</t>
  </si>
  <si>
    <t>Rozvoj a obnova materiálně-technické základny systému řízení MV</t>
  </si>
  <si>
    <t>Rozvoj a obnova materiálně-technické základny školství, vzdělávání a tělovýchovy</t>
  </si>
  <si>
    <t>Rozvoj a obnova materiálně-technické základny státních archivů</t>
  </si>
  <si>
    <t xml:space="preserve">Rozvoj a obnova materiálně-technické základny hasičského záchranného sboru </t>
  </si>
  <si>
    <t>214510</t>
  </si>
  <si>
    <t>Rozvoj a obnova systému vládního utajeného spojení</t>
  </si>
  <si>
    <t>214910</t>
  </si>
  <si>
    <t xml:space="preserve">Výstavba informačních a komunikačních systémů a sítí MV </t>
  </si>
  <si>
    <t>Transfer přijatý z jiných kapitol</t>
  </si>
  <si>
    <t>Transfer předaný do jiných kapitol</t>
  </si>
  <si>
    <t>Celkem (včetně transferů)</t>
  </si>
  <si>
    <t>Datum: 17.února 2010</t>
  </si>
  <si>
    <t>Vypracoval : Štěpánek, tel. 974 849 205</t>
  </si>
  <si>
    <t>Kontroloval: Ing. Šolta, tel. 974 849 818</t>
  </si>
  <si>
    <t>Výdaje účelově určené na financování programů reprodukce majetku - po organizačních součástech kapitoly MV</t>
  </si>
  <si>
    <t>Organizační součást MV</t>
  </si>
  <si>
    <t>Program</t>
  </si>
  <si>
    <t>Čerpání celkem</t>
  </si>
  <si>
    <t>OSS MV</t>
  </si>
  <si>
    <t>OSS MV celkem</t>
  </si>
  <si>
    <t>GŘ HZS ČR celkem</t>
  </si>
  <si>
    <t>Policejní prezídium celkem</t>
  </si>
  <si>
    <t>Organizační složka státu MV celkem</t>
  </si>
  <si>
    <t>HZS hl. m. Prahy celkem</t>
  </si>
  <si>
    <t>HZS Jihočeského kraje celkem</t>
  </si>
  <si>
    <t>HZS Jihomoravského kraje celkem</t>
  </si>
  <si>
    <t>HZS Karlovarského kraje celkem</t>
  </si>
  <si>
    <t>HZS kraje Vysočina</t>
  </si>
  <si>
    <t>HZS kraje Vysočina celkem</t>
  </si>
  <si>
    <t>HZS Královéhradeckého kraje celkem</t>
  </si>
  <si>
    <t>HZS Libereckého kraje celkem</t>
  </si>
  <si>
    <t>HZS Moravskoslezského kraje celkem</t>
  </si>
  <si>
    <t>HZS Olomouckého kraje celkem</t>
  </si>
  <si>
    <t>HZS Pardubického kraje celkem</t>
  </si>
  <si>
    <t>HZS Plzeňského kraje celkem</t>
  </si>
  <si>
    <t>HZS Středočeského kraje celkem</t>
  </si>
  <si>
    <t>HZS Ústeckého kraje celkem</t>
  </si>
  <si>
    <t>HZS Zlínského kraje celkem</t>
  </si>
  <si>
    <t>Záchranný útvar HZS Celkem</t>
  </si>
  <si>
    <t>KŘ policie hl. m. Prahy celkem</t>
  </si>
  <si>
    <t>KŘ policie Jihočeského kraje celkem</t>
  </si>
  <si>
    <t>KŘ policie Jihomoravského kraje celkem</t>
  </si>
  <si>
    <t>KŘ policie Severočeského kraje celkem</t>
  </si>
  <si>
    <t>KŘ policie Severomoravského kraje celkem</t>
  </si>
  <si>
    <t>KŘ policie Středočeského kraje celkem</t>
  </si>
  <si>
    <t>KŘ policie Východočeského kraje celkem</t>
  </si>
  <si>
    <t>KŘ policie Západočeského kraje celkem</t>
  </si>
  <si>
    <t>Národní archiv celkem</t>
  </si>
  <si>
    <t>Moravský zemský archiv v Brně celkem</t>
  </si>
  <si>
    <t>Státní oblastní archiv v Litoměřicích celkem</t>
  </si>
  <si>
    <t>Státní oblastní archiv v Plzni celkem</t>
  </si>
  <si>
    <t>Státní oblastní archiv v Praze celkem</t>
  </si>
  <si>
    <t>Státní oblastní archiv v Třeboni celkem</t>
  </si>
  <si>
    <t>Státní oblastní archiv v Zámrsku celkem</t>
  </si>
  <si>
    <t>Zemský archiv v Opavě celkem</t>
  </si>
  <si>
    <t>Archivy celkem</t>
  </si>
  <si>
    <t>VPŠ MV v Brně celkem</t>
  </si>
  <si>
    <t>VPŠ a SPŠ MV v Holešově celkem</t>
  </si>
  <si>
    <t>VPŠ MV v Jihlavě celkem</t>
  </si>
  <si>
    <t>VPŠ MV v Pardubicích celkem</t>
  </si>
  <si>
    <t>VPŠ a SPŠ MV v Praze celkem</t>
  </si>
  <si>
    <t>Školské účelové zařízení MV v Praze - Ruzyni celkem</t>
  </si>
  <si>
    <t>Vyšší a střední policejní školství celkem</t>
  </si>
  <si>
    <t>Policejní akademie ČR celkem</t>
  </si>
  <si>
    <t>Resortní školství celkem</t>
  </si>
  <si>
    <t>Centrum sportu MV celkem</t>
  </si>
  <si>
    <t>Muzeum Policie ČR celkem</t>
  </si>
  <si>
    <t>Správa uprchlických zařízení MV celkem</t>
  </si>
  <si>
    <t>Zdravotnické zařízení MV celkem</t>
  </si>
  <si>
    <t>Organizační složky státu v působnosti MV celkem</t>
  </si>
  <si>
    <t>Bytová správa MV celkem</t>
  </si>
  <si>
    <t>Zařízení služeb pro MV celkem</t>
  </si>
  <si>
    <t>Státní přípsěvkové organizace v působnosti MV</t>
  </si>
  <si>
    <t>Kapitola MV celkem bez přijatých transferů</t>
  </si>
  <si>
    <t>Transfery přijaté z kapitoly MŠMT celkem</t>
  </si>
  <si>
    <t>Transfery přijaté z kapitoly MŽP celkem</t>
  </si>
  <si>
    <t>Kapitola MV celkem včetně přijatých transferů</t>
  </si>
  <si>
    <t>Vypracoval : Štěpánek, tel. 974 849 205                   Kontroloval: Ing. Šolta, tel. 974 849 818</t>
  </si>
  <si>
    <t>Výdaje účelově určené na financování programů</t>
  </si>
  <si>
    <t>Č. akce</t>
  </si>
  <si>
    <t>Název akce</t>
  </si>
  <si>
    <t>Účastník</t>
  </si>
  <si>
    <t>Typ
akce</t>
  </si>
  <si>
    <t>Zdroj</t>
  </si>
  <si>
    <t>Čerpání</t>
  </si>
  <si>
    <t>114V042008021</t>
  </si>
  <si>
    <t>PoS Zastávka - Únikové schodiště u ubytoven 02 a 04</t>
  </si>
  <si>
    <t>KV - SR</t>
  </si>
  <si>
    <t>114V042009001</t>
  </si>
  <si>
    <t>SUZ - Obnova služebních dopravních prostředků</t>
  </si>
  <si>
    <t>114V042009002</t>
  </si>
  <si>
    <t>SUZ - Nákup strojů pro administrativu</t>
  </si>
  <si>
    <t>E</t>
  </si>
  <si>
    <t>114V042009003</t>
  </si>
  <si>
    <t>SUZ - Servery</t>
  </si>
  <si>
    <t>114V042009004</t>
  </si>
  <si>
    <t>ZZC Bělá - Telefonní ústředna</t>
  </si>
  <si>
    <t>114V042009005</t>
  </si>
  <si>
    <t>PrS Vyšní Lhoty - Rozšíření kamerového systému</t>
  </si>
  <si>
    <t>114V042009006</t>
  </si>
  <si>
    <t>PoS Kostelec - Kamerový systém</t>
  </si>
  <si>
    <t>114V042009007</t>
  </si>
  <si>
    <t>PoS Zastávka - Kamerový systém a strukturovaná kabeláž</t>
  </si>
  <si>
    <t>114V042009008</t>
  </si>
  <si>
    <t>PrS Vyšní Lhoty - rekonstrukce obj. 03 - výměna oken</t>
  </si>
  <si>
    <t>114V042009009</t>
  </si>
  <si>
    <t>PoS Zastávka - sanace suterénů ubytovacích objektů</t>
  </si>
  <si>
    <t>114V042009010</t>
  </si>
  <si>
    <t>PoS Zastávka - Výměna oken a vstupních dveří na ubytovnách 02 a 04</t>
  </si>
  <si>
    <t>114V042009011</t>
  </si>
  <si>
    <t>PoS Kostelec - zhotovení nouzového schodiště u B. č. 1</t>
  </si>
  <si>
    <t>114V042009012</t>
  </si>
  <si>
    <t>PrS Vyšní Lhoty - volejbalové hřiště EUFXXXX-YY</t>
  </si>
  <si>
    <t>KV - EU</t>
  </si>
  <si>
    <t>114V042009013</t>
  </si>
  <si>
    <t>PoS Kostelec - přístřešek na kola</t>
  </si>
  <si>
    <t>114V042009014</t>
  </si>
  <si>
    <t>PrS Vyšní Lhoty - výměna oken správního objektu</t>
  </si>
  <si>
    <t>114V042009015</t>
  </si>
  <si>
    <t>SUZ - Regulace odběru elektrické energie</t>
  </si>
  <si>
    <t>114V042009016</t>
  </si>
  <si>
    <t>ZZC Bělá - Rekonstrukce střechy obj. 04</t>
  </si>
  <si>
    <t>114V042009017</t>
  </si>
  <si>
    <t>ZZC Bělá - Domácí rozhlas</t>
  </si>
  <si>
    <t>114V042009018</t>
  </si>
  <si>
    <t>PrS Zastávka - Zateplení ubytovny 02</t>
  </si>
  <si>
    <t>114V042009019</t>
  </si>
  <si>
    <t>PrS Zastávka - Stavební úpravy objektů</t>
  </si>
  <si>
    <t>114V042009021</t>
  </si>
  <si>
    <t>PrS Zastávka - Telefonní ústředna</t>
  </si>
  <si>
    <t>114V042009022</t>
  </si>
  <si>
    <t>ZZC Bělá - Bytová jednotka pro handicapy</t>
  </si>
  <si>
    <t>114V042009023</t>
  </si>
  <si>
    <t>Pořízení osobních automobilů - EIF 2007-02</t>
  </si>
  <si>
    <t>114V042009024</t>
  </si>
  <si>
    <t>Pořízení osobních automobilů - EIF2008-15</t>
  </si>
  <si>
    <t>114V042009025</t>
  </si>
  <si>
    <t>SUZ - Hlasové a datové spojení pro CPIC Zlín, Plzeň</t>
  </si>
  <si>
    <t>114V042009026</t>
  </si>
  <si>
    <t>ZZC Poštorná - Rozšíření EZS</t>
  </si>
  <si>
    <t>114V044008005</t>
  </si>
  <si>
    <t>Praha 8, Střelničná - demolice objektu - I. a II. etapa</t>
  </si>
  <si>
    <t>114V044008009</t>
  </si>
  <si>
    <t>114V044008011</t>
  </si>
  <si>
    <t>P1000 Přípotoční - rekonstrukce OO PČR</t>
  </si>
  <si>
    <t>114V044008015</t>
  </si>
  <si>
    <t>Praha 6 - objekt IMV - Skokanská</t>
  </si>
  <si>
    <t>114V044009001</t>
  </si>
  <si>
    <t>Nákup strojů pro administrativu</t>
  </si>
  <si>
    <t>114V044009002</t>
  </si>
  <si>
    <t>Praha 7 Letná - rekonstrukce osobního výtahu TRIPLEX</t>
  </si>
  <si>
    <t>114V044009003</t>
  </si>
  <si>
    <t>Nákup dopravních prostředků - osobní a sanitní verze</t>
  </si>
  <si>
    <t>114V044009005</t>
  </si>
  <si>
    <t>Nákup osobních vozů pro útvary MV</t>
  </si>
  <si>
    <t>114V044009006</t>
  </si>
  <si>
    <t>Nákup služebních dopravních prostředků pro Centrum sportu a Zdravotnické zařízení MV</t>
  </si>
  <si>
    <t>114V044009007</t>
  </si>
  <si>
    <t>Hotel Šumava - pořízení gastronomického vybavení do kuchyňského bloku</t>
  </si>
  <si>
    <t>114V046009001</t>
  </si>
  <si>
    <t>Stavební úpravy 1. PP - 9. NP v objektu Kupeckého č.p. 843</t>
  </si>
  <si>
    <t>114V046009002</t>
  </si>
  <si>
    <t>Stavební úpravy 25 ubytovacích jednotek na ubytovně Jarov</t>
  </si>
  <si>
    <t>114V046009003</t>
  </si>
  <si>
    <t>Výměna části oken a dveří na ubytovně v Čakovicích</t>
  </si>
  <si>
    <t>114V04600R001</t>
  </si>
  <si>
    <t>Agregace podprogramu 114046 pro rok 2009</t>
  </si>
  <si>
    <t>114V047009001</t>
  </si>
  <si>
    <t>Server</t>
  </si>
  <si>
    <t>114V047009002</t>
  </si>
  <si>
    <t>Tiskárna výplatnic</t>
  </si>
  <si>
    <t>114V047009003</t>
  </si>
  <si>
    <t>Zdravotnické přístroje</t>
  </si>
  <si>
    <t>Celkem za 114040</t>
  </si>
  <si>
    <t>114D051008047</t>
  </si>
  <si>
    <t>Streetová plocha na u. Holandská</t>
  </si>
  <si>
    <t>KV - MRZ</t>
  </si>
  <si>
    <t>114D051008093</t>
  </si>
  <si>
    <t>Kamerový systém  Šlapanice</t>
  </si>
  <si>
    <t>114D051009001</t>
  </si>
  <si>
    <t>Systém včasné intervence</t>
  </si>
  <si>
    <t>114D051009002</t>
  </si>
  <si>
    <t>Systém včasné intervence - Třinec</t>
  </si>
  <si>
    <t>114D051009003</t>
  </si>
  <si>
    <t>Rozšíření kamerového systému - ETAPA VIII</t>
  </si>
  <si>
    <t>114D051009004</t>
  </si>
  <si>
    <t>Obecní kamerový dohlížecí systém</t>
  </si>
  <si>
    <t>114D051009005</t>
  </si>
  <si>
    <t>Rozšíření MKDS Klášterec nad Ohří III. etapa</t>
  </si>
  <si>
    <t>114D051009006</t>
  </si>
  <si>
    <t>Rozšíření kamerového systému</t>
  </si>
  <si>
    <t>114D051009007</t>
  </si>
  <si>
    <t>Městský kamerový dohlížecí systém Blansko, lokalita nádraží ČD a ČAD</t>
  </si>
  <si>
    <t>114D051009008</t>
  </si>
  <si>
    <t>Městský kamerový dohlížecí systém Blansko, ul. Rožmitálova</t>
  </si>
  <si>
    <t>114D051009009</t>
  </si>
  <si>
    <t>Rozšíření městského kamerového dohlížecího systému</t>
  </si>
  <si>
    <t>114D051009010</t>
  </si>
  <si>
    <t>Městský monitorovací dohlížecí systém - VII. etapa</t>
  </si>
  <si>
    <t>114D051009011</t>
  </si>
  <si>
    <t>Rozšíření MKDS - etapa 2009</t>
  </si>
  <si>
    <t>114D051009012</t>
  </si>
  <si>
    <t>Mobilní kamerový dohlížecí systém v Bílovci</t>
  </si>
  <si>
    <t>114D051009013</t>
  </si>
  <si>
    <t>Mobilní kamerový systém</t>
  </si>
  <si>
    <t>114D051009014</t>
  </si>
  <si>
    <t>Rozšíření MKDS</t>
  </si>
  <si>
    <t>114D051009015</t>
  </si>
  <si>
    <t>Rozšíření městského kamerového systému v Zábřehu - ulice Školská</t>
  </si>
  <si>
    <t>114D051009016</t>
  </si>
  <si>
    <t>MKMS - Výstaviště, rok 2009</t>
  </si>
  <si>
    <t>114D051009017</t>
  </si>
  <si>
    <t>Já tě vidím!-propojení kamerového systému s městským rozhlasem</t>
  </si>
  <si>
    <t>114D051009018</t>
  </si>
  <si>
    <t>Na novém náměstí bezpečněji</t>
  </si>
  <si>
    <t>114D051009019</t>
  </si>
  <si>
    <t>Rozšíření MKDS - stabilní kamerový bod č.11</t>
  </si>
  <si>
    <t>114D051009020</t>
  </si>
  <si>
    <t>Veřejné osvětlení v lesoparku</t>
  </si>
  <si>
    <t>114D051009021</t>
  </si>
  <si>
    <t>Rozšíření veřejného osvětlení na sídlišti Zahradní</t>
  </si>
  <si>
    <t>114D051009022</t>
  </si>
  <si>
    <t>Bezpečné město</t>
  </si>
  <si>
    <t>114D051009023</t>
  </si>
  <si>
    <t>Digitalizace MKMS</t>
  </si>
  <si>
    <t>114D051009024</t>
  </si>
  <si>
    <t>Rozšíření městského kamerového systému</t>
  </si>
  <si>
    <t>114D051009026</t>
  </si>
  <si>
    <t>Modernizace záznamového zařízení MKDS</t>
  </si>
  <si>
    <t>114D051009027</t>
  </si>
  <si>
    <t>Umělý rozebíratelný povrch</t>
  </si>
  <si>
    <t>114D051009028</t>
  </si>
  <si>
    <t>Oplocení sportovního hřiště na Lánech</t>
  </si>
  <si>
    <t>114D051009029</t>
  </si>
  <si>
    <t>Oplocení areálu ZŠ Karolinka</t>
  </si>
  <si>
    <t>114D051009030</t>
  </si>
  <si>
    <t>Zabezpečení objektu základní školy elektronickým systémem</t>
  </si>
  <si>
    <t>114D051009031</t>
  </si>
  <si>
    <t>Sportovní hřiště Petlérská - Klášterec nad Ohří 2009</t>
  </si>
  <si>
    <t>114D051009032</t>
  </si>
  <si>
    <t>Vybavení sportovního hřiště</t>
  </si>
  <si>
    <t>114D051009033</t>
  </si>
  <si>
    <t>Skatepark - Vizovice</t>
  </si>
  <si>
    <t>114D051009034</t>
  </si>
  <si>
    <t>Lezecká stěna v městském parku v Hulíně</t>
  </si>
  <si>
    <t>114D051009035</t>
  </si>
  <si>
    <t>Skatepark Rýmařov</t>
  </si>
  <si>
    <t>114D051009036</t>
  </si>
  <si>
    <t>Instalace doplňujícího osvětlení u nových dětských hřišť  U Matesa   a  U ZŠ</t>
  </si>
  <si>
    <t>114D051009037</t>
  </si>
  <si>
    <t>Areál extrémních sportů</t>
  </si>
  <si>
    <t>114D051009038</t>
  </si>
  <si>
    <t>Skate park ve Vsetíně na Lapači</t>
  </si>
  <si>
    <t>114D051009039</t>
  </si>
  <si>
    <t>114D051009040</t>
  </si>
  <si>
    <t>Rozšíření MKDS - VII. etapa</t>
  </si>
  <si>
    <t>114D051009041</t>
  </si>
  <si>
    <t>Dobřany - Rozšíření skateboardového hřiště o dva prvky</t>
  </si>
  <si>
    <t>114D051009042</t>
  </si>
  <si>
    <t>Skatepark v rámci sociální prevence</t>
  </si>
  <si>
    <t>114D051009043</t>
  </si>
  <si>
    <t>Zastřešený stolní tenis ve sportovním areálu v Habartově</t>
  </si>
  <si>
    <t>114D051009044</t>
  </si>
  <si>
    <t>Rozšíření kamerového systému města Kutná Hora</t>
  </si>
  <si>
    <t>114D051009045</t>
  </si>
  <si>
    <t>Rozšíření městského kamerového monitorovacího systému - I. etapa</t>
  </si>
  <si>
    <t>114D051009046</t>
  </si>
  <si>
    <t>114D051009047</t>
  </si>
  <si>
    <t>Mobilní kamerové soubory</t>
  </si>
  <si>
    <t>114D051009048</t>
  </si>
  <si>
    <t>Rozšíření MKDS o 1 mobilní - přenosnou kameru</t>
  </si>
  <si>
    <t>114D051009049</t>
  </si>
  <si>
    <t>Skate park Chotěboř</t>
  </si>
  <si>
    <t>114D051009050</t>
  </si>
  <si>
    <t>Zabezpečení oken v domě s pečovatelskou službou</t>
  </si>
  <si>
    <t>114D051009051</t>
  </si>
  <si>
    <t>Posílení pouličního osvětlení v rizikových lokalitách</t>
  </si>
  <si>
    <t>114D051009052</t>
  </si>
  <si>
    <t>Městský kamerový dohlížecí systém - II. etapa</t>
  </si>
  <si>
    <t>114D051009053</t>
  </si>
  <si>
    <t>MKDS IV. etapa</t>
  </si>
  <si>
    <t>114D051009054</t>
  </si>
  <si>
    <t>Kamera Dome Pelco</t>
  </si>
  <si>
    <t>114D051009055</t>
  </si>
  <si>
    <t>114D051009056</t>
  </si>
  <si>
    <t>Bezpečná ulice</t>
  </si>
  <si>
    <t>114D051009057</t>
  </si>
  <si>
    <t>Rozšíření skate parku v Horažďovicích</t>
  </si>
  <si>
    <t>114D051009058</t>
  </si>
  <si>
    <t>Mobilní služebna Městské policie Havířov</t>
  </si>
  <si>
    <t>114D051009059</t>
  </si>
  <si>
    <t>Sportovní víceúčelové hřiště Na Bílé husi, Blatná</t>
  </si>
  <si>
    <t>114D051009060</t>
  </si>
  <si>
    <t>Sportovní plácek v sociálně vyloučené lokalitě Plachého 42, 44, 46 a 48</t>
  </si>
  <si>
    <t>114D051009061</t>
  </si>
  <si>
    <t>Osvětlení 3 rizikových míst</t>
  </si>
  <si>
    <t>114D051009062</t>
  </si>
  <si>
    <t>Bezpečněji ke škole</t>
  </si>
  <si>
    <t>114D051009063</t>
  </si>
  <si>
    <t>Nové osvětlení v Křelově</t>
  </si>
  <si>
    <t>114D051009064</t>
  </si>
  <si>
    <t>114D051009065</t>
  </si>
  <si>
    <t>Osvětlení rizikových míst na Praze 6 - Bořislavka</t>
  </si>
  <si>
    <t>114D051009066</t>
  </si>
  <si>
    <t>Osvětlení rizikových míst ve Spáleném Poříčí - komunikace pro pěší a cyklisty</t>
  </si>
  <si>
    <t>114D051009067</t>
  </si>
  <si>
    <t>Oplocení areálu technických služeb města Velká Bystřice</t>
  </si>
  <si>
    <t>114D051009068</t>
  </si>
  <si>
    <t>Zhotovení nového oplocení objektu V Bytovkách 803, Praha - Uhříněves</t>
  </si>
  <si>
    <t>114D051009069</t>
  </si>
  <si>
    <t>BEZPEČNĚJŠI   MĚSTO  CYKLISTŮ</t>
  </si>
  <si>
    <t>114D051009070</t>
  </si>
  <si>
    <t>114D051009071</t>
  </si>
  <si>
    <t>Rekonstrukce sportovního hřiště</t>
  </si>
  <si>
    <t>114D051009072</t>
  </si>
  <si>
    <t>Rekonstrukce sportovního hřiště u ZŠ Komenského v Odrách</t>
  </si>
  <si>
    <t>114D051009073</t>
  </si>
  <si>
    <t>Jednotné informační prostředí</t>
  </si>
  <si>
    <t>114D051009074</t>
  </si>
  <si>
    <t>Rozšíření stávajícího kamerového systému o kamerový soubor ul. Budovatelů</t>
  </si>
  <si>
    <t>114D051009075</t>
  </si>
  <si>
    <t>Bezpečný areál ZŠ Žižkov - Poděbrady</t>
  </si>
  <si>
    <t>114D051009077</t>
  </si>
  <si>
    <t>DDH, Jánošíkova 1300-zajištění ochrany majetku MČ Praha 4 proti vandalismu</t>
  </si>
  <si>
    <t>114D051009078</t>
  </si>
  <si>
    <t>Mobilní kamerové zařízení</t>
  </si>
  <si>
    <t>114D051009079</t>
  </si>
  <si>
    <t>Program prevence kriminality 2009 v obci Lenora</t>
  </si>
  <si>
    <t>114D051009080</t>
  </si>
  <si>
    <t>Kamera - Václavák</t>
  </si>
  <si>
    <t>114D051009081</t>
  </si>
  <si>
    <t>114D051009082</t>
  </si>
  <si>
    <t>Rozšíření městského kamerového dohlížecího systému města Pelhřimov</t>
  </si>
  <si>
    <t>114D051009083</t>
  </si>
  <si>
    <t>Systém včasné intervence - investice</t>
  </si>
  <si>
    <t>114D051009084</t>
  </si>
  <si>
    <t>114D051009085</t>
  </si>
  <si>
    <t>114D051009086</t>
  </si>
  <si>
    <t>MKDS</t>
  </si>
  <si>
    <t>114D051009087</t>
  </si>
  <si>
    <t>Rozšíření městského kamerového a dohlížecího systému</t>
  </si>
  <si>
    <t>114D051009088</t>
  </si>
  <si>
    <t>Rozšíření MKDS města Žďár nad Sázavou</t>
  </si>
  <si>
    <t>114D051009089</t>
  </si>
  <si>
    <t>Skate park - Dvůr Králové nad Labem</t>
  </si>
  <si>
    <t>114D051009090</t>
  </si>
  <si>
    <t>Hřiště pro skate, in-line, BMX kola - Soběslav</t>
  </si>
  <si>
    <t>114D051009091</t>
  </si>
  <si>
    <t>Rozšíření mobilního kamerového systému</t>
  </si>
  <si>
    <t>114D051009092</t>
  </si>
  <si>
    <t>MKDS - nový kamerový bod</t>
  </si>
  <si>
    <t>114D051009093</t>
  </si>
  <si>
    <t>Informovanost specifických skupin obyvatelů</t>
  </si>
  <si>
    <t>114D051009094</t>
  </si>
  <si>
    <t>Integrovaný bezpečnostní systém Zlín - IV. etapa</t>
  </si>
  <si>
    <t>114D051009095</t>
  </si>
  <si>
    <t>Tísňové volání</t>
  </si>
  <si>
    <t>114D051009096</t>
  </si>
  <si>
    <t>Volný čas - náctiletých - horolezecká stěna</t>
  </si>
  <si>
    <t>114D051009097</t>
  </si>
  <si>
    <t>Kamerový bod č. 9 - ulice Olomoucká</t>
  </si>
  <si>
    <t>114D051009098</t>
  </si>
  <si>
    <t>Záznamové zařízení kamerového systému MP Šternberk</t>
  </si>
  <si>
    <t>114D051009099</t>
  </si>
  <si>
    <t>Rozšíření městského kamerového dohlížecího systému (MKDS)</t>
  </si>
  <si>
    <t>114D051009101</t>
  </si>
  <si>
    <t>Mobiliář - skatepark v Moravském Berouně</t>
  </si>
  <si>
    <t>114D051009102</t>
  </si>
  <si>
    <t>Kamery školám</t>
  </si>
  <si>
    <t>114D051009103</t>
  </si>
  <si>
    <t>114D051009104</t>
  </si>
  <si>
    <t>Vybavení dětského hřiště Strž</t>
  </si>
  <si>
    <t>114D051009105</t>
  </si>
  <si>
    <t>114D051009106</t>
  </si>
  <si>
    <t>Kdo si hraje nezlobí - Dětské hřiště v lokalitě Skála</t>
  </si>
  <si>
    <t>114D051009107</t>
  </si>
  <si>
    <t>Osvětlení autobusových zastávek - Klenovice na Hané</t>
  </si>
  <si>
    <t>114D051009108</t>
  </si>
  <si>
    <t>Pořízení a instalace kamerového systému v obci Josefův Důl</t>
  </si>
  <si>
    <t>114D051009109</t>
  </si>
  <si>
    <t>Zbudování sportovního a herního plácku</t>
  </si>
  <si>
    <t>114D051009110</t>
  </si>
  <si>
    <t>Bezpečný dům (blok 5 sídliště Chanov) v Mostě</t>
  </si>
  <si>
    <t>114D05100R001</t>
  </si>
  <si>
    <t>Agregace podprogramu 114051 na rok 2010</t>
  </si>
  <si>
    <t>Celkem za 114050</t>
  </si>
  <si>
    <t>114V071008026</t>
  </si>
  <si>
    <t>Národní digitální archiv - iniciční fáze - CZ.1.06.R</t>
  </si>
  <si>
    <t>114V071009001</t>
  </si>
  <si>
    <t>Národní digitální archiv CZ.1.06.R</t>
  </si>
  <si>
    <t>BVs - SR</t>
  </si>
  <si>
    <t>BVs - EU</t>
  </si>
  <si>
    <t>114V071009002</t>
  </si>
  <si>
    <t>IOP Obměna a doplnění radiokomunikačního systému složek IZS CZ.1.06.R</t>
  </si>
  <si>
    <t>114V071009003</t>
  </si>
  <si>
    <t>IOP - Širokopásmové sítě pro běžnou a krizovou komunikaci  P1000 CZ.1.06.R</t>
  </si>
  <si>
    <t>114V071009004</t>
  </si>
  <si>
    <t>IOP E-Government - Vybudování zabezpečeného centrálního výpočetního střediska CZ.1.06.R</t>
  </si>
  <si>
    <t>114V071009005</t>
  </si>
  <si>
    <t>IOP - ISKŘ</t>
  </si>
  <si>
    <t>114V071009006</t>
  </si>
  <si>
    <t>IOP - Jednotný systém vyrozumění CZ.1.06.R</t>
  </si>
  <si>
    <t>114V071009007</t>
  </si>
  <si>
    <t>IOP - Komunikační systém pro SS v HZS CZ.1.06.R</t>
  </si>
  <si>
    <t>114V071009008</t>
  </si>
  <si>
    <t>IOP - Logistická základna CZ.1.06.R</t>
  </si>
  <si>
    <t>114V071009009</t>
  </si>
  <si>
    <t>IOP - Národní centrum Hradec Králové CZ.1.06.R</t>
  </si>
  <si>
    <t>114V071009010</t>
  </si>
  <si>
    <t>IOP - Operační střediska CZ.1.06.R</t>
  </si>
  <si>
    <t>114V071009011</t>
  </si>
  <si>
    <t>IOP - Optická síť CZ.1.06.R</t>
  </si>
  <si>
    <t>114V071009012</t>
  </si>
  <si>
    <t>IOP - Varování obyvatelstva CZ.1.06.R</t>
  </si>
  <si>
    <t>114V071009013</t>
  </si>
  <si>
    <t>IOP - Centrální místo služeb (CMS) CZ.1.06.R</t>
  </si>
  <si>
    <t>114V071009014</t>
  </si>
  <si>
    <t>IOP - Czech POINT CZ.1.06.R</t>
  </si>
  <si>
    <t>114V071009015</t>
  </si>
  <si>
    <t>IOP - Interoperabilita informačních systémů krajů a obcí CZ.1.06.R</t>
  </si>
  <si>
    <t>114V071009016</t>
  </si>
  <si>
    <t>IOP - Portál veřejné správy (PVS) CZ.1.06.R</t>
  </si>
  <si>
    <t>114V071009017</t>
  </si>
  <si>
    <t>IOP - Veřejné informační služby CZ.1.06.R</t>
  </si>
  <si>
    <t>114V071009018</t>
  </si>
  <si>
    <t>IOP - Základní registry včetně informačního systému evidence obyvatel (ISEO) CZ.1.06.R</t>
  </si>
  <si>
    <t>114V071009019</t>
  </si>
  <si>
    <t>IOP - VIP - e GATE  P1000 CZ.1.06.R</t>
  </si>
  <si>
    <t>114V071009020</t>
  </si>
  <si>
    <t>IOP - Datové schránky CZ.1.06.R</t>
  </si>
  <si>
    <t>114V071009021</t>
  </si>
  <si>
    <t>IOP - Biometrica CZ.1.06.R</t>
  </si>
  <si>
    <t>114V071009022</t>
  </si>
  <si>
    <t>IOP - Projekt e-Sbírka CZ.1.06.R</t>
  </si>
  <si>
    <t>114V071009023</t>
  </si>
  <si>
    <t>IOP - Projekt e-Legislativa CZ.1.06.R</t>
  </si>
  <si>
    <t>114V071009024</t>
  </si>
  <si>
    <t>IOP - Technická pomoc pro IOP CZ.1.06.R</t>
  </si>
  <si>
    <t>114V071009032</t>
  </si>
  <si>
    <t>Systém ekonomických a projektových informací v eGovernmentu (SEPIe) - iniciační fáze CZ.1.06/1.1.00/09.xx258</t>
  </si>
  <si>
    <t>114V071009033</t>
  </si>
  <si>
    <t>Jednotná úroveň IS oper. řízení a modernizace technologií pro příjem tísň. volání základních složek IZS - iniciační fáze CZ.1.06/3.4.00/09.xx259</t>
  </si>
  <si>
    <t>114V071009034</t>
  </si>
  <si>
    <t>Národní centrum pro krizovou připravenost a výcvik složek IZS ČR v Hradci Králové - iniciační fáze CZ.1.06/3.4.00/09.xx260</t>
  </si>
  <si>
    <t>114V071009036</t>
  </si>
  <si>
    <t>Informační systém datových schránek CZ.1.06/1.1.00/03.05334</t>
  </si>
  <si>
    <t>BVs - MRZ</t>
  </si>
  <si>
    <t>114V071009037</t>
  </si>
  <si>
    <t>Národní základna humanitární pomoci - Zbiroh - CZ.1.06/3.4.00/01.05949</t>
  </si>
  <si>
    <t>114V071009038</t>
  </si>
  <si>
    <t>Informační systém základních registrů CZ.1.06/1.1.00/03.05891</t>
  </si>
  <si>
    <t>114V071009039</t>
  </si>
  <si>
    <t>Registr obyvatel CZ.1.06/1.1.00/03.05889</t>
  </si>
  <si>
    <t>114V071009040</t>
  </si>
  <si>
    <t>Registr práv a povinností CZ.1.06/1.1.00/03.05890</t>
  </si>
  <si>
    <t>114V071009041</t>
  </si>
  <si>
    <t>Portál veřejné správy CZ.1.06/1.1.00/03.05932</t>
  </si>
  <si>
    <t>114V07100900A</t>
  </si>
  <si>
    <t>IOP - agregace prostředků roku 2009 - nerozděleno CZ.1.06.R</t>
  </si>
  <si>
    <t>114V072009001</t>
  </si>
  <si>
    <t>OPLZZ Vytvoření technických podmínek pro zefektivnění vzdělávání CZ.1.04.R</t>
  </si>
  <si>
    <t>114V072009002</t>
  </si>
  <si>
    <t>OPLZZ Vzdělávání příslušníků bezpečnostních sborů ČR k efektivní komunikaci s občany s důrazem na krizovou komunikac CZ.1.04.R</t>
  </si>
  <si>
    <t>114V072009003</t>
  </si>
  <si>
    <t>OPLZZ Pomoc policistů při ochraně života a zdraví CZ.1.04.R</t>
  </si>
  <si>
    <t>114V072009004</t>
  </si>
  <si>
    <t>OPLZZ Pedagogická práce s FX systémy k získávání prakticko - preventivních návyků příslušníků PČR CZ.1.04.R</t>
  </si>
  <si>
    <t>114V072009005</t>
  </si>
  <si>
    <t>OPLZZ Školící středisko ECDL a integrace výuky CZ.1.04.R</t>
  </si>
  <si>
    <t>114V072009006</t>
  </si>
  <si>
    <t>OPLZZ Analýza fungování územní VS v roztříštěné struktuře ČR: efektivita a kvalita výkonu VS, dostupnost a kvalita služeb správy pro občany CZ.1.04.R</t>
  </si>
  <si>
    <t>114V072009007</t>
  </si>
  <si>
    <t>OPLZZ  Procesní a organizační audity agend VS a zjednodušení VS CZ.1.04.R</t>
  </si>
  <si>
    <t>114V072009008</t>
  </si>
  <si>
    <t>OPLZZ - Zavedení EFQM na MV CZ.1.04.R</t>
  </si>
  <si>
    <t>114V072009009</t>
  </si>
  <si>
    <t>OPLZZ Zavádění metodřízení kvality (EFQM, CAF, ISO, BSC benchmarking) do VS CZ.1.04.R</t>
  </si>
  <si>
    <t>114V072009010</t>
  </si>
  <si>
    <t>OPLZZ Hodnocení ex-post RIA na vybrané právní předpisy CZ.1.04.R</t>
  </si>
  <si>
    <t>114V072009011</t>
  </si>
  <si>
    <t>OPLZZ Průběžné vzdělávání úředníků VS CZ.1.04.R</t>
  </si>
  <si>
    <t>114V072009012</t>
  </si>
  <si>
    <t>OPLZZ  Inovace systému vzdělávání úředníků MV CZ.1.04.R</t>
  </si>
  <si>
    <t>114V072009013</t>
  </si>
  <si>
    <t>OPLZZ Projekt organizačnělegislativní zabezpečení projektů e-Government CZ.1.04.R</t>
  </si>
  <si>
    <t>114V072009014</t>
  </si>
  <si>
    <t>OPLZZ Jednotný kontrolní postup CZ.1.04.R</t>
  </si>
  <si>
    <t>114V072009015</t>
  </si>
  <si>
    <t>OPLZZ Manažerské vzdělávání CZ.1.04.R</t>
  </si>
  <si>
    <t>114V072009016</t>
  </si>
  <si>
    <t>OPLZZ Mezinárodní spolupráce CZ.1.04.R</t>
  </si>
  <si>
    <t>114V072009017</t>
  </si>
  <si>
    <t>OPLZZ Vzdělávání specifických složek veřejné správy CZ.1.04.R</t>
  </si>
  <si>
    <t>114V072009018</t>
  </si>
  <si>
    <t>OPLZZ Tvoba multimediálních programů CZ.1.04.R</t>
  </si>
  <si>
    <t>114V072009019</t>
  </si>
  <si>
    <t>OPLZZ - Evropský sociální fond CZ.1.04.R</t>
  </si>
  <si>
    <t>114V072009020</t>
  </si>
  <si>
    <t>OPLZZ Technická pomoc pro OP LZZ CZ.1.04.R</t>
  </si>
  <si>
    <t>114V07200900A</t>
  </si>
  <si>
    <t>OPLZZ - agregace prostředků roku 2009 - nerozděleno CZ.1.04.R</t>
  </si>
  <si>
    <t>Celkem za 114070</t>
  </si>
  <si>
    <t>114V111009001</t>
  </si>
  <si>
    <t>Radiokomunikační systém pro OOD</t>
  </si>
  <si>
    <t>Policejní prezidium</t>
  </si>
  <si>
    <t>Celkem za 114110</t>
  </si>
  <si>
    <t>114V211009007</t>
  </si>
  <si>
    <t>ARC Editor</t>
  </si>
  <si>
    <t>114V211009008</t>
  </si>
  <si>
    <t>Pokročilá verze programu RMS</t>
  </si>
  <si>
    <t>114V211009009</t>
  </si>
  <si>
    <t>Barevná tiskárna</t>
  </si>
  <si>
    <t>114V211009010</t>
  </si>
  <si>
    <t>Aplikační programové vybavení</t>
  </si>
  <si>
    <t>114V211009011</t>
  </si>
  <si>
    <t>IOO L. Bohdaneč - Základnová stanice - vysílač</t>
  </si>
  <si>
    <t>114V211009012</t>
  </si>
  <si>
    <t>IOO L. Bohdaneč - Pocsag Token analyzér</t>
  </si>
  <si>
    <t>114V211009013</t>
  </si>
  <si>
    <t>IOO L. Bohdaneč - Interaktivní tabule</t>
  </si>
  <si>
    <t>114V211009014</t>
  </si>
  <si>
    <t>IOO L. Bohdaneč - Dataprojektor</t>
  </si>
  <si>
    <t>114V211009015</t>
  </si>
  <si>
    <t>OUPO Brno - Server doménový Windows 2008</t>
  </si>
  <si>
    <t>114V211009016</t>
  </si>
  <si>
    <t>OUPO Brno - Server LNX - samba</t>
  </si>
  <si>
    <t>114V211009017</t>
  </si>
  <si>
    <t>OUPO FM -  switch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</si>
</sst>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\ @"/>
    <numFmt numFmtId="166" formatCode="dd/mm/yy"/>
    <numFmt numFmtId="167" formatCode="#,##0_ ;[Red]\-#,##0\ "/>
    <numFmt numFmtId="168" formatCode="#,##0.00_ ;[Red]\-#,##0.00\ 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00"/>
    <numFmt numFmtId="175" formatCode="#,##0.000_ ;[Red]\-#,##0.000\ "/>
    <numFmt numFmtId="176" formatCode="#,##0.00000000"/>
  </numFmts>
  <fonts count="102">
    <font>
      <sz val="10"/>
      <name val="Arial CE"/>
      <family val="0"/>
    </font>
    <font>
      <b/>
      <sz val="18"/>
      <name val="AmphionCondensedExtrabold"/>
      <family val="0"/>
    </font>
    <font>
      <sz val="18"/>
      <name val="AmphionCondensedExtrabold"/>
      <family val="0"/>
    </font>
    <font>
      <u val="single"/>
      <sz val="18"/>
      <name val="AmphionCondensedExtrabold"/>
      <family val="0"/>
    </font>
    <font>
      <sz val="11"/>
      <name val="AmphionCondensedExtrabold"/>
      <family val="0"/>
    </font>
    <font>
      <sz val="14"/>
      <name val="AmphionCondensedExtrabold"/>
      <family val="0"/>
    </font>
    <font>
      <u val="single"/>
      <sz val="14"/>
      <name val="AmphionCondensedExtrabold"/>
      <family val="0"/>
    </font>
    <font>
      <sz val="10"/>
      <name val="AmphionCondensedExtrabold"/>
      <family val="0"/>
    </font>
    <font>
      <b/>
      <sz val="16"/>
      <name val="Times New Roman CE"/>
      <family val="1"/>
    </font>
    <font>
      <sz val="10"/>
      <name val="Times New Roman CE"/>
      <family val="1"/>
    </font>
    <font>
      <sz val="11"/>
      <name val="Arial CE"/>
      <family val="0"/>
    </font>
    <font>
      <b/>
      <sz val="18"/>
      <name val="Arial CE"/>
      <family val="0"/>
    </font>
    <font>
      <b/>
      <sz val="11"/>
      <color indexed="21"/>
      <name val="Arial CE"/>
      <family val="2"/>
    </font>
    <font>
      <b/>
      <sz val="11"/>
      <color indexed="61"/>
      <name val="Arial CE"/>
      <family val="0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12"/>
      <color indexed="16"/>
      <name val="Times New Roman CE"/>
      <family val="1"/>
    </font>
    <font>
      <b/>
      <sz val="10"/>
      <name val="AmphionCondensedExtrabold"/>
      <family val="0"/>
    </font>
    <font>
      <b/>
      <sz val="11"/>
      <name val="Century Schoolbook CE"/>
      <family val="0"/>
    </font>
    <font>
      <sz val="11"/>
      <name val="Bookman Old Style CE"/>
      <family val="0"/>
    </font>
    <font>
      <sz val="11"/>
      <color indexed="21"/>
      <name val="Arial CE"/>
      <family val="2"/>
    </font>
    <font>
      <sz val="10"/>
      <color indexed="21"/>
      <name val="Arial CE"/>
      <family val="2"/>
    </font>
    <font>
      <b/>
      <sz val="12"/>
      <color indexed="18"/>
      <name val="Times New Roman CE"/>
      <family val="1"/>
    </font>
    <font>
      <sz val="10"/>
      <color indexed="18"/>
      <name val="Times New Roman CE"/>
      <family val="1"/>
    </font>
    <font>
      <b/>
      <sz val="11"/>
      <color indexed="37"/>
      <name val="Times New Roman CE"/>
      <family val="1"/>
    </font>
    <font>
      <sz val="10"/>
      <color indexed="37"/>
      <name val="Times New Roman CE"/>
      <family val="1"/>
    </font>
    <font>
      <b/>
      <sz val="12"/>
      <color indexed="37"/>
      <name val="Times New Roman CE"/>
      <family val="1"/>
    </font>
    <font>
      <b/>
      <sz val="11"/>
      <color indexed="12"/>
      <name val="Times New Roman CE"/>
      <family val="1"/>
    </font>
    <font>
      <b/>
      <sz val="10"/>
      <color indexed="39"/>
      <name val="Times New Roman CE"/>
      <family val="1"/>
    </font>
    <font>
      <b/>
      <sz val="12"/>
      <color indexed="39"/>
      <name val="Times New Roman CE"/>
      <family val="1"/>
    </font>
    <font>
      <sz val="12"/>
      <name val="Times New Roman CE"/>
      <family val="1"/>
    </font>
    <font>
      <u val="single"/>
      <sz val="10"/>
      <name val="Arial CE"/>
      <family val="2"/>
    </font>
    <font>
      <sz val="10"/>
      <name val="Arial Narrow CE"/>
      <family val="2"/>
    </font>
    <font>
      <b/>
      <sz val="10"/>
      <name val="Arial CE"/>
      <family val="2"/>
    </font>
    <font>
      <b/>
      <u val="single"/>
      <sz val="18"/>
      <name val="AmphionCondensedExtrabold"/>
      <family val="0"/>
    </font>
    <font>
      <sz val="11"/>
      <name val="Arial Narrow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8"/>
      <name val="Arial CE"/>
      <family val="0"/>
    </font>
    <font>
      <sz val="12"/>
      <name val="Arial"/>
      <family val="2"/>
    </font>
    <font>
      <sz val="20"/>
      <color indexed="39"/>
      <name val="Times New Roman CE"/>
      <family val="1"/>
    </font>
    <font>
      <b/>
      <sz val="20"/>
      <color indexed="60"/>
      <name val="Times New Roman CE"/>
      <family val="0"/>
    </font>
    <font>
      <sz val="22"/>
      <name val="Times New Roman CE"/>
      <family val="1"/>
    </font>
    <font>
      <b/>
      <sz val="14"/>
      <color indexed="12"/>
      <name val="Times New Roman CE"/>
      <family val="1"/>
    </font>
    <font>
      <b/>
      <sz val="11"/>
      <name val="Times New Roman"/>
      <family val="1"/>
    </font>
    <font>
      <b/>
      <sz val="11"/>
      <color indexed="16"/>
      <name val="Times New Roman CE"/>
      <family val="1"/>
    </font>
    <font>
      <b/>
      <sz val="12"/>
      <color indexed="12"/>
      <name val="Times New Roman CE"/>
      <family val="1"/>
    </font>
    <font>
      <b/>
      <sz val="11"/>
      <color indexed="16"/>
      <name val="AmphionCondensedExtrabold"/>
      <family val="0"/>
    </font>
    <font>
      <b/>
      <sz val="11"/>
      <color indexed="18"/>
      <name val="Times New Roman CE"/>
      <family val="1"/>
    </font>
    <font>
      <sz val="11"/>
      <name val="Times New Roman CE"/>
      <family val="1"/>
    </font>
    <font>
      <b/>
      <strike/>
      <sz val="11"/>
      <color indexed="37"/>
      <name val="Times New Roman CE"/>
      <family val="1"/>
    </font>
    <font>
      <b/>
      <sz val="11"/>
      <color indexed="32"/>
      <name val="Times New Roman CE"/>
      <family val="1"/>
    </font>
    <font>
      <b/>
      <sz val="16"/>
      <color indexed="12"/>
      <name val="Times New Roman CE"/>
      <family val="1"/>
    </font>
    <font>
      <b/>
      <sz val="11"/>
      <color indexed="25"/>
      <name val="Times New Roman CE"/>
      <family val="1"/>
    </font>
    <font>
      <sz val="11"/>
      <color indexed="25"/>
      <name val="Times New Roman CE"/>
      <family val="1"/>
    </font>
    <font>
      <sz val="11"/>
      <color indexed="16"/>
      <name val="Times New Roman CE"/>
      <family val="1"/>
    </font>
    <font>
      <sz val="11"/>
      <color indexed="16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 CE"/>
      <family val="1"/>
    </font>
    <font>
      <b/>
      <sz val="11"/>
      <name val="Arial"/>
      <family val="2"/>
    </font>
    <font>
      <u val="single"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 CE"/>
      <family val="0"/>
    </font>
    <font>
      <b/>
      <sz val="13"/>
      <name val="Arial"/>
      <family val="2"/>
    </font>
    <font>
      <sz val="13"/>
      <name val="Arial CE"/>
      <family val="0"/>
    </font>
    <font>
      <b/>
      <sz val="2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6"/>
      <name val="Arial CE"/>
      <family val="0"/>
    </font>
    <font>
      <b/>
      <sz val="22"/>
      <name val="Arial CE"/>
      <family val="0"/>
    </font>
    <font>
      <sz val="18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16"/>
      <name val="Arial CE"/>
      <family val="0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8"/>
      <name val="Arial CE"/>
      <family val="2"/>
    </font>
    <font>
      <b/>
      <vertAlign val="superscript"/>
      <sz val="11"/>
      <name val="Arial CE"/>
      <family val="0"/>
    </font>
    <font>
      <vertAlign val="superscript"/>
      <sz val="11"/>
      <name val="Arial CE"/>
      <family val="0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b/>
      <sz val="13"/>
      <name val="Arial CE"/>
      <family val="2"/>
    </font>
    <font>
      <b/>
      <sz val="20"/>
      <name val="Arial CE"/>
      <family val="2"/>
    </font>
    <font>
      <sz val="20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medium">
        <color indexed="61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61"/>
      </right>
      <top style="medium">
        <color indexed="61"/>
      </top>
      <bottom style="medium">
        <color indexed="61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/>
      <right>
        <color indexed="63"/>
      </right>
      <top style="medium">
        <color indexed="48"/>
      </top>
      <bottom style="medium">
        <color indexed="48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46"/>
      </left>
      <right>
        <color indexed="63"/>
      </right>
      <top style="medium">
        <color indexed="46"/>
      </top>
      <bottom style="medium">
        <color indexed="46"/>
      </bottom>
    </border>
    <border>
      <left>
        <color indexed="63"/>
      </left>
      <right>
        <color indexed="63"/>
      </right>
      <top style="medium">
        <color indexed="46"/>
      </top>
      <bottom style="medium">
        <color indexed="46"/>
      </bottom>
    </border>
    <border>
      <left>
        <color indexed="63"/>
      </left>
      <right style="medium">
        <color indexed="46"/>
      </right>
      <top style="medium">
        <color indexed="46"/>
      </top>
      <bottom style="medium">
        <color indexed="46"/>
      </bottom>
    </border>
    <border>
      <left style="thin"/>
      <right>
        <color indexed="63"/>
      </right>
      <top style="medium">
        <color indexed="48"/>
      </top>
      <bottom style="medium">
        <color indexed="50"/>
      </bottom>
    </border>
    <border>
      <left style="thin"/>
      <right>
        <color indexed="63"/>
      </right>
      <top style="medium">
        <color indexed="46"/>
      </top>
      <bottom style="medium">
        <color indexed="46"/>
      </bottom>
    </border>
    <border>
      <left style="medium">
        <color indexed="50"/>
      </left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 style="medium">
        <color indexed="50"/>
      </right>
      <top style="medium">
        <color indexed="50"/>
      </top>
      <bottom style="medium">
        <color indexed="50"/>
      </bottom>
    </border>
    <border>
      <left style="thin"/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>
        <color indexed="63"/>
      </right>
      <top style="medium">
        <color indexed="50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thick"/>
      <bottom style="double"/>
    </border>
    <border>
      <left style="medium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medium"/>
      <top style="thick"/>
      <bottom style="double"/>
    </border>
    <border>
      <left style="thin"/>
      <right style="double"/>
      <top style="thick"/>
      <bottom style="double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medium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</cellStyleXfs>
  <cellXfs count="11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0" fillId="0" borderId="1" xfId="0" applyFont="1" applyBorder="1" applyAlignment="1">
      <alignment horizontal="centerContinuous"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1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4" fillId="2" borderId="3" xfId="0" applyFont="1" applyFill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3" xfId="0" applyBorder="1" applyAlignment="1">
      <alignment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0" fillId="2" borderId="4" xfId="0" applyFill="1" applyBorder="1" applyAlignment="1">
      <alignment/>
    </xf>
    <xf numFmtId="0" fontId="7" fillId="2" borderId="4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18" fillId="3" borderId="5" xfId="0" applyFont="1" applyFill="1" applyBorder="1" applyAlignment="1">
      <alignment horizontal="centerContinuous" wrapText="1"/>
    </xf>
    <xf numFmtId="0" fontId="19" fillId="3" borderId="0" xfId="0" applyFont="1" applyFill="1" applyAlignment="1">
      <alignment horizontal="centerContinuous"/>
    </xf>
    <xf numFmtId="0" fontId="19" fillId="3" borderId="3" xfId="0" applyFont="1" applyFill="1" applyBorder="1" applyAlignment="1">
      <alignment horizontal="centerContinuous"/>
    </xf>
    <xf numFmtId="0" fontId="0" fillId="3" borderId="6" xfId="0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20" fillId="2" borderId="7" xfId="0" applyFont="1" applyFill="1" applyBorder="1" applyAlignment="1">
      <alignment horizontal="centerContinuous"/>
    </xf>
    <xf numFmtId="0" fontId="21" fillId="2" borderId="0" xfId="0" applyFont="1" applyFill="1" applyAlignment="1">
      <alignment/>
    </xf>
    <xf numFmtId="0" fontId="10" fillId="2" borderId="7" xfId="0" applyFont="1" applyFill="1" applyBorder="1" applyAlignment="1">
      <alignment horizontal="centerContinuous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13" fillId="0" borderId="8" xfId="0" applyFont="1" applyFill="1" applyBorder="1" applyAlignment="1">
      <alignment horizontal="centerContinuous"/>
    </xf>
    <xf numFmtId="0" fontId="22" fillId="0" borderId="9" xfId="0" applyFont="1" applyBorder="1" applyAlignment="1">
      <alignment/>
    </xf>
    <xf numFmtId="0" fontId="23" fillId="0" borderId="10" xfId="0" applyFont="1" applyBorder="1" applyAlignment="1">
      <alignment/>
    </xf>
    <xf numFmtId="0" fontId="9" fillId="4" borderId="11" xfId="0" applyFont="1" applyFill="1" applyBorder="1" applyAlignment="1">
      <alignment/>
    </xf>
    <xf numFmtId="0" fontId="24" fillId="4" borderId="12" xfId="0" applyFont="1" applyFill="1" applyBorder="1" applyAlignment="1">
      <alignment/>
    </xf>
    <xf numFmtId="0" fontId="9" fillId="3" borderId="0" xfId="0" applyFont="1" applyFill="1" applyAlignment="1">
      <alignment horizontal="centerContinuous"/>
    </xf>
    <xf numFmtId="0" fontId="9" fillId="3" borderId="3" xfId="0" applyFont="1" applyFill="1" applyBorder="1" applyAlignment="1">
      <alignment horizontal="centerContinuous"/>
    </xf>
    <xf numFmtId="0" fontId="26" fillId="5" borderId="0" xfId="0" applyFont="1" applyFill="1" applyBorder="1" applyAlignment="1">
      <alignment horizontal="centerContinuous"/>
    </xf>
    <xf numFmtId="0" fontId="9" fillId="5" borderId="3" xfId="0" applyFont="1" applyFill="1" applyBorder="1" applyAlignment="1">
      <alignment horizontal="centerContinuous"/>
    </xf>
    <xf numFmtId="0" fontId="9" fillId="5" borderId="0" xfId="0" applyFont="1" applyFill="1" applyBorder="1" applyAlignment="1">
      <alignment horizontal="centerContinuous"/>
    </xf>
    <xf numFmtId="0" fontId="9" fillId="6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9" fillId="4" borderId="15" xfId="0" applyFont="1" applyFill="1" applyBorder="1" applyAlignment="1">
      <alignment/>
    </xf>
    <xf numFmtId="0" fontId="7" fillId="3" borderId="0" xfId="0" applyFont="1" applyFill="1" applyAlignment="1">
      <alignment/>
    </xf>
    <xf numFmtId="0" fontId="7" fillId="3" borderId="16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14" fillId="2" borderId="0" xfId="0" applyFont="1" applyFill="1" applyAlignment="1">
      <alignment/>
    </xf>
    <xf numFmtId="0" fontId="27" fillId="2" borderId="5" xfId="0" applyFont="1" applyFill="1" applyBorder="1" applyAlignment="1">
      <alignment textRotation="255"/>
    </xf>
    <xf numFmtId="0" fontId="30" fillId="0" borderId="0" xfId="0" applyFont="1" applyAlignment="1">
      <alignment/>
    </xf>
    <xf numFmtId="0" fontId="13" fillId="2" borderId="7" xfId="0" applyFont="1" applyFill="1" applyBorder="1" applyAlignment="1">
      <alignment horizontal="centerContinuous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Continuous"/>
    </xf>
    <xf numFmtId="0" fontId="38" fillId="0" borderId="0" xfId="20">
      <alignment/>
      <protection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40" fillId="0" borderId="0" xfId="33" applyFont="1" applyFill="1" applyProtection="1">
      <alignment/>
      <protection locked="0"/>
    </xf>
    <xf numFmtId="0" fontId="38" fillId="0" borderId="0" xfId="27" applyFont="1" applyFill="1" applyProtection="1">
      <alignment/>
      <protection locked="0"/>
    </xf>
    <xf numFmtId="0" fontId="38" fillId="0" borderId="0" xfId="33" applyFont="1" applyFill="1" applyProtection="1">
      <alignment/>
      <protection locked="0"/>
    </xf>
    <xf numFmtId="0" fontId="40" fillId="0" borderId="0" xfId="21" applyFont="1">
      <alignment/>
      <protection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 horizontal="centerContinuous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Continuous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43" fillId="3" borderId="17" xfId="0" applyFont="1" applyFill="1" applyBorder="1" applyAlignment="1">
      <alignment horizontal="centerContinuous"/>
    </xf>
    <xf numFmtId="0" fontId="8" fillId="3" borderId="18" xfId="0" applyFont="1" applyFill="1" applyBorder="1" applyAlignment="1">
      <alignment horizontal="centerContinuous"/>
    </xf>
    <xf numFmtId="0" fontId="9" fillId="3" borderId="19" xfId="0" applyFont="1" applyFill="1" applyBorder="1" applyAlignment="1">
      <alignment horizontal="centerContinuous"/>
    </xf>
    <xf numFmtId="0" fontId="4" fillId="0" borderId="0" xfId="0" applyFont="1" applyAlignment="1">
      <alignment/>
    </xf>
    <xf numFmtId="0" fontId="1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13" fillId="0" borderId="8" xfId="0" applyFont="1" applyFill="1" applyBorder="1" applyAlignment="1">
      <alignment horizontal="centerContinuous" vertical="center"/>
    </xf>
    <xf numFmtId="0" fontId="10" fillId="0" borderId="20" xfId="0" applyFont="1" applyBorder="1" applyAlignment="1">
      <alignment horizontal="centerContinuous" vertical="center"/>
    </xf>
    <xf numFmtId="0" fontId="49" fillId="0" borderId="21" xfId="0" applyFont="1" applyFill="1" applyBorder="1" applyAlignment="1">
      <alignment horizontal="centerContinuous"/>
    </xf>
    <xf numFmtId="0" fontId="49" fillId="0" borderId="22" xfId="0" applyFont="1" applyFill="1" applyBorder="1" applyAlignment="1">
      <alignment horizontal="centerContinuous"/>
    </xf>
    <xf numFmtId="0" fontId="49" fillId="0" borderId="23" xfId="0" applyFont="1" applyFill="1" applyBorder="1" applyAlignment="1">
      <alignment horizontal="centerContinuous"/>
    </xf>
    <xf numFmtId="0" fontId="22" fillId="0" borderId="12" xfId="0" applyFont="1" applyFill="1" applyBorder="1" applyAlignment="1">
      <alignment/>
    </xf>
    <xf numFmtId="0" fontId="23" fillId="0" borderId="1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0" fillId="2" borderId="0" xfId="0" applyFont="1" applyFill="1" applyAlignment="1">
      <alignment/>
    </xf>
    <xf numFmtId="0" fontId="4" fillId="0" borderId="24" xfId="0" applyFont="1" applyBorder="1" applyAlignment="1">
      <alignment/>
    </xf>
    <xf numFmtId="0" fontId="50" fillId="0" borderId="0" xfId="0" applyFont="1" applyAlignment="1">
      <alignment/>
    </xf>
    <xf numFmtId="0" fontId="50" fillId="0" borderId="3" xfId="0" applyFont="1" applyBorder="1" applyAlignment="1">
      <alignment/>
    </xf>
    <xf numFmtId="0" fontId="51" fillId="3" borderId="0" xfId="0" applyFont="1" applyFill="1" applyBorder="1" applyAlignment="1">
      <alignment/>
    </xf>
    <xf numFmtId="0" fontId="25" fillId="3" borderId="16" xfId="0" applyFont="1" applyFill="1" applyBorder="1" applyAlignment="1">
      <alignment/>
    </xf>
    <xf numFmtId="0" fontId="25" fillId="3" borderId="0" xfId="0" applyFont="1" applyFill="1" applyBorder="1" applyAlignment="1">
      <alignment/>
    </xf>
    <xf numFmtId="0" fontId="49" fillId="0" borderId="21" xfId="0" applyFont="1" applyFill="1" applyBorder="1" applyAlignment="1">
      <alignment horizontal="centerContinuous"/>
    </xf>
    <xf numFmtId="0" fontId="15" fillId="6" borderId="25" xfId="0" applyFont="1" applyFill="1" applyBorder="1" applyAlignment="1">
      <alignment/>
    </xf>
    <xf numFmtId="0" fontId="9" fillId="7" borderId="25" xfId="0" applyFont="1" applyFill="1" applyBorder="1" applyAlignment="1">
      <alignment/>
    </xf>
    <xf numFmtId="0" fontId="9" fillId="7" borderId="13" xfId="0" applyFont="1" applyFill="1" applyBorder="1" applyAlignment="1">
      <alignment/>
    </xf>
    <xf numFmtId="0" fontId="9" fillId="7" borderId="14" xfId="0" applyFont="1" applyFill="1" applyBorder="1" applyAlignment="1">
      <alignment/>
    </xf>
    <xf numFmtId="49" fontId="15" fillId="6" borderId="11" xfId="0" applyNumberFormat="1" applyFont="1" applyFill="1" applyBorder="1" applyAlignment="1">
      <alignment wrapText="1"/>
    </xf>
    <xf numFmtId="0" fontId="16" fillId="7" borderId="12" xfId="0" applyFont="1" applyFill="1" applyBorder="1" applyAlignment="1">
      <alignment/>
    </xf>
    <xf numFmtId="0" fontId="23" fillId="7" borderId="1" xfId="0" applyFont="1" applyFill="1" applyBorder="1" applyAlignment="1">
      <alignment/>
    </xf>
    <xf numFmtId="0" fontId="9" fillId="6" borderId="15" xfId="0" applyFont="1" applyFill="1" applyBorder="1" applyAlignment="1">
      <alignment/>
    </xf>
    <xf numFmtId="0" fontId="24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52" fillId="0" borderId="21" xfId="0" applyFont="1" applyFill="1" applyBorder="1" applyAlignment="1">
      <alignment horizontal="centerContinuous"/>
    </xf>
    <xf numFmtId="0" fontId="50" fillId="0" borderId="22" xfId="0" applyFont="1" applyBorder="1" applyAlignment="1">
      <alignment horizontal="centerContinuous"/>
    </xf>
    <xf numFmtId="0" fontId="50" fillId="0" borderId="23" xfId="0" applyFont="1" applyBorder="1" applyAlignment="1">
      <alignment horizontal="centerContinuous"/>
    </xf>
    <xf numFmtId="0" fontId="46" fillId="0" borderId="26" xfId="0" applyFont="1" applyBorder="1" applyAlignment="1">
      <alignment horizontal="centerContinuous"/>
    </xf>
    <xf numFmtId="0" fontId="14" fillId="0" borderId="27" xfId="0" applyFont="1" applyBorder="1" applyAlignment="1">
      <alignment horizontal="centerContinuous"/>
    </xf>
    <xf numFmtId="0" fontId="14" fillId="0" borderId="28" xfId="0" applyFont="1" applyBorder="1" applyAlignment="1">
      <alignment horizontal="centerContinuous"/>
    </xf>
    <xf numFmtId="0" fontId="29" fillId="3" borderId="0" xfId="0" applyFont="1" applyFill="1" applyBorder="1" applyAlignment="1">
      <alignment horizontal="centerContinuous"/>
    </xf>
    <xf numFmtId="0" fontId="28" fillId="3" borderId="0" xfId="0" applyFont="1" applyFill="1" applyBorder="1" applyAlignment="1">
      <alignment horizontal="centerContinuous"/>
    </xf>
    <xf numFmtId="0" fontId="9" fillId="3" borderId="0" xfId="0" applyFont="1" applyFill="1" applyBorder="1" applyAlignment="1">
      <alignment horizontal="centerContinuous"/>
    </xf>
    <xf numFmtId="0" fontId="53" fillId="2" borderId="5" xfId="0" applyFont="1" applyFill="1" applyBorder="1" applyAlignment="1">
      <alignment textRotation="255"/>
    </xf>
    <xf numFmtId="0" fontId="4" fillId="0" borderId="29" xfId="0" applyFont="1" applyBorder="1" applyAlignment="1">
      <alignment/>
    </xf>
    <xf numFmtId="0" fontId="50" fillId="0" borderId="30" xfId="0" applyFont="1" applyBorder="1" applyAlignment="1">
      <alignment horizontal="centerContinuous"/>
    </xf>
    <xf numFmtId="0" fontId="53" fillId="2" borderId="5" xfId="0" applyFont="1" applyFill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54" fillId="0" borderId="31" xfId="0" applyFont="1" applyFill="1" applyBorder="1" applyAlignment="1">
      <alignment horizontal="centerContinuous" wrapText="1"/>
    </xf>
    <xf numFmtId="0" fontId="55" fillId="0" borderId="32" xfId="0" applyFont="1" applyBorder="1" applyAlignment="1">
      <alignment horizontal="centerContinuous"/>
    </xf>
    <xf numFmtId="0" fontId="55" fillId="0" borderId="33" xfId="0" applyFont="1" applyBorder="1" applyAlignment="1">
      <alignment horizontal="centerContinuous"/>
    </xf>
    <xf numFmtId="0" fontId="55" fillId="0" borderId="34" xfId="0" applyFont="1" applyBorder="1" applyAlignment="1">
      <alignment horizontal="centerContinuous"/>
    </xf>
    <xf numFmtId="0" fontId="4" fillId="0" borderId="35" xfId="0" applyFont="1" applyBorder="1" applyAlignment="1">
      <alignment/>
    </xf>
    <xf numFmtId="0" fontId="56" fillId="0" borderId="0" xfId="0" applyFont="1" applyAlignment="1">
      <alignment horizontal="centerContinuous"/>
    </xf>
    <xf numFmtId="0" fontId="50" fillId="0" borderId="3" xfId="0" applyFont="1" applyBorder="1" applyAlignment="1">
      <alignment horizontal="centerContinuous"/>
    </xf>
    <xf numFmtId="0" fontId="50" fillId="0" borderId="0" xfId="0" applyFont="1" applyAlignment="1">
      <alignment horizontal="centerContinuous"/>
    </xf>
    <xf numFmtId="0" fontId="54" fillId="0" borderId="31" xfId="0" applyFont="1" applyFill="1" applyBorder="1" applyAlignment="1">
      <alignment horizontal="centerContinuous"/>
    </xf>
    <xf numFmtId="0" fontId="50" fillId="0" borderId="27" xfId="0" applyFont="1" applyBorder="1" applyAlignment="1">
      <alignment horizontal="centerContinuous"/>
    </xf>
    <xf numFmtId="0" fontId="50" fillId="0" borderId="28" xfId="0" applyFont="1" applyBorder="1" applyAlignment="1">
      <alignment horizontal="centerContinuous"/>
    </xf>
    <xf numFmtId="0" fontId="56" fillId="0" borderId="0" xfId="0" applyFont="1" applyBorder="1" applyAlignment="1">
      <alignment horizontal="centerContinuous"/>
    </xf>
    <xf numFmtId="0" fontId="57" fillId="0" borderId="0" xfId="0" applyFont="1" applyAlignment="1">
      <alignment/>
    </xf>
    <xf numFmtId="0" fontId="4" fillId="0" borderId="36" xfId="0" applyFont="1" applyBorder="1" applyAlignment="1">
      <alignment/>
    </xf>
    <xf numFmtId="0" fontId="55" fillId="0" borderId="0" xfId="0" applyFont="1" applyAlignment="1">
      <alignment horizontal="centerContinuous"/>
    </xf>
    <xf numFmtId="0" fontId="55" fillId="0" borderId="0" xfId="0" applyFont="1" applyBorder="1" applyAlignment="1">
      <alignment horizontal="centerContinuous"/>
    </xf>
    <xf numFmtId="0" fontId="0" fillId="3" borderId="37" xfId="0" applyFill="1" applyBorder="1" applyAlignment="1">
      <alignment/>
    </xf>
    <xf numFmtId="0" fontId="29" fillId="3" borderId="4" xfId="0" applyFont="1" applyFill="1" applyBorder="1" applyAlignment="1">
      <alignment horizontal="centerContinuous"/>
    </xf>
    <xf numFmtId="0" fontId="28" fillId="3" borderId="4" xfId="0" applyFont="1" applyFill="1" applyBorder="1" applyAlignment="1">
      <alignment horizontal="centerContinuous"/>
    </xf>
    <xf numFmtId="0" fontId="9" fillId="3" borderId="4" xfId="0" applyFont="1" applyFill="1" applyBorder="1" applyAlignment="1">
      <alignment horizontal="centerContinuous"/>
    </xf>
    <xf numFmtId="0" fontId="9" fillId="3" borderId="38" xfId="0" applyFont="1" applyFill="1" applyBorder="1" applyAlignment="1">
      <alignment/>
    </xf>
    <xf numFmtId="0" fontId="33" fillId="8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Alignment="1">
      <alignment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38" fillId="0" borderId="39" xfId="0" applyFont="1" applyBorder="1" applyAlignment="1">
      <alignment/>
    </xf>
    <xf numFmtId="0" fontId="58" fillId="0" borderId="17" xfId="0" applyFont="1" applyBorder="1" applyAlignment="1">
      <alignment horizontal="left"/>
    </xf>
    <xf numFmtId="0" fontId="58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38" fillId="0" borderId="19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58" fillId="0" borderId="4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41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42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43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38" fillId="0" borderId="44" xfId="0" applyFont="1" applyBorder="1" applyAlignment="1">
      <alignment/>
    </xf>
    <xf numFmtId="0" fontId="61" fillId="0" borderId="12" xfId="0" applyFont="1" applyBorder="1" applyAlignment="1">
      <alignment horizontal="center"/>
    </xf>
    <xf numFmtId="0" fontId="61" fillId="0" borderId="45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2" xfId="0" applyFont="1" applyBorder="1" applyAlignment="1">
      <alignment horizontal="center"/>
    </xf>
    <xf numFmtId="0" fontId="62" fillId="0" borderId="1" xfId="0" applyFont="1" applyBorder="1" applyAlignment="1">
      <alignment horizontal="center"/>
    </xf>
    <xf numFmtId="0" fontId="61" fillId="0" borderId="46" xfId="0" applyFont="1" applyBorder="1" applyAlignment="1">
      <alignment horizontal="center"/>
    </xf>
    <xf numFmtId="0" fontId="61" fillId="0" borderId="47" xfId="0" applyFont="1" applyBorder="1" applyAlignment="1">
      <alignment horizontal="center"/>
    </xf>
    <xf numFmtId="0" fontId="61" fillId="0" borderId="1" xfId="0" applyFont="1" applyBorder="1" applyAlignment="1">
      <alignment horizontal="center"/>
    </xf>
    <xf numFmtId="0" fontId="61" fillId="0" borderId="48" xfId="0" applyFont="1" applyBorder="1" applyAlignment="1">
      <alignment horizontal="center"/>
    </xf>
    <xf numFmtId="0" fontId="62" fillId="0" borderId="45" xfId="0" applyFont="1" applyBorder="1" applyAlignment="1">
      <alignment horizontal="center"/>
    </xf>
    <xf numFmtId="4" fontId="61" fillId="0" borderId="1" xfId="0" applyNumberFormat="1" applyFont="1" applyBorder="1" applyAlignment="1">
      <alignment horizontal="center"/>
    </xf>
    <xf numFmtId="0" fontId="61" fillId="0" borderId="44" xfId="0" applyFont="1" applyBorder="1" applyAlignment="1">
      <alignment horizontal="center"/>
    </xf>
    <xf numFmtId="0" fontId="62" fillId="0" borderId="2" xfId="0" applyFont="1" applyBorder="1" applyAlignment="1">
      <alignment horizontal="center"/>
    </xf>
    <xf numFmtId="0" fontId="38" fillId="0" borderId="45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38" fillId="6" borderId="49" xfId="0" applyFont="1" applyFill="1" applyBorder="1" applyAlignment="1">
      <alignment/>
    </xf>
    <xf numFmtId="3" fontId="38" fillId="0" borderId="25" xfId="0" applyNumberFormat="1" applyFont="1" applyBorder="1" applyAlignment="1">
      <alignment/>
    </xf>
    <xf numFmtId="3" fontId="38" fillId="0" borderId="41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3" xfId="0" applyNumberFormat="1" applyFont="1" applyBorder="1" applyAlignment="1">
      <alignment/>
    </xf>
    <xf numFmtId="3" fontId="38" fillId="0" borderId="0" xfId="0" applyNumberFormat="1" applyFont="1" applyAlignment="1">
      <alignment/>
    </xf>
    <xf numFmtId="3" fontId="38" fillId="0" borderId="50" xfId="0" applyNumberFormat="1" applyFont="1" applyBorder="1" applyAlignment="1">
      <alignment/>
    </xf>
    <xf numFmtId="3" fontId="38" fillId="0" borderId="43" xfId="0" applyNumberFormat="1" applyFont="1" applyBorder="1" applyAlignment="1">
      <alignment/>
    </xf>
    <xf numFmtId="3" fontId="38" fillId="0" borderId="16" xfId="0" applyNumberFormat="1" applyFont="1" applyBorder="1" applyAlignment="1">
      <alignment/>
    </xf>
    <xf numFmtId="3" fontId="38" fillId="0" borderId="51" xfId="0" applyNumberFormat="1" applyFont="1" applyBorder="1" applyAlignment="1">
      <alignment/>
    </xf>
    <xf numFmtId="3" fontId="38" fillId="0" borderId="39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38" fillId="0" borderId="52" xfId="0" applyNumberFormat="1" applyFont="1" applyBorder="1" applyAlignment="1">
      <alignment/>
    </xf>
    <xf numFmtId="3" fontId="38" fillId="0" borderId="53" xfId="0" applyNumberFormat="1" applyFont="1" applyBorder="1" applyAlignment="1">
      <alignment/>
    </xf>
    <xf numFmtId="3" fontId="38" fillId="0" borderId="54" xfId="0" applyNumberFormat="1" applyFont="1" applyBorder="1" applyAlignment="1">
      <alignment/>
    </xf>
    <xf numFmtId="3" fontId="38" fillId="0" borderId="55" xfId="0" applyNumberFormat="1" applyFont="1" applyBorder="1" applyAlignment="1">
      <alignment/>
    </xf>
    <xf numFmtId="3" fontId="38" fillId="0" borderId="56" xfId="0" applyNumberFormat="1" applyFont="1" applyBorder="1" applyAlignment="1">
      <alignment/>
    </xf>
    <xf numFmtId="3" fontId="38" fillId="0" borderId="57" xfId="0" applyNumberFormat="1" applyFont="1" applyBorder="1" applyAlignment="1">
      <alignment/>
    </xf>
    <xf numFmtId="3" fontId="38" fillId="0" borderId="58" xfId="0" applyNumberFormat="1" applyFont="1" applyBorder="1" applyAlignment="1">
      <alignment/>
    </xf>
    <xf numFmtId="3" fontId="38" fillId="0" borderId="59" xfId="0" applyNumberFormat="1" applyFont="1" applyBorder="1" applyAlignment="1">
      <alignment/>
    </xf>
    <xf numFmtId="3" fontId="38" fillId="0" borderId="60" xfId="0" applyNumberFormat="1" applyFont="1" applyBorder="1" applyAlignment="1">
      <alignment/>
    </xf>
    <xf numFmtId="0" fontId="38" fillId="6" borderId="60" xfId="0" applyFont="1" applyFill="1" applyBorder="1" applyAlignment="1">
      <alignment/>
    </xf>
    <xf numFmtId="3" fontId="38" fillId="0" borderId="61" xfId="0" applyNumberFormat="1" applyFont="1" applyBorder="1" applyAlignment="1">
      <alignment/>
    </xf>
    <xf numFmtId="3" fontId="38" fillId="0" borderId="40" xfId="0" applyNumberFormat="1" applyFont="1" applyBorder="1" applyAlignment="1">
      <alignment/>
    </xf>
    <xf numFmtId="3" fontId="38" fillId="0" borderId="62" xfId="0" applyNumberFormat="1" applyFont="1" applyBorder="1" applyAlignment="1">
      <alignment/>
    </xf>
    <xf numFmtId="0" fontId="38" fillId="6" borderId="40" xfId="0" applyFont="1" applyFill="1" applyBorder="1" applyAlignment="1">
      <alignment/>
    </xf>
    <xf numFmtId="3" fontId="38" fillId="0" borderId="63" xfId="0" applyNumberFormat="1" applyFont="1" applyBorder="1" applyAlignment="1">
      <alignment/>
    </xf>
    <xf numFmtId="3" fontId="38" fillId="0" borderId="64" xfId="0" applyNumberFormat="1" applyFont="1" applyBorder="1" applyAlignment="1">
      <alignment/>
    </xf>
    <xf numFmtId="3" fontId="38" fillId="0" borderId="65" xfId="0" applyNumberFormat="1" applyFont="1" applyBorder="1" applyAlignment="1">
      <alignment/>
    </xf>
    <xf numFmtId="3" fontId="38" fillId="0" borderId="66" xfId="0" applyNumberFormat="1" applyFont="1" applyBorder="1" applyAlignment="1">
      <alignment/>
    </xf>
    <xf numFmtId="3" fontId="38" fillId="0" borderId="67" xfId="0" applyNumberFormat="1" applyFont="1" applyBorder="1" applyAlignment="1">
      <alignment/>
    </xf>
    <xf numFmtId="3" fontId="38" fillId="0" borderId="68" xfId="0" applyNumberFormat="1" applyFont="1" applyBorder="1" applyAlignment="1">
      <alignment/>
    </xf>
    <xf numFmtId="3" fontId="38" fillId="0" borderId="69" xfId="0" applyNumberFormat="1" applyFont="1" applyBorder="1" applyAlignment="1">
      <alignment/>
    </xf>
    <xf numFmtId="3" fontId="38" fillId="0" borderId="70" xfId="0" applyNumberFormat="1" applyFont="1" applyBorder="1" applyAlignment="1">
      <alignment/>
    </xf>
    <xf numFmtId="3" fontId="38" fillId="0" borderId="71" xfId="0" applyNumberFormat="1" applyFont="1" applyBorder="1" applyAlignment="1">
      <alignment/>
    </xf>
    <xf numFmtId="0" fontId="64" fillId="6" borderId="72" xfId="0" applyFont="1" applyFill="1" applyBorder="1" applyAlignment="1">
      <alignment/>
    </xf>
    <xf numFmtId="3" fontId="58" fillId="0" borderId="17" xfId="0" applyNumberFormat="1" applyFont="1" applyBorder="1" applyAlignment="1">
      <alignment/>
    </xf>
    <xf numFmtId="3" fontId="58" fillId="0" borderId="73" xfId="0" applyNumberFormat="1" applyFont="1" applyBorder="1" applyAlignment="1">
      <alignment/>
    </xf>
    <xf numFmtId="3" fontId="58" fillId="0" borderId="74" xfId="0" applyNumberFormat="1" applyFont="1" applyBorder="1" applyAlignment="1">
      <alignment/>
    </xf>
    <xf numFmtId="3" fontId="58" fillId="0" borderId="75" xfId="0" applyNumberFormat="1" applyFont="1" applyBorder="1" applyAlignment="1">
      <alignment/>
    </xf>
    <xf numFmtId="3" fontId="58" fillId="0" borderId="76" xfId="0" applyNumberFormat="1" applyFont="1" applyBorder="1" applyAlignment="1">
      <alignment/>
    </xf>
    <xf numFmtId="3" fontId="58" fillId="0" borderId="18" xfId="0" applyNumberFormat="1" applyFont="1" applyBorder="1" applyAlignment="1">
      <alignment/>
    </xf>
    <xf numFmtId="3" fontId="58" fillId="0" borderId="19" xfId="0" applyNumberFormat="1" applyFont="1" applyBorder="1" applyAlignment="1">
      <alignment/>
    </xf>
    <xf numFmtId="3" fontId="58" fillId="0" borderId="72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64" fillId="6" borderId="0" xfId="0" applyFont="1" applyFill="1" applyBorder="1" applyAlignment="1">
      <alignment/>
    </xf>
    <xf numFmtId="3" fontId="58" fillId="0" borderId="0" xfId="0" applyNumberFormat="1" applyFont="1" applyBorder="1" applyAlignment="1">
      <alignment/>
    </xf>
    <xf numFmtId="4" fontId="58" fillId="0" borderId="0" xfId="0" applyNumberFormat="1" applyFont="1" applyBorder="1" applyAlignment="1">
      <alignment/>
    </xf>
    <xf numFmtId="2" fontId="58" fillId="0" borderId="0" xfId="0" applyNumberFormat="1" applyFont="1" applyBorder="1" applyAlignment="1">
      <alignment/>
    </xf>
    <xf numFmtId="0" fontId="65" fillId="0" borderId="0" xfId="0" applyFont="1" applyAlignment="1">
      <alignment/>
    </xf>
    <xf numFmtId="0" fontId="0" fillId="0" borderId="0" xfId="0" applyAlignment="1">
      <alignment horizontal="right"/>
    </xf>
    <xf numFmtId="0" fontId="68" fillId="0" borderId="0" xfId="0" applyFont="1" applyAlignment="1">
      <alignment/>
    </xf>
    <xf numFmtId="0" fontId="59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70" fillId="0" borderId="0" xfId="0" applyFont="1" applyAlignment="1">
      <alignment/>
    </xf>
    <xf numFmtId="0" fontId="59" fillId="0" borderId="69" xfId="0" applyFont="1" applyBorder="1" applyAlignment="1">
      <alignment horizontal="center" vertical="center" wrapText="1"/>
    </xf>
    <xf numFmtId="0" fontId="59" fillId="0" borderId="64" xfId="0" applyFont="1" applyBorder="1" applyAlignment="1">
      <alignment horizontal="center" vertical="center" wrapText="1"/>
    </xf>
    <xf numFmtId="0" fontId="59" fillId="0" borderId="70" xfId="0" applyFont="1" applyBorder="1" applyAlignment="1">
      <alignment horizontal="center" vertical="center" wrapText="1"/>
    </xf>
    <xf numFmtId="0" fontId="59" fillId="0" borderId="68" xfId="0" applyFont="1" applyBorder="1" applyAlignment="1">
      <alignment horizontal="center" vertical="center" wrapText="1"/>
    </xf>
    <xf numFmtId="0" fontId="59" fillId="0" borderId="77" xfId="0" applyFont="1" applyBorder="1" applyAlignment="1">
      <alignment horizontal="center" vertical="center" wrapText="1"/>
    </xf>
    <xf numFmtId="0" fontId="59" fillId="0" borderId="62" xfId="0" applyFont="1" applyBorder="1" applyAlignment="1">
      <alignment horizontal="center" vertical="center" wrapText="1"/>
    </xf>
    <xf numFmtId="0" fontId="40" fillId="0" borderId="78" xfId="0" applyFont="1" applyBorder="1" applyAlignment="1">
      <alignment horizontal="center" vertical="center" wrapText="1"/>
    </xf>
    <xf numFmtId="0" fontId="40" fillId="0" borderId="76" xfId="0" applyFont="1" applyBorder="1" applyAlignment="1">
      <alignment horizontal="center" vertical="center" wrapText="1"/>
    </xf>
    <xf numFmtId="0" fontId="40" fillId="0" borderId="73" xfId="0" applyFont="1" applyBorder="1" applyAlignment="1">
      <alignment horizontal="center" vertical="center" wrapText="1"/>
    </xf>
    <xf numFmtId="0" fontId="40" fillId="0" borderId="74" xfId="0" applyFont="1" applyBorder="1" applyAlignment="1">
      <alignment horizontal="center" vertical="center" wrapText="1"/>
    </xf>
    <xf numFmtId="0" fontId="40" fillId="0" borderId="79" xfId="0" applyFont="1" applyBorder="1" applyAlignment="1">
      <alignment horizontal="center" vertical="center" wrapText="1"/>
    </xf>
    <xf numFmtId="0" fontId="40" fillId="0" borderId="80" xfId="0" applyFont="1" applyBorder="1" applyAlignment="1">
      <alignment/>
    </xf>
    <xf numFmtId="3" fontId="40" fillId="0" borderId="81" xfId="0" applyNumberFormat="1" applyFont="1" applyBorder="1" applyAlignment="1">
      <alignment/>
    </xf>
    <xf numFmtId="3" fontId="40" fillId="0" borderId="82" xfId="0" applyNumberFormat="1" applyFont="1" applyBorder="1" applyAlignment="1">
      <alignment/>
    </xf>
    <xf numFmtId="3" fontId="40" fillId="0" borderId="83" xfId="0" applyNumberFormat="1" applyFont="1" applyBorder="1" applyAlignment="1">
      <alignment/>
    </xf>
    <xf numFmtId="3" fontId="40" fillId="0" borderId="9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2" fontId="40" fillId="0" borderId="84" xfId="0" applyNumberFormat="1" applyFont="1" applyBorder="1" applyAlignment="1">
      <alignment/>
    </xf>
    <xf numFmtId="0" fontId="40" fillId="0" borderId="85" xfId="0" applyFont="1" applyBorder="1" applyAlignment="1">
      <alignment/>
    </xf>
    <xf numFmtId="3" fontId="40" fillId="0" borderId="77" xfId="0" applyNumberFormat="1" applyFont="1" applyBorder="1" applyAlignment="1">
      <alignment/>
    </xf>
    <xf numFmtId="3" fontId="40" fillId="0" borderId="62" xfId="0" applyNumberFormat="1" applyFont="1" applyBorder="1" applyAlignment="1">
      <alignment/>
    </xf>
    <xf numFmtId="3" fontId="40" fillId="0" borderId="86" xfId="0" applyNumberFormat="1" applyFont="1" applyBorder="1" applyAlignment="1">
      <alignment/>
    </xf>
    <xf numFmtId="3" fontId="40" fillId="0" borderId="61" xfId="0" applyNumberFormat="1" applyFont="1" applyBorder="1" applyAlignment="1">
      <alignment/>
    </xf>
    <xf numFmtId="3" fontId="40" fillId="0" borderId="3" xfId="0" applyNumberFormat="1" applyFont="1" applyBorder="1" applyAlignment="1">
      <alignment/>
    </xf>
    <xf numFmtId="2" fontId="40" fillId="0" borderId="87" xfId="0" applyNumberFormat="1" applyFont="1" applyBorder="1" applyAlignment="1">
      <alignment/>
    </xf>
    <xf numFmtId="0" fontId="59" fillId="0" borderId="78" xfId="0" applyFont="1" applyBorder="1" applyAlignment="1">
      <alignment/>
    </xf>
    <xf numFmtId="3" fontId="59" fillId="0" borderId="76" xfId="0" applyNumberFormat="1" applyFont="1" applyBorder="1" applyAlignment="1">
      <alignment/>
    </xf>
    <xf numFmtId="3" fontId="59" fillId="0" borderId="73" xfId="0" applyNumberFormat="1" applyFont="1" applyBorder="1" applyAlignment="1">
      <alignment/>
    </xf>
    <xf numFmtId="3" fontId="59" fillId="0" borderId="74" xfId="0" applyNumberFormat="1" applyFont="1" applyBorder="1" applyAlignment="1">
      <alignment/>
    </xf>
    <xf numFmtId="3" fontId="59" fillId="0" borderId="17" xfId="0" applyNumberFormat="1" applyFont="1" applyBorder="1" applyAlignment="1">
      <alignment/>
    </xf>
    <xf numFmtId="3" fontId="59" fillId="0" borderId="19" xfId="0" applyNumberFormat="1" applyFont="1" applyBorder="1" applyAlignment="1">
      <alignment/>
    </xf>
    <xf numFmtId="2" fontId="59" fillId="0" borderId="88" xfId="0" applyNumberFormat="1" applyFont="1" applyBorder="1" applyAlignment="1">
      <alignment/>
    </xf>
    <xf numFmtId="0" fontId="40" fillId="0" borderId="89" xfId="0" applyFont="1" applyBorder="1" applyAlignment="1">
      <alignment/>
    </xf>
    <xf numFmtId="3" fontId="40" fillId="0" borderId="58" xfId="0" applyNumberFormat="1" applyFont="1" applyBorder="1" applyAlignment="1">
      <alignment/>
    </xf>
    <xf numFmtId="3" fontId="40" fillId="0" borderId="53" xfId="0" applyNumberFormat="1" applyFont="1" applyBorder="1" applyAlignment="1">
      <alignment/>
    </xf>
    <xf numFmtId="3" fontId="40" fillId="0" borderId="59" xfId="0" applyNumberFormat="1" applyFont="1" applyBorder="1" applyAlignment="1">
      <alignment/>
    </xf>
    <xf numFmtId="2" fontId="40" fillId="0" borderId="90" xfId="0" applyNumberFormat="1" applyFont="1" applyBorder="1" applyAlignment="1">
      <alignment/>
    </xf>
    <xf numFmtId="3" fontId="59" fillId="0" borderId="91" xfId="0" applyNumberFormat="1" applyFont="1" applyBorder="1" applyAlignment="1">
      <alignment/>
    </xf>
    <xf numFmtId="3" fontId="59" fillId="0" borderId="42" xfId="0" applyNumberFormat="1" applyFont="1" applyBorder="1" applyAlignment="1">
      <alignment/>
    </xf>
    <xf numFmtId="3" fontId="59" fillId="0" borderId="92" xfId="0" applyNumberFormat="1" applyFont="1" applyBorder="1" applyAlignment="1">
      <alignment/>
    </xf>
    <xf numFmtId="3" fontId="59" fillId="0" borderId="79" xfId="0" applyNumberFormat="1" applyFont="1" applyBorder="1" applyAlignment="1">
      <alignment/>
    </xf>
    <xf numFmtId="0" fontId="40" fillId="0" borderId="93" xfId="0" applyFont="1" applyBorder="1" applyAlignment="1">
      <alignment/>
    </xf>
    <xf numFmtId="3" fontId="40" fillId="0" borderId="43" xfId="0" applyNumberFormat="1" applyFont="1" applyBorder="1" applyAlignment="1">
      <alignment/>
    </xf>
    <xf numFmtId="3" fontId="40" fillId="0" borderId="41" xfId="0" applyNumberFormat="1" applyFont="1" applyBorder="1" applyAlignment="1">
      <alignment/>
    </xf>
    <xf numFmtId="3" fontId="40" fillId="0" borderId="51" xfId="0" applyNumberFormat="1" applyFont="1" applyBorder="1" applyAlignment="1">
      <alignment/>
    </xf>
    <xf numFmtId="2" fontId="40" fillId="0" borderId="94" xfId="0" applyNumberFormat="1" applyFont="1" applyBorder="1" applyAlignment="1">
      <alignment/>
    </xf>
    <xf numFmtId="3" fontId="59" fillId="0" borderId="72" xfId="0" applyNumberFormat="1" applyFont="1" applyBorder="1" applyAlignment="1">
      <alignment/>
    </xf>
    <xf numFmtId="0" fontId="71" fillId="0" borderId="95" xfId="0" applyFont="1" applyBorder="1" applyAlignment="1">
      <alignment/>
    </xf>
    <xf numFmtId="3" fontId="71" fillId="0" borderId="96" xfId="0" applyNumberFormat="1" applyFont="1" applyBorder="1" applyAlignment="1">
      <alignment/>
    </xf>
    <xf numFmtId="3" fontId="71" fillId="0" borderId="97" xfId="0" applyNumberFormat="1" applyFont="1" applyBorder="1" applyAlignment="1">
      <alignment/>
    </xf>
    <xf numFmtId="3" fontId="71" fillId="0" borderId="98" xfId="0" applyNumberFormat="1" applyFont="1" applyBorder="1" applyAlignment="1">
      <alignment/>
    </xf>
    <xf numFmtId="2" fontId="71" fillId="0" borderId="99" xfId="0" applyNumberFormat="1" applyFont="1" applyBorder="1" applyAlignment="1">
      <alignment/>
    </xf>
    <xf numFmtId="0" fontId="72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59" fillId="0" borderId="100" xfId="0" applyFont="1" applyBorder="1" applyAlignment="1">
      <alignment horizontal="center" vertical="center" wrapText="1"/>
    </xf>
    <xf numFmtId="0" fontId="40" fillId="0" borderId="101" xfId="0" applyFont="1" applyBorder="1" applyAlignment="1">
      <alignment horizontal="center" vertical="center" wrapText="1"/>
    </xf>
    <xf numFmtId="0" fontId="40" fillId="0" borderId="91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40" fillId="0" borderId="92" xfId="0" applyFont="1" applyBorder="1" applyAlignment="1">
      <alignment horizontal="center" vertical="center" wrapText="1"/>
    </xf>
    <xf numFmtId="0" fontId="40" fillId="0" borderId="102" xfId="0" applyFont="1" applyBorder="1" applyAlignment="1">
      <alignment horizontal="center" vertical="center" wrapText="1"/>
    </xf>
    <xf numFmtId="2" fontId="59" fillId="0" borderId="103" xfId="0" applyNumberFormat="1" applyFont="1" applyBorder="1" applyAlignment="1">
      <alignment/>
    </xf>
    <xf numFmtId="0" fontId="59" fillId="0" borderId="101" xfId="0" applyFont="1" applyBorder="1" applyAlignment="1">
      <alignment/>
    </xf>
    <xf numFmtId="3" fontId="59" fillId="0" borderId="39" xfId="0" applyNumberFormat="1" applyFont="1" applyBorder="1" applyAlignment="1">
      <alignment/>
    </xf>
    <xf numFmtId="3" fontId="59" fillId="0" borderId="25" xfId="0" applyNumberFormat="1" applyFont="1" applyBorder="1" applyAlignment="1">
      <alignment/>
    </xf>
    <xf numFmtId="3" fontId="59" fillId="0" borderId="14" xfId="0" applyNumberFormat="1" applyFont="1" applyBorder="1" applyAlignment="1">
      <alignment/>
    </xf>
    <xf numFmtId="2" fontId="59" fillId="0" borderId="104" xfId="0" applyNumberFormat="1" applyFont="1" applyBorder="1" applyAlignment="1">
      <alignment/>
    </xf>
    <xf numFmtId="0" fontId="71" fillId="0" borderId="105" xfId="0" applyFont="1" applyBorder="1" applyAlignment="1">
      <alignment/>
    </xf>
    <xf numFmtId="3" fontId="71" fillId="0" borderId="106" xfId="0" applyNumberFormat="1" applyFont="1" applyBorder="1" applyAlignment="1">
      <alignment/>
    </xf>
    <xf numFmtId="3" fontId="71" fillId="0" borderId="107" xfId="0" applyNumberFormat="1" applyFont="1" applyBorder="1" applyAlignment="1">
      <alignment/>
    </xf>
    <xf numFmtId="3" fontId="71" fillId="0" borderId="108" xfId="0" applyNumberFormat="1" applyFont="1" applyBorder="1" applyAlignment="1">
      <alignment/>
    </xf>
    <xf numFmtId="3" fontId="71" fillId="0" borderId="107" xfId="0" applyNumberFormat="1" applyFont="1" applyFill="1" applyBorder="1" applyAlignment="1">
      <alignment/>
    </xf>
    <xf numFmtId="2" fontId="71" fillId="0" borderId="109" xfId="0" applyNumberFormat="1" applyFont="1" applyBorder="1" applyAlignment="1">
      <alignment/>
    </xf>
    <xf numFmtId="0" fontId="40" fillId="0" borderId="103" xfId="0" applyFont="1" applyBorder="1" applyAlignment="1">
      <alignment horizontal="center" vertical="center" wrapText="1"/>
    </xf>
    <xf numFmtId="0" fontId="40" fillId="0" borderId="89" xfId="0" applyFont="1" applyFill="1" applyBorder="1" applyAlignment="1">
      <alignment/>
    </xf>
    <xf numFmtId="0" fontId="59" fillId="0" borderId="0" xfId="21" applyFont="1">
      <alignment/>
      <protection/>
    </xf>
    <xf numFmtId="0" fontId="59" fillId="0" borderId="0" xfId="21" applyFont="1" applyFill="1" applyBorder="1">
      <alignment/>
      <protection/>
    </xf>
    <xf numFmtId="49" fontId="59" fillId="0" borderId="0" xfId="21" applyNumberFormat="1" applyFont="1" applyAlignment="1">
      <alignment horizontal="center" wrapText="1"/>
      <protection/>
    </xf>
    <xf numFmtId="0" fontId="40" fillId="0" borderId="0" xfId="21" applyFont="1" applyAlignment="1">
      <alignment horizontal="centerContinuous"/>
      <protection/>
    </xf>
    <xf numFmtId="0" fontId="40" fillId="0" borderId="0" xfId="21" applyFont="1" applyFill="1" applyAlignment="1">
      <alignment horizontal="right"/>
      <protection/>
    </xf>
    <xf numFmtId="0" fontId="59" fillId="0" borderId="44" xfId="21" applyFont="1" applyBorder="1" applyAlignment="1">
      <alignment horizontal="center" vertical="center" wrapText="1"/>
      <protection/>
    </xf>
    <xf numFmtId="0" fontId="59" fillId="0" borderId="44" xfId="21" applyFont="1" applyFill="1" applyBorder="1" applyAlignment="1">
      <alignment horizontal="center" vertical="center" wrapText="1"/>
      <protection/>
    </xf>
    <xf numFmtId="0" fontId="59" fillId="6" borderId="72" xfId="21" applyFont="1" applyFill="1" applyBorder="1" applyAlignment="1">
      <alignment horizontal="center" vertical="top" wrapText="1"/>
      <protection/>
    </xf>
    <xf numFmtId="0" fontId="40" fillId="6" borderId="72" xfId="21" applyFont="1" applyFill="1" applyBorder="1">
      <alignment/>
      <protection/>
    </xf>
    <xf numFmtId="49" fontId="40" fillId="6" borderId="18" xfId="21" applyNumberFormat="1" applyFont="1" applyFill="1" applyBorder="1" applyAlignment="1">
      <alignment horizontal="center" vertical="center"/>
      <protection/>
    </xf>
    <xf numFmtId="0" fontId="40" fillId="6" borderId="72" xfId="28" applyFont="1" applyFill="1" applyBorder="1" applyAlignment="1">
      <alignment horizontal="center"/>
      <protection/>
    </xf>
    <xf numFmtId="0" fontId="40" fillId="6" borderId="18" xfId="28" applyFont="1" applyFill="1" applyBorder="1" applyAlignment="1">
      <alignment horizontal="center"/>
      <protection/>
    </xf>
    <xf numFmtId="0" fontId="40" fillId="6" borderId="44" xfId="28" applyFont="1" applyFill="1" applyBorder="1" applyAlignment="1">
      <alignment horizontal="center"/>
      <protection/>
    </xf>
    <xf numFmtId="0" fontId="40" fillId="6" borderId="1" xfId="28" applyFont="1" applyFill="1" applyBorder="1" applyAlignment="1">
      <alignment horizontal="center"/>
      <protection/>
    </xf>
    <xf numFmtId="0" fontId="40" fillId="6" borderId="19" xfId="28" applyFont="1" applyFill="1" applyBorder="1" applyAlignment="1">
      <alignment horizontal="center"/>
      <protection/>
    </xf>
    <xf numFmtId="49" fontId="40" fillId="6" borderId="72" xfId="21" applyNumberFormat="1" applyFont="1" applyFill="1" applyBorder="1" applyAlignment="1">
      <alignment horizontal="center" vertical="center"/>
      <protection/>
    </xf>
    <xf numFmtId="49" fontId="40" fillId="6" borderId="14" xfId="21" applyNumberFormat="1" applyFont="1" applyFill="1" applyBorder="1" applyAlignment="1">
      <alignment horizontal="center" vertical="center"/>
      <protection/>
    </xf>
    <xf numFmtId="0" fontId="40" fillId="6" borderId="0" xfId="21" applyFont="1" applyFill="1">
      <alignment/>
      <protection/>
    </xf>
    <xf numFmtId="0" fontId="40" fillId="0" borderId="110" xfId="21" applyFont="1" applyBorder="1">
      <alignment/>
      <protection/>
    </xf>
    <xf numFmtId="0" fontId="59" fillId="9" borderId="18" xfId="21" applyFont="1" applyFill="1" applyBorder="1" applyAlignment="1">
      <alignment horizontal="left"/>
      <protection/>
    </xf>
    <xf numFmtId="3" fontId="59" fillId="0" borderId="72" xfId="21" applyNumberFormat="1" applyFont="1" applyFill="1" applyBorder="1" applyAlignment="1" applyProtection="1">
      <alignment horizontal="right"/>
      <protection locked="0"/>
    </xf>
    <xf numFmtId="3" fontId="40" fillId="2" borderId="72" xfId="21" applyNumberFormat="1" applyFont="1" applyFill="1" applyBorder="1" applyAlignment="1">
      <alignment horizontal="right"/>
      <protection/>
    </xf>
    <xf numFmtId="10" fontId="40" fillId="2" borderId="72" xfId="21" applyNumberFormat="1" applyFont="1" applyFill="1" applyBorder="1" applyAlignment="1">
      <alignment horizontal="right"/>
      <protection/>
    </xf>
    <xf numFmtId="3" fontId="59" fillId="2" borderId="72" xfId="21" applyNumberFormat="1" applyFont="1" applyFill="1" applyBorder="1" applyAlignment="1">
      <alignment horizontal="left"/>
      <protection/>
    </xf>
    <xf numFmtId="10" fontId="40" fillId="2" borderId="60" xfId="21" applyNumberFormat="1" applyFont="1" applyFill="1" applyBorder="1" applyAlignment="1">
      <alignment horizontal="right"/>
      <protection/>
    </xf>
    <xf numFmtId="3" fontId="40" fillId="0" borderId="72" xfId="21" applyNumberFormat="1" applyFont="1" applyBorder="1" applyAlignment="1" applyProtection="1">
      <alignment horizontal="right"/>
      <protection locked="0"/>
    </xf>
    <xf numFmtId="0" fontId="40" fillId="0" borderId="60" xfId="21" applyFont="1" applyBorder="1">
      <alignment/>
      <protection/>
    </xf>
    <xf numFmtId="0" fontId="40" fillId="0" borderId="111" xfId="21" applyFont="1" applyBorder="1" applyAlignment="1">
      <alignment horizontal="left"/>
      <protection/>
    </xf>
    <xf numFmtId="3" fontId="59" fillId="0" borderId="9" xfId="21" applyNumberFormat="1" applyFont="1" applyFill="1" applyBorder="1" applyAlignment="1" applyProtection="1">
      <alignment horizontal="center"/>
      <protection/>
    </xf>
    <xf numFmtId="3" fontId="40" fillId="0" borderId="9" xfId="21" applyNumberFormat="1" applyFont="1" applyBorder="1" applyAlignment="1">
      <alignment horizontal="right"/>
      <protection/>
    </xf>
    <xf numFmtId="3" fontId="40" fillId="0" borderId="9" xfId="21" applyNumberFormat="1" applyFont="1" applyFill="1" applyBorder="1" applyAlignment="1" applyProtection="1">
      <alignment horizontal="center"/>
      <protection/>
    </xf>
    <xf numFmtId="3" fontId="40" fillId="0" borderId="49" xfId="21" applyNumberFormat="1" applyFont="1" applyFill="1" applyBorder="1" applyAlignment="1" applyProtection="1">
      <alignment horizontal="center"/>
      <protection/>
    </xf>
    <xf numFmtId="0" fontId="40" fillId="0" borderId="9" xfId="21" applyFont="1" applyBorder="1" applyAlignment="1" applyProtection="1">
      <alignment horizontal="right"/>
      <protection/>
    </xf>
    <xf numFmtId="3" fontId="40" fillId="0" borderId="60" xfId="21" applyNumberFormat="1" applyFont="1" applyFill="1" applyBorder="1" applyAlignment="1" applyProtection="1">
      <alignment horizontal="right"/>
      <protection/>
    </xf>
    <xf numFmtId="3" fontId="40" fillId="0" borderId="9" xfId="21" applyNumberFormat="1" applyFont="1" applyBorder="1" applyAlignment="1" applyProtection="1">
      <alignment horizontal="right"/>
      <protection/>
    </xf>
    <xf numFmtId="3" fontId="40" fillId="0" borderId="49" xfId="21" applyNumberFormat="1" applyFont="1" applyBorder="1" applyAlignment="1" applyProtection="1">
      <alignment horizontal="right"/>
      <protection/>
    </xf>
    <xf numFmtId="3" fontId="40" fillId="0" borderId="112" xfId="21" applyNumberFormat="1" applyFont="1" applyBorder="1" applyAlignment="1" applyProtection="1">
      <alignment horizontal="right"/>
      <protection/>
    </xf>
    <xf numFmtId="0" fontId="59" fillId="0" borderId="49" xfId="21" applyFont="1" applyBorder="1" applyAlignment="1">
      <alignment horizontal="center"/>
      <protection/>
    </xf>
    <xf numFmtId="0" fontId="59" fillId="9" borderId="111" xfId="21" applyFont="1" applyFill="1" applyBorder="1" applyAlignment="1">
      <alignment horizontal="left"/>
      <protection/>
    </xf>
    <xf numFmtId="3" fontId="59" fillId="0" borderId="9" xfId="21" applyNumberFormat="1" applyFont="1" applyFill="1" applyBorder="1" applyAlignment="1" applyProtection="1">
      <alignment horizontal="right"/>
      <protection/>
    </xf>
    <xf numFmtId="3" fontId="40" fillId="6" borderId="9" xfId="21" applyNumberFormat="1" applyFont="1" applyFill="1" applyBorder="1" applyAlignment="1" applyProtection="1">
      <alignment horizontal="right"/>
      <protection locked="0"/>
    </xf>
    <xf numFmtId="3" fontId="40" fillId="0" borderId="9" xfId="21" applyNumberFormat="1" applyFont="1" applyFill="1" applyBorder="1" applyAlignment="1" applyProtection="1">
      <alignment horizontal="right"/>
      <protection/>
    </xf>
    <xf numFmtId="10" fontId="40" fillId="0" borderId="49" xfId="21" applyNumberFormat="1" applyFont="1" applyFill="1" applyBorder="1" applyAlignment="1" applyProtection="1">
      <alignment horizontal="right"/>
      <protection/>
    </xf>
    <xf numFmtId="3" fontId="40" fillId="0" borderId="9" xfId="21" applyNumberFormat="1" applyFont="1" applyFill="1" applyBorder="1" applyAlignment="1" applyProtection="1">
      <alignment horizontal="right"/>
      <protection locked="0"/>
    </xf>
    <xf numFmtId="10" fontId="75" fillId="2" borderId="60" xfId="21" applyNumberFormat="1" applyFont="1" applyFill="1" applyBorder="1" applyAlignment="1">
      <alignment horizontal="right"/>
      <protection/>
    </xf>
    <xf numFmtId="3" fontId="40" fillId="0" borderId="9" xfId="21" applyNumberFormat="1" applyFont="1" applyBorder="1" applyAlignment="1" applyProtection="1">
      <alignment horizontal="right"/>
      <protection locked="0"/>
    </xf>
    <xf numFmtId="3" fontId="40" fillId="0" borderId="49" xfId="21" applyNumberFormat="1" applyFont="1" applyBorder="1" applyAlignment="1" applyProtection="1">
      <alignment horizontal="right"/>
      <protection locked="0"/>
    </xf>
    <xf numFmtId="3" fontId="40" fillId="0" borderId="112" xfId="21" applyNumberFormat="1" applyFont="1" applyBorder="1" applyAlignment="1" applyProtection="1">
      <alignment horizontal="right"/>
      <protection locked="0"/>
    </xf>
    <xf numFmtId="0" fontId="59" fillId="0" borderId="60" xfId="21" applyFont="1" applyBorder="1" applyAlignment="1">
      <alignment horizontal="center"/>
      <protection/>
    </xf>
    <xf numFmtId="3" fontId="40" fillId="0" borderId="61" xfId="21" applyNumberFormat="1" applyFont="1" applyBorder="1" applyAlignment="1" applyProtection="1">
      <alignment horizontal="right"/>
      <protection locked="0"/>
    </xf>
    <xf numFmtId="3" fontId="59" fillId="0" borderId="60" xfId="21" applyNumberFormat="1" applyFont="1" applyFill="1" applyBorder="1" applyAlignment="1" applyProtection="1">
      <alignment horizontal="right"/>
      <protection/>
    </xf>
    <xf numFmtId="3" fontId="40" fillId="2" borderId="60" xfId="21" applyNumberFormat="1" applyFont="1" applyFill="1" applyBorder="1" applyAlignment="1">
      <alignment horizontal="right"/>
      <protection/>
    </xf>
    <xf numFmtId="3" fontId="40" fillId="0" borderId="49" xfId="21" applyNumberFormat="1" applyFont="1" applyFill="1" applyBorder="1" applyAlignment="1" applyProtection="1">
      <alignment horizontal="right"/>
      <protection locked="0"/>
    </xf>
    <xf numFmtId="0" fontId="40" fillId="0" borderId="111" xfId="21" applyFont="1" applyFill="1" applyBorder="1" applyAlignment="1">
      <alignment horizontal="left"/>
      <protection/>
    </xf>
    <xf numFmtId="3" fontId="40" fillId="0" borderId="9" xfId="21" applyNumberFormat="1" applyFont="1" applyFill="1" applyBorder="1" applyAlignment="1">
      <alignment horizontal="right"/>
      <protection/>
    </xf>
    <xf numFmtId="10" fontId="40" fillId="0" borderId="60" xfId="21" applyNumberFormat="1" applyFont="1" applyFill="1" applyBorder="1" applyAlignment="1" applyProtection="1">
      <alignment horizontal="right"/>
      <protection/>
    </xf>
    <xf numFmtId="3" fontId="40" fillId="0" borderId="49" xfId="21" applyNumberFormat="1" applyFont="1" applyFill="1" applyBorder="1" applyAlignment="1" applyProtection="1">
      <alignment horizontal="right"/>
      <protection/>
    </xf>
    <xf numFmtId="0" fontId="75" fillId="0" borderId="60" xfId="21" applyFont="1" applyBorder="1" applyAlignment="1">
      <alignment horizontal="right"/>
      <protection/>
    </xf>
    <xf numFmtId="0" fontId="75" fillId="0" borderId="111" xfId="21" applyFont="1" applyFill="1" applyBorder="1" applyAlignment="1">
      <alignment horizontal="left" indent="2"/>
      <protection/>
    </xf>
    <xf numFmtId="3" fontId="76" fillId="0" borderId="9" xfId="21" applyNumberFormat="1" applyFont="1" applyFill="1" applyBorder="1" applyAlignment="1" applyProtection="1">
      <alignment horizontal="center"/>
      <protection/>
    </xf>
    <xf numFmtId="3" fontId="75" fillId="6" borderId="9" xfId="21" applyNumberFormat="1" applyFont="1" applyFill="1" applyBorder="1" applyAlignment="1" applyProtection="1">
      <alignment horizontal="right"/>
      <protection locked="0"/>
    </xf>
    <xf numFmtId="3" fontId="75" fillId="0" borderId="9" xfId="21" applyNumberFormat="1" applyFont="1" applyFill="1" applyBorder="1" applyAlignment="1" applyProtection="1">
      <alignment horizontal="center"/>
      <protection/>
    </xf>
    <xf numFmtId="3" fontId="75" fillId="0" borderId="9" xfId="21" applyNumberFormat="1" applyFont="1" applyFill="1" applyBorder="1" applyAlignment="1" applyProtection="1">
      <alignment horizontal="center"/>
      <protection locked="0"/>
    </xf>
    <xf numFmtId="3" fontId="75" fillId="0" borderId="9" xfId="21" applyNumberFormat="1" applyFont="1" applyFill="1" applyBorder="1" applyAlignment="1" applyProtection="1">
      <alignment horizontal="right"/>
      <protection locked="0"/>
    </xf>
    <xf numFmtId="3" fontId="75" fillId="0" borderId="49" xfId="21" applyNumberFormat="1" applyFont="1" applyFill="1" applyBorder="1" applyAlignment="1" applyProtection="1">
      <alignment horizontal="right"/>
      <protection locked="0"/>
    </xf>
    <xf numFmtId="3" fontId="75" fillId="0" borderId="112" xfId="21" applyNumberFormat="1" applyFont="1" applyBorder="1" applyAlignment="1" applyProtection="1">
      <alignment horizontal="right"/>
      <protection locked="0"/>
    </xf>
    <xf numFmtId="0" fontId="75" fillId="0" borderId="0" xfId="21" applyFont="1">
      <alignment/>
      <protection/>
    </xf>
    <xf numFmtId="3" fontId="75" fillId="0" borderId="61" xfId="21" applyNumberFormat="1" applyFont="1" applyFill="1" applyBorder="1" applyAlignment="1" applyProtection="1">
      <alignment horizontal="center"/>
      <protection locked="0"/>
    </xf>
    <xf numFmtId="3" fontId="75" fillId="0" borderId="61" xfId="21" applyNumberFormat="1" applyFont="1" applyFill="1" applyBorder="1" applyAlignment="1" applyProtection="1">
      <alignment horizontal="right"/>
      <protection locked="0"/>
    </xf>
    <xf numFmtId="0" fontId="40" fillId="0" borderId="60" xfId="21" applyFont="1" applyFill="1" applyBorder="1">
      <alignment/>
      <protection/>
    </xf>
    <xf numFmtId="10" fontId="75" fillId="0" borderId="60" xfId="21" applyNumberFormat="1" applyFont="1" applyFill="1" applyBorder="1" applyAlignment="1" applyProtection="1">
      <alignment horizontal="right"/>
      <protection/>
    </xf>
    <xf numFmtId="3" fontId="40" fillId="0" borderId="112" xfId="21" applyNumberFormat="1" applyFont="1" applyFill="1" applyBorder="1" applyAlignment="1" applyProtection="1">
      <alignment horizontal="right"/>
      <protection/>
    </xf>
    <xf numFmtId="0" fontId="40" fillId="0" borderId="0" xfId="21" applyFont="1" applyFill="1">
      <alignment/>
      <protection/>
    </xf>
    <xf numFmtId="3" fontId="75" fillId="0" borderId="60" xfId="21" applyNumberFormat="1" applyFont="1" applyFill="1" applyBorder="1" applyAlignment="1" applyProtection="1">
      <alignment horizontal="center"/>
      <protection locked="0"/>
    </xf>
    <xf numFmtId="3" fontId="40" fillId="10" borderId="9" xfId="21" applyNumberFormat="1" applyFont="1" applyFill="1" applyBorder="1" applyAlignment="1" applyProtection="1">
      <alignment horizontal="right"/>
      <protection locked="0"/>
    </xf>
    <xf numFmtId="3" fontId="40" fillId="11" borderId="9" xfId="21" applyNumberFormat="1" applyFont="1" applyFill="1" applyBorder="1" applyAlignment="1" applyProtection="1">
      <alignment horizontal="right"/>
      <protection locked="0"/>
    </xf>
    <xf numFmtId="10" fontId="40" fillId="0" borderId="60" xfId="21" applyNumberFormat="1" applyFont="1" applyFill="1" applyBorder="1" applyAlignment="1">
      <alignment horizontal="right"/>
      <protection/>
    </xf>
    <xf numFmtId="3" fontId="40" fillId="0" borderId="112" xfId="21" applyNumberFormat="1" applyFont="1" applyBorder="1" applyAlignment="1">
      <alignment horizontal="right"/>
      <protection/>
    </xf>
    <xf numFmtId="0" fontId="40" fillId="0" borderId="71" xfId="21" applyFont="1" applyBorder="1">
      <alignment/>
      <protection/>
    </xf>
    <xf numFmtId="0" fontId="40" fillId="0" borderId="1" xfId="21" applyFont="1" applyBorder="1" applyAlignment="1">
      <alignment horizontal="left"/>
      <protection/>
    </xf>
    <xf numFmtId="3" fontId="59" fillId="0" borderId="12" xfId="21" applyNumberFormat="1" applyFont="1" applyFill="1" applyBorder="1" applyAlignment="1" applyProtection="1">
      <alignment horizontal="center"/>
      <protection/>
    </xf>
    <xf numFmtId="3" fontId="40" fillId="0" borderId="12" xfId="21" applyNumberFormat="1" applyFont="1" applyBorder="1" applyAlignment="1">
      <alignment horizontal="right"/>
      <protection/>
    </xf>
    <xf numFmtId="3" fontId="40" fillId="0" borderId="12" xfId="21" applyNumberFormat="1" applyFont="1" applyFill="1" applyBorder="1" applyAlignment="1" applyProtection="1">
      <alignment horizontal="center"/>
      <protection/>
    </xf>
    <xf numFmtId="3" fontId="40" fillId="0" borderId="44" xfId="21" applyNumberFormat="1" applyFont="1" applyFill="1" applyBorder="1" applyAlignment="1" applyProtection="1">
      <alignment horizontal="center"/>
      <protection/>
    </xf>
    <xf numFmtId="3" fontId="40" fillId="0" borderId="71" xfId="21" applyNumberFormat="1" applyFont="1" applyFill="1" applyBorder="1" applyAlignment="1">
      <alignment horizontal="right"/>
      <protection/>
    </xf>
    <xf numFmtId="10" fontId="40" fillId="0" borderId="71" xfId="21" applyNumberFormat="1" applyFont="1" applyFill="1" applyBorder="1" applyAlignment="1">
      <alignment horizontal="right"/>
      <protection/>
    </xf>
    <xf numFmtId="3" fontId="40" fillId="0" borderId="44" xfId="21" applyNumberFormat="1" applyFont="1" applyBorder="1" applyAlignment="1" applyProtection="1">
      <alignment horizontal="right"/>
      <protection locked="0"/>
    </xf>
    <xf numFmtId="3" fontId="40" fillId="0" borderId="15" xfId="21" applyNumberFormat="1" applyFont="1" applyBorder="1" applyAlignment="1">
      <alignment horizontal="right"/>
      <protection/>
    </xf>
    <xf numFmtId="0" fontId="59" fillId="0" borderId="0" xfId="21" applyFont="1" applyFill="1" applyBorder="1" applyAlignment="1">
      <alignment horizontal="center" vertical="center" wrapText="1"/>
      <protection/>
    </xf>
    <xf numFmtId="0" fontId="40" fillId="0" borderId="0" xfId="22" applyFont="1" applyAlignment="1">
      <alignment/>
      <protection/>
    </xf>
    <xf numFmtId="0" fontId="40" fillId="0" borderId="0" xfId="22" applyFont="1">
      <alignment/>
      <protection/>
    </xf>
    <xf numFmtId="0" fontId="40" fillId="0" borderId="0" xfId="22" applyFont="1" applyAlignment="1">
      <alignment horizontal="left"/>
      <protection/>
    </xf>
    <xf numFmtId="0" fontId="59" fillId="0" borderId="0" xfId="21" applyFont="1" applyAlignment="1">
      <alignment horizontal="left"/>
      <protection/>
    </xf>
    <xf numFmtId="0" fontId="60" fillId="0" borderId="0" xfId="21" applyFont="1">
      <alignment/>
      <protection/>
    </xf>
    <xf numFmtId="0" fontId="60" fillId="0" borderId="0" xfId="21" applyFont="1" applyAlignment="1">
      <alignment horizontal="right"/>
      <protection/>
    </xf>
    <xf numFmtId="0" fontId="77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77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3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7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77" fillId="0" borderId="0" xfId="0" applyFont="1" applyFill="1" applyAlignment="1">
      <alignment/>
    </xf>
    <xf numFmtId="0" fontId="77" fillId="0" borderId="17" xfId="0" applyFont="1" applyFill="1" applyBorder="1" applyAlignment="1">
      <alignment horizontal="centerContinuous" vertical="center"/>
    </xf>
    <xf numFmtId="0" fontId="77" fillId="0" borderId="18" xfId="0" applyFont="1" applyFill="1" applyBorder="1" applyAlignment="1">
      <alignment horizontal="centerContinuous" vertical="center"/>
    </xf>
    <xf numFmtId="0" fontId="77" fillId="0" borderId="19" xfId="0" applyFont="1" applyFill="1" applyBorder="1" applyAlignment="1">
      <alignment horizontal="centerContinuous" vertical="center"/>
    </xf>
    <xf numFmtId="0" fontId="82" fillId="0" borderId="0" xfId="0" applyFont="1" applyFill="1" applyAlignment="1">
      <alignment/>
    </xf>
    <xf numFmtId="0" fontId="77" fillId="0" borderId="1" xfId="0" applyFont="1" applyFill="1" applyBorder="1" applyAlignment="1">
      <alignment horizontal="center"/>
    </xf>
    <xf numFmtId="0" fontId="77" fillId="0" borderId="64" xfId="0" applyFont="1" applyFill="1" applyBorder="1" applyAlignment="1">
      <alignment horizontal="center"/>
    </xf>
    <xf numFmtId="0" fontId="77" fillId="0" borderId="15" xfId="0" applyFont="1" applyFill="1" applyBorder="1" applyAlignment="1">
      <alignment horizontal="center"/>
    </xf>
    <xf numFmtId="0" fontId="77" fillId="0" borderId="45" xfId="0" applyFont="1" applyFill="1" applyBorder="1" applyAlignment="1">
      <alignment horizontal="center"/>
    </xf>
    <xf numFmtId="0" fontId="77" fillId="0" borderId="12" xfId="0" applyFont="1" applyFill="1" applyBorder="1" applyAlignment="1">
      <alignment horizontal="center"/>
    </xf>
    <xf numFmtId="0" fontId="77" fillId="0" borderId="2" xfId="0" applyFont="1" applyFill="1" applyBorder="1" applyAlignment="1">
      <alignment horizontal="center"/>
    </xf>
    <xf numFmtId="4" fontId="80" fillId="0" borderId="74" xfId="0" applyNumberFormat="1" applyFont="1" applyFill="1" applyBorder="1" applyAlignment="1">
      <alignment/>
    </xf>
    <xf numFmtId="0" fontId="81" fillId="0" borderId="60" xfId="0" applyFont="1" applyFill="1" applyBorder="1" applyAlignment="1">
      <alignment/>
    </xf>
    <xf numFmtId="3" fontId="81" fillId="0" borderId="113" xfId="0" applyNumberFormat="1" applyFont="1" applyFill="1" applyBorder="1" applyAlignment="1">
      <alignment/>
    </xf>
    <xf numFmtId="3" fontId="81" fillId="0" borderId="114" xfId="0" applyNumberFormat="1" applyFont="1" applyFill="1" applyBorder="1" applyAlignment="1">
      <alignment/>
    </xf>
    <xf numFmtId="4" fontId="81" fillId="0" borderId="115" xfId="0" applyNumberFormat="1" applyFont="1" applyFill="1" applyBorder="1" applyAlignment="1">
      <alignment/>
    </xf>
    <xf numFmtId="4" fontId="81" fillId="0" borderId="14" xfId="0" applyNumberFormat="1" applyFont="1" applyFill="1" applyBorder="1" applyAlignment="1">
      <alignment/>
    </xf>
    <xf numFmtId="3" fontId="81" fillId="0" borderId="116" xfId="0" applyNumberFormat="1" applyFont="1" applyFill="1" applyBorder="1" applyAlignment="1">
      <alignment/>
    </xf>
    <xf numFmtId="4" fontId="81" fillId="0" borderId="117" xfId="0" applyNumberFormat="1" applyFont="1" applyFill="1" applyBorder="1" applyAlignment="1">
      <alignment/>
    </xf>
    <xf numFmtId="0" fontId="81" fillId="0" borderId="25" xfId="0" applyFont="1" applyFill="1" applyBorder="1" applyAlignment="1">
      <alignment/>
    </xf>
    <xf numFmtId="0" fontId="81" fillId="0" borderId="42" xfId="0" applyFont="1" applyFill="1" applyBorder="1" applyAlignment="1">
      <alignment/>
    </xf>
    <xf numFmtId="169" fontId="81" fillId="0" borderId="14" xfId="0" applyNumberFormat="1" applyFont="1" applyFill="1" applyBorder="1" applyAlignment="1">
      <alignment/>
    </xf>
    <xf numFmtId="3" fontId="81" fillId="0" borderId="117" xfId="0" applyNumberFormat="1" applyFont="1" applyFill="1" applyBorder="1" applyAlignment="1">
      <alignment/>
    </xf>
    <xf numFmtId="3" fontId="81" fillId="0" borderId="118" xfId="0" applyNumberFormat="1" applyFont="1" applyFill="1" applyBorder="1" applyAlignment="1">
      <alignment/>
    </xf>
    <xf numFmtId="3" fontId="81" fillId="0" borderId="82" xfId="0" applyNumberFormat="1" applyFont="1" applyFill="1" applyBorder="1" applyAlignment="1">
      <alignment/>
    </xf>
    <xf numFmtId="4" fontId="81" fillId="0" borderId="112" xfId="0" applyNumberFormat="1" applyFont="1" applyFill="1" applyBorder="1" applyAlignment="1">
      <alignment/>
    </xf>
    <xf numFmtId="4" fontId="81" fillId="0" borderId="59" xfId="0" applyNumberFormat="1" applyFont="1" applyFill="1" applyBorder="1" applyAlignment="1">
      <alignment/>
    </xf>
    <xf numFmtId="3" fontId="81" fillId="0" borderId="52" xfId="0" applyNumberFormat="1" applyFont="1" applyFill="1" applyBorder="1" applyAlignment="1">
      <alignment/>
    </xf>
    <xf numFmtId="3" fontId="81" fillId="0" borderId="53" xfId="0" applyNumberFormat="1" applyFont="1" applyFill="1" applyBorder="1" applyAlignment="1">
      <alignment/>
    </xf>
    <xf numFmtId="4" fontId="81" fillId="0" borderId="56" xfId="0" applyNumberFormat="1" applyFont="1" applyFill="1" applyBorder="1" applyAlignment="1">
      <alignment/>
    </xf>
    <xf numFmtId="0" fontId="81" fillId="0" borderId="52" xfId="0" applyFont="1" applyFill="1" applyBorder="1" applyAlignment="1">
      <alignment/>
    </xf>
    <xf numFmtId="0" fontId="81" fillId="0" borderId="53" xfId="0" applyFont="1" applyFill="1" applyBorder="1" applyAlignment="1">
      <alignment/>
    </xf>
    <xf numFmtId="169" fontId="81" fillId="0" borderId="54" xfId="0" applyNumberFormat="1" applyFont="1" applyFill="1" applyBorder="1" applyAlignment="1">
      <alignment/>
    </xf>
    <xf numFmtId="3" fontId="81" fillId="0" borderId="56" xfId="0" applyNumberFormat="1" applyFont="1" applyFill="1" applyBorder="1" applyAlignment="1">
      <alignment/>
    </xf>
    <xf numFmtId="0" fontId="81" fillId="0" borderId="61" xfId="0" applyFont="1" applyFill="1" applyBorder="1" applyAlignment="1">
      <alignment/>
    </xf>
    <xf numFmtId="0" fontId="81" fillId="0" borderId="41" xfId="0" applyFont="1" applyFill="1" applyBorder="1" applyAlignment="1">
      <alignment/>
    </xf>
    <xf numFmtId="169" fontId="81" fillId="0" borderId="11" xfId="0" applyNumberFormat="1" applyFont="1" applyFill="1" applyBorder="1" applyAlignment="1">
      <alignment/>
    </xf>
    <xf numFmtId="4" fontId="81" fillId="0" borderId="11" xfId="0" applyNumberFormat="1" applyFont="1" applyFill="1" applyBorder="1" applyAlignment="1">
      <alignment/>
    </xf>
    <xf numFmtId="3" fontId="81" fillId="0" borderId="111" xfId="0" applyNumberFormat="1" applyFont="1" applyFill="1" applyBorder="1" applyAlignment="1">
      <alignment/>
    </xf>
    <xf numFmtId="0" fontId="81" fillId="0" borderId="40" xfId="0" applyFont="1" applyFill="1" applyBorder="1" applyAlignment="1">
      <alignment/>
    </xf>
    <xf numFmtId="3" fontId="81" fillId="0" borderId="50" xfId="0" applyNumberFormat="1" applyFont="1" applyFill="1" applyBorder="1" applyAlignment="1">
      <alignment/>
    </xf>
    <xf numFmtId="3" fontId="81" fillId="0" borderId="41" xfId="0" applyNumberFormat="1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4" fontId="81" fillId="0" borderId="0" xfId="0" applyNumberFormat="1" applyFont="1" applyFill="1" applyBorder="1" applyAlignment="1">
      <alignment/>
    </xf>
    <xf numFmtId="0" fontId="80" fillId="0" borderId="72" xfId="0" applyFont="1" applyFill="1" applyBorder="1" applyAlignment="1">
      <alignment/>
    </xf>
    <xf numFmtId="3" fontId="80" fillId="0" borderId="79" xfId="0" applyNumberFormat="1" applyFont="1" applyFill="1" applyBorder="1" applyAlignment="1">
      <alignment/>
    </xf>
    <xf numFmtId="3" fontId="80" fillId="0" borderId="73" xfId="0" applyNumberFormat="1" applyFont="1" applyFill="1" applyBorder="1" applyAlignment="1">
      <alignment/>
    </xf>
    <xf numFmtId="4" fontId="80" fillId="0" borderId="19" xfId="0" applyNumberFormat="1" applyFont="1" applyFill="1" applyBorder="1" applyAlignment="1">
      <alignment/>
    </xf>
    <xf numFmtId="4" fontId="80" fillId="0" borderId="18" xfId="0" applyNumberFormat="1" applyFont="1" applyFill="1" applyBorder="1" applyAlignment="1">
      <alignment/>
    </xf>
    <xf numFmtId="0" fontId="81" fillId="0" borderId="17" xfId="0" applyFont="1" applyFill="1" applyBorder="1" applyAlignment="1">
      <alignment/>
    </xf>
    <xf numFmtId="0" fontId="81" fillId="0" borderId="73" xfId="0" applyFont="1" applyFill="1" applyBorder="1" applyAlignment="1">
      <alignment/>
    </xf>
    <xf numFmtId="169" fontId="81" fillId="0" borderId="19" xfId="0" applyNumberFormat="1" applyFont="1" applyFill="1" applyBorder="1" applyAlignment="1">
      <alignment/>
    </xf>
    <xf numFmtId="3" fontId="80" fillId="0" borderId="18" xfId="0" applyNumberFormat="1" applyFont="1" applyFill="1" applyBorder="1" applyAlignment="1">
      <alignment/>
    </xf>
    <xf numFmtId="0" fontId="81" fillId="0" borderId="116" xfId="0" applyFont="1" applyFill="1" applyBorder="1" applyAlignment="1">
      <alignment/>
    </xf>
    <xf numFmtId="0" fontId="81" fillId="0" borderId="114" xfId="0" applyFont="1" applyFill="1" applyBorder="1" applyAlignment="1">
      <alignment/>
    </xf>
    <xf numFmtId="0" fontId="81" fillId="0" borderId="115" xfId="0" applyFont="1" applyFill="1" applyBorder="1" applyAlignment="1">
      <alignment/>
    </xf>
    <xf numFmtId="0" fontId="81" fillId="0" borderId="117" xfId="0" applyFont="1" applyFill="1" applyBorder="1" applyAlignment="1">
      <alignment/>
    </xf>
    <xf numFmtId="0" fontId="80" fillId="0" borderId="119" xfId="0" applyFont="1" applyFill="1" applyBorder="1" applyAlignment="1">
      <alignment/>
    </xf>
    <xf numFmtId="3" fontId="81" fillId="0" borderId="120" xfId="0" applyNumberFormat="1" applyFont="1" applyFill="1" applyBorder="1" applyAlignment="1">
      <alignment/>
    </xf>
    <xf numFmtId="3" fontId="81" fillId="0" borderId="62" xfId="0" applyNumberFormat="1" applyFont="1" applyFill="1" applyBorder="1" applyAlignment="1">
      <alignment/>
    </xf>
    <xf numFmtId="4" fontId="81" fillId="0" borderId="121" xfId="0" applyNumberFormat="1" applyFont="1" applyFill="1" applyBorder="1" applyAlignment="1">
      <alignment/>
    </xf>
    <xf numFmtId="4" fontId="81" fillId="0" borderId="122" xfId="0" applyNumberFormat="1" applyFont="1" applyFill="1" applyBorder="1" applyAlignment="1">
      <alignment/>
    </xf>
    <xf numFmtId="3" fontId="81" fillId="0" borderId="121" xfId="0" applyNumberFormat="1" applyFont="1" applyFill="1" applyBorder="1" applyAlignment="1">
      <alignment/>
    </xf>
    <xf numFmtId="4" fontId="81" fillId="0" borderId="86" xfId="0" applyNumberFormat="1" applyFont="1" applyFill="1" applyBorder="1" applyAlignment="1">
      <alignment/>
    </xf>
    <xf numFmtId="0" fontId="81" fillId="0" borderId="71" xfId="0" applyFont="1" applyFill="1" applyBorder="1" applyAlignment="1">
      <alignment/>
    </xf>
    <xf numFmtId="3" fontId="81" fillId="0" borderId="68" xfId="0" applyNumberFormat="1" applyFont="1" applyFill="1" applyBorder="1" applyAlignment="1">
      <alignment/>
    </xf>
    <xf numFmtId="3" fontId="81" fillId="0" borderId="64" xfId="0" applyNumberFormat="1" applyFont="1" applyFill="1" applyBorder="1" applyAlignment="1">
      <alignment/>
    </xf>
    <xf numFmtId="4" fontId="81" fillId="0" borderId="65" xfId="0" applyNumberFormat="1" applyFont="1" applyFill="1" applyBorder="1" applyAlignment="1">
      <alignment/>
    </xf>
    <xf numFmtId="3" fontId="81" fillId="0" borderId="67" xfId="0" applyNumberFormat="1" applyFont="1" applyFill="1" applyBorder="1" applyAlignment="1">
      <alignment/>
    </xf>
    <xf numFmtId="4" fontId="81" fillId="0" borderId="67" xfId="0" applyNumberFormat="1" applyFont="1" applyFill="1" applyBorder="1" applyAlignment="1">
      <alignment/>
    </xf>
    <xf numFmtId="3" fontId="81" fillId="0" borderId="63" xfId="0" applyNumberFormat="1" applyFont="1" applyFill="1" applyBorder="1" applyAlignment="1">
      <alignment/>
    </xf>
    <xf numFmtId="0" fontId="83" fillId="0" borderId="0" xfId="21" applyFont="1">
      <alignment/>
      <protection/>
    </xf>
    <xf numFmtId="0" fontId="83" fillId="0" borderId="0" xfId="22" applyFont="1">
      <alignment/>
      <protection/>
    </xf>
    <xf numFmtId="0" fontId="83" fillId="0" borderId="0" xfId="22" applyFont="1" applyAlignment="1">
      <alignment horizontal="left"/>
      <protection/>
    </xf>
    <xf numFmtId="0" fontId="83" fillId="0" borderId="0" xfId="22" applyFont="1" applyAlignment="1">
      <alignment/>
      <protection/>
    </xf>
    <xf numFmtId="0" fontId="83" fillId="0" borderId="0" xfId="0" applyFont="1" applyAlignment="1">
      <alignment horizontal="left"/>
    </xf>
    <xf numFmtId="0" fontId="83" fillId="0" borderId="0" xfId="21" applyFont="1" applyAlignment="1">
      <alignment horizontal="left"/>
      <protection/>
    </xf>
    <xf numFmtId="0" fontId="38" fillId="0" borderId="0" xfId="0" applyFont="1" applyAlignment="1">
      <alignment horizontal="right"/>
    </xf>
    <xf numFmtId="0" fontId="77" fillId="0" borderId="0" xfId="32" applyFont="1" applyFill="1" applyBorder="1">
      <alignment/>
      <protection/>
    </xf>
    <xf numFmtId="0" fontId="68" fillId="0" borderId="0" xfId="21" applyFont="1" applyFill="1" applyAlignment="1">
      <alignment/>
      <protection/>
    </xf>
    <xf numFmtId="0" fontId="68" fillId="0" borderId="0" xfId="21" applyFont="1">
      <alignment/>
      <protection/>
    </xf>
    <xf numFmtId="0" fontId="68" fillId="0" borderId="0" xfId="21" applyFont="1" applyAlignment="1">
      <alignment horizontal="right"/>
      <protection/>
    </xf>
    <xf numFmtId="0" fontId="38" fillId="0" borderId="0" xfId="21" applyFont="1">
      <alignment/>
      <protection/>
    </xf>
    <xf numFmtId="0" fontId="84" fillId="0" borderId="0" xfId="21" applyFont="1" applyAlignment="1">
      <alignment horizontal="left" vertical="top" wrapText="1"/>
      <protection/>
    </xf>
    <xf numFmtId="0" fontId="85" fillId="0" borderId="0" xfId="21" applyFont="1">
      <alignment/>
      <protection/>
    </xf>
    <xf numFmtId="0" fontId="60" fillId="0" borderId="0" xfId="21" applyFont="1" applyAlignment="1">
      <alignment horizontal="center"/>
      <protection/>
    </xf>
    <xf numFmtId="0" fontId="60" fillId="0" borderId="0" xfId="21" applyFont="1" applyAlignment="1">
      <alignment horizontal="left" vertical="top" wrapText="1"/>
      <protection/>
    </xf>
    <xf numFmtId="0" fontId="60" fillId="0" borderId="0" xfId="21" applyFont="1" applyAlignment="1">
      <alignment horizontal="left" wrapText="1"/>
      <protection/>
    </xf>
    <xf numFmtId="0" fontId="60" fillId="0" borderId="0" xfId="21" applyFont="1" applyFill="1" applyAlignment="1">
      <alignment horizontal="right"/>
      <protection/>
    </xf>
    <xf numFmtId="0" fontId="40" fillId="0" borderId="0" xfId="36" applyFont="1" applyBorder="1">
      <alignment/>
      <protection/>
    </xf>
    <xf numFmtId="0" fontId="59" fillId="0" borderId="72" xfId="21" applyFont="1" applyFill="1" applyBorder="1" applyAlignment="1">
      <alignment horizontal="center"/>
      <protection/>
    </xf>
    <xf numFmtId="0" fontId="38" fillId="0" borderId="72" xfId="36" applyFont="1" applyFill="1" applyBorder="1" applyAlignment="1">
      <alignment horizontal="center"/>
      <protection/>
    </xf>
    <xf numFmtId="0" fontId="38" fillId="0" borderId="18" xfId="36" applyFont="1" applyFill="1" applyBorder="1" applyAlignment="1">
      <alignment horizontal="center"/>
      <protection/>
    </xf>
    <xf numFmtId="49" fontId="38" fillId="0" borderId="17" xfId="21" applyNumberFormat="1" applyFont="1" applyFill="1" applyBorder="1" applyAlignment="1">
      <alignment horizontal="center" vertical="center"/>
      <protection/>
    </xf>
    <xf numFmtId="49" fontId="38" fillId="0" borderId="72" xfId="21" applyNumberFormat="1" applyFont="1" applyFill="1" applyBorder="1" applyAlignment="1">
      <alignment horizontal="center" vertical="center"/>
      <protection/>
    </xf>
    <xf numFmtId="49" fontId="38" fillId="0" borderId="19" xfId="21" applyNumberFormat="1" applyFont="1" applyFill="1" applyBorder="1" applyAlignment="1">
      <alignment horizontal="center" vertical="center"/>
      <protection/>
    </xf>
    <xf numFmtId="0" fontId="38" fillId="0" borderId="0" xfId="36" applyFont="1" applyBorder="1">
      <alignment/>
      <protection/>
    </xf>
    <xf numFmtId="0" fontId="60" fillId="0" borderId="40" xfId="21" applyFont="1" applyFill="1" applyBorder="1" applyAlignment="1">
      <alignment horizontal="left"/>
      <protection/>
    </xf>
    <xf numFmtId="3" fontId="60" fillId="0" borderId="11" xfId="21" applyNumberFormat="1" applyFont="1" applyFill="1" applyBorder="1" applyAlignment="1">
      <alignment horizontal="right"/>
      <protection/>
    </xf>
    <xf numFmtId="3" fontId="60" fillId="0" borderId="39" xfId="21" applyNumberFormat="1" applyFont="1" applyFill="1" applyBorder="1" applyAlignment="1">
      <alignment horizontal="right"/>
      <protection/>
    </xf>
    <xf numFmtId="3" fontId="60" fillId="0" borderId="25" xfId="21" applyNumberFormat="1" applyFont="1" applyFill="1" applyBorder="1" applyAlignment="1">
      <alignment horizontal="right"/>
      <protection/>
    </xf>
    <xf numFmtId="4" fontId="60" fillId="0" borderId="40" xfId="21" applyNumberFormat="1" applyFont="1" applyFill="1" applyBorder="1" applyAlignment="1">
      <alignment horizontal="right"/>
      <protection/>
    </xf>
    <xf numFmtId="3" fontId="60" fillId="0" borderId="14" xfId="21" applyNumberFormat="1" applyFont="1" applyFill="1" applyBorder="1" applyAlignment="1">
      <alignment horizontal="right"/>
      <protection/>
    </xf>
    <xf numFmtId="0" fontId="83" fillId="0" borderId="49" xfId="21" applyFont="1" applyFill="1" applyBorder="1" applyAlignment="1">
      <alignment horizontal="left"/>
      <protection/>
    </xf>
    <xf numFmtId="3" fontId="40" fillId="0" borderId="112" xfId="21" applyNumberFormat="1" applyFont="1" applyFill="1" applyBorder="1" applyAlignment="1">
      <alignment horizontal="right"/>
      <protection/>
    </xf>
    <xf numFmtId="4" fontId="40" fillId="0" borderId="40" xfId="21" applyNumberFormat="1" applyFont="1" applyFill="1" applyBorder="1" applyAlignment="1">
      <alignment horizontal="right"/>
      <protection/>
    </xf>
    <xf numFmtId="3" fontId="40" fillId="0" borderId="111" xfId="21" applyNumberFormat="1" applyFont="1" applyFill="1" applyBorder="1" applyAlignment="1">
      <alignment horizontal="right"/>
      <protection/>
    </xf>
    <xf numFmtId="3" fontId="40" fillId="0" borderId="49" xfId="21" applyNumberFormat="1" applyFont="1" applyFill="1" applyBorder="1" applyAlignment="1">
      <alignment horizontal="right"/>
      <protection/>
    </xf>
    <xf numFmtId="4" fontId="40" fillId="0" borderId="60" xfId="21" applyNumberFormat="1" applyFont="1" applyFill="1" applyBorder="1" applyAlignment="1">
      <alignment horizontal="right"/>
      <protection/>
    </xf>
    <xf numFmtId="3" fontId="40" fillId="0" borderId="44" xfId="21" applyNumberFormat="1" applyFont="1" applyFill="1" applyBorder="1" applyAlignment="1">
      <alignment horizontal="right"/>
      <protection/>
    </xf>
    <xf numFmtId="0" fontId="60" fillId="0" borderId="25" xfId="21" applyFont="1" applyFill="1" applyBorder="1" applyAlignment="1">
      <alignment horizontal="left" wrapText="1"/>
      <protection/>
    </xf>
    <xf numFmtId="10" fontId="60" fillId="0" borderId="13" xfId="21" applyNumberFormat="1" applyFont="1" applyFill="1" applyBorder="1" applyAlignment="1">
      <alignment horizontal="right"/>
      <protection/>
    </xf>
    <xf numFmtId="3" fontId="60" fillId="0" borderId="39" xfId="21" applyNumberFormat="1" applyFont="1" applyFill="1" applyBorder="1" applyAlignment="1">
      <alignment horizontal="center"/>
      <protection/>
    </xf>
    <xf numFmtId="3" fontId="60" fillId="0" borderId="13" xfId="21" applyNumberFormat="1" applyFont="1" applyFill="1" applyBorder="1" applyAlignment="1">
      <alignment horizontal="center"/>
      <protection/>
    </xf>
    <xf numFmtId="3" fontId="60" fillId="0" borderId="14" xfId="21" applyNumberFormat="1" applyFont="1" applyFill="1" applyBorder="1" applyAlignment="1">
      <alignment horizontal="center"/>
      <protection/>
    </xf>
    <xf numFmtId="0" fontId="83" fillId="0" borderId="12" xfId="21" applyFont="1" applyFill="1" applyBorder="1" applyAlignment="1">
      <alignment horizontal="left"/>
      <protection/>
    </xf>
    <xf numFmtId="4" fontId="40" fillId="0" borderId="1" xfId="21" applyNumberFormat="1" applyFont="1" applyFill="1" applyBorder="1" applyAlignment="1">
      <alignment horizontal="right"/>
      <protection/>
    </xf>
    <xf numFmtId="3" fontId="40" fillId="0" borderId="44" xfId="21" applyNumberFormat="1" applyFont="1" applyFill="1" applyBorder="1" applyAlignment="1">
      <alignment/>
      <protection/>
    </xf>
    <xf numFmtId="3" fontId="40" fillId="0" borderId="1" xfId="21" applyNumberFormat="1" applyFont="1" applyFill="1" applyBorder="1" applyAlignment="1">
      <alignment horizontal="right"/>
      <protection/>
    </xf>
    <xf numFmtId="3" fontId="40" fillId="0" borderId="15" xfId="21" applyNumberFormat="1" applyFont="1" applyFill="1" applyBorder="1" applyAlignment="1">
      <alignment horizontal="right"/>
      <protection/>
    </xf>
    <xf numFmtId="4" fontId="40" fillId="0" borderId="39" xfId="21" applyNumberFormat="1" applyFont="1" applyFill="1" applyBorder="1" applyAlignment="1">
      <alignment horizontal="right"/>
      <protection/>
    </xf>
    <xf numFmtId="3" fontId="40" fillId="0" borderId="112" xfId="21" applyNumberFormat="1" applyFont="1" applyFill="1" applyBorder="1" applyAlignment="1">
      <alignment horizontal="center"/>
      <protection/>
    </xf>
    <xf numFmtId="3" fontId="40" fillId="0" borderId="111" xfId="21" applyNumberFormat="1" applyFont="1" applyFill="1" applyBorder="1" applyAlignment="1">
      <alignment horizontal="center"/>
      <protection/>
    </xf>
    <xf numFmtId="3" fontId="40" fillId="0" borderId="49" xfId="21" applyNumberFormat="1" applyFont="1" applyFill="1" applyBorder="1" applyAlignment="1">
      <alignment horizontal="center"/>
      <protection/>
    </xf>
    <xf numFmtId="3" fontId="40" fillId="0" borderId="11" xfId="21" applyNumberFormat="1" applyFont="1" applyFill="1" applyBorder="1" applyAlignment="1">
      <alignment horizontal="right"/>
      <protection/>
    </xf>
    <xf numFmtId="3" fontId="40" fillId="0" borderId="12" xfId="21" applyNumberFormat="1" applyFont="1" applyFill="1" applyBorder="1" applyAlignment="1">
      <alignment horizontal="right"/>
      <protection/>
    </xf>
    <xf numFmtId="10" fontId="40" fillId="0" borderId="44" xfId="21" applyNumberFormat="1" applyFont="1" applyFill="1" applyBorder="1" applyAlignment="1">
      <alignment horizontal="right"/>
      <protection/>
    </xf>
    <xf numFmtId="3" fontId="40" fillId="0" borderId="15" xfId="21" applyNumberFormat="1" applyFont="1" applyFill="1" applyBorder="1" applyAlignment="1">
      <alignment horizontal="center"/>
      <protection/>
    </xf>
    <xf numFmtId="3" fontId="40" fillId="0" borderId="1" xfId="21" applyNumberFormat="1" applyFont="1" applyFill="1" applyBorder="1" applyAlignment="1">
      <alignment horizontal="center"/>
      <protection/>
    </xf>
    <xf numFmtId="3" fontId="40" fillId="0" borderId="44" xfId="21" applyNumberFormat="1" applyFont="1" applyFill="1" applyBorder="1" applyAlignment="1">
      <alignment horizontal="center"/>
      <protection/>
    </xf>
    <xf numFmtId="0" fontId="68" fillId="0" borderId="72" xfId="21" applyFont="1" applyFill="1" applyBorder="1" applyAlignment="1">
      <alignment horizontal="left"/>
      <protection/>
    </xf>
    <xf numFmtId="3" fontId="60" fillId="0" borderId="19" xfId="21" applyNumberFormat="1" applyFont="1" applyFill="1" applyBorder="1" applyAlignment="1">
      <alignment horizontal="right"/>
      <protection/>
    </xf>
    <xf numFmtId="3" fontId="60" fillId="0" borderId="72" xfId="21" applyNumberFormat="1" applyFont="1" applyFill="1" applyBorder="1" applyAlignment="1">
      <alignment horizontal="right"/>
      <protection/>
    </xf>
    <xf numFmtId="10" fontId="60" fillId="0" borderId="44" xfId="21" applyNumberFormat="1" applyFont="1" applyFill="1" applyBorder="1" applyAlignment="1">
      <alignment horizontal="right"/>
      <protection/>
    </xf>
    <xf numFmtId="0" fontId="86" fillId="0" borderId="0" xfId="21" applyFont="1">
      <alignment/>
      <protection/>
    </xf>
    <xf numFmtId="0" fontId="70" fillId="0" borderId="0" xfId="23" applyFont="1">
      <alignment/>
      <protection/>
    </xf>
    <xf numFmtId="49" fontId="83" fillId="0" borderId="0" xfId="21" applyNumberFormat="1" applyFont="1" applyBorder="1" applyAlignment="1">
      <alignment horizontal="right" vertical="top" textRotation="180" wrapText="1"/>
      <protection/>
    </xf>
    <xf numFmtId="0" fontId="87" fillId="0" borderId="0" xfId="22" applyFont="1">
      <alignment/>
      <protection/>
    </xf>
    <xf numFmtId="0" fontId="87" fillId="0" borderId="0" xfId="21" applyFont="1">
      <alignment/>
      <protection/>
    </xf>
    <xf numFmtId="0" fontId="87" fillId="0" borderId="0" xfId="21" applyFont="1" applyAlignment="1">
      <alignment/>
      <protection/>
    </xf>
    <xf numFmtId="0" fontId="87" fillId="0" borderId="0" xfId="22" applyFont="1" applyAlignment="1">
      <alignment horizontal="left"/>
      <protection/>
    </xf>
    <xf numFmtId="0" fontId="87" fillId="0" borderId="0" xfId="22" applyFont="1" applyAlignment="1">
      <alignment horizontal="right"/>
      <protection/>
    </xf>
    <xf numFmtId="0" fontId="87" fillId="0" borderId="0" xfId="22" applyFont="1" applyAlignment="1">
      <alignment horizontal="center"/>
      <protection/>
    </xf>
    <xf numFmtId="0" fontId="86" fillId="0" borderId="0" xfId="21" applyFont="1" applyFill="1">
      <alignment/>
      <protection/>
    </xf>
    <xf numFmtId="0" fontId="81" fillId="0" borderId="0" xfId="23" applyFont="1">
      <alignment/>
      <protection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/>
    </xf>
    <xf numFmtId="14" fontId="60" fillId="0" borderId="0" xfId="0" applyNumberFormat="1" applyFont="1" applyAlignment="1">
      <alignment horizontal="left"/>
    </xf>
    <xf numFmtId="14" fontId="38" fillId="0" borderId="39" xfId="0" applyNumberFormat="1" applyFont="1" applyBorder="1" applyAlignment="1">
      <alignment/>
    </xf>
    <xf numFmtId="0" fontId="58" fillId="0" borderId="13" xfId="0" applyFont="1" applyFill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38" fillId="0" borderId="40" xfId="0" applyFont="1" applyBorder="1" applyAlignment="1">
      <alignment/>
    </xf>
    <xf numFmtId="0" fontId="58" fillId="0" borderId="11" xfId="0" applyFont="1" applyFill="1" applyBorder="1" applyAlignment="1">
      <alignment horizontal="center"/>
    </xf>
    <xf numFmtId="0" fontId="58" fillId="0" borderId="13" xfId="0" applyFont="1" applyBorder="1" applyAlignment="1">
      <alignment horizontal="centerContinuous"/>
    </xf>
    <xf numFmtId="0" fontId="58" fillId="0" borderId="14" xfId="0" applyFont="1" applyBorder="1" applyAlignment="1">
      <alignment horizontal="centerContinuous"/>
    </xf>
    <xf numFmtId="0" fontId="58" fillId="0" borderId="40" xfId="0" applyFont="1" applyBorder="1" applyAlignment="1">
      <alignment horizontal="left"/>
    </xf>
    <xf numFmtId="0" fontId="58" fillId="0" borderId="15" xfId="0" applyFont="1" applyFill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72" xfId="0" applyFont="1" applyBorder="1" applyAlignment="1">
      <alignment horizontal="center"/>
    </xf>
    <xf numFmtId="0" fontId="38" fillId="0" borderId="39" xfId="0" applyFont="1" applyFill="1" applyBorder="1" applyAlignment="1">
      <alignment/>
    </xf>
    <xf numFmtId="3" fontId="38" fillId="0" borderId="115" xfId="0" applyNumberFormat="1" applyFont="1" applyFill="1" applyBorder="1" applyAlignment="1">
      <alignment/>
    </xf>
    <xf numFmtId="3" fontId="38" fillId="0" borderId="116" xfId="0" applyNumberFormat="1" applyFont="1" applyFill="1" applyBorder="1" applyAlignment="1">
      <alignment/>
    </xf>
    <xf numFmtId="4" fontId="38" fillId="0" borderId="110" xfId="0" applyNumberFormat="1" applyFont="1" applyFill="1" applyBorder="1" applyAlignment="1">
      <alignment/>
    </xf>
    <xf numFmtId="3" fontId="38" fillId="0" borderId="110" xfId="0" applyNumberFormat="1" applyFont="1" applyFill="1" applyBorder="1" applyAlignment="1">
      <alignment/>
    </xf>
    <xf numFmtId="4" fontId="38" fillId="0" borderId="54" xfId="0" applyNumberFormat="1" applyFont="1" applyFill="1" applyBorder="1" applyAlignment="1">
      <alignment/>
    </xf>
    <xf numFmtId="0" fontId="38" fillId="0" borderId="60" xfId="0" applyFont="1" applyFill="1" applyBorder="1" applyAlignment="1">
      <alignment/>
    </xf>
    <xf numFmtId="3" fontId="38" fillId="0" borderId="60" xfId="0" applyNumberFormat="1" applyFont="1" applyFill="1" applyBorder="1" applyAlignment="1">
      <alignment/>
    </xf>
    <xf numFmtId="3" fontId="38" fillId="0" borderId="52" xfId="0" applyNumberFormat="1" applyFont="1" applyFill="1" applyBorder="1" applyAlignment="1">
      <alignment/>
    </xf>
    <xf numFmtId="4" fontId="38" fillId="0" borderId="60" xfId="0" applyNumberFormat="1" applyFont="1" applyFill="1" applyBorder="1" applyAlignment="1">
      <alignment/>
    </xf>
    <xf numFmtId="0" fontId="38" fillId="0" borderId="119" xfId="0" applyFont="1" applyFill="1" applyBorder="1" applyAlignment="1">
      <alignment/>
    </xf>
    <xf numFmtId="3" fontId="38" fillId="0" borderId="11" xfId="0" applyNumberFormat="1" applyFont="1" applyFill="1" applyBorder="1" applyAlignment="1">
      <alignment/>
    </xf>
    <xf numFmtId="3" fontId="38" fillId="0" borderId="61" xfId="0" applyNumberFormat="1" applyFont="1" applyFill="1" applyBorder="1" applyAlignment="1">
      <alignment/>
    </xf>
    <xf numFmtId="4" fontId="38" fillId="0" borderId="40" xfId="0" applyNumberFormat="1" applyFont="1" applyFill="1" applyBorder="1" applyAlignment="1">
      <alignment/>
    </xf>
    <xf numFmtId="3" fontId="38" fillId="0" borderId="40" xfId="0" applyNumberFormat="1" applyFont="1" applyFill="1" applyBorder="1" applyAlignment="1">
      <alignment/>
    </xf>
    <xf numFmtId="4" fontId="38" fillId="0" borderId="11" xfId="0" applyNumberFormat="1" applyFont="1" applyFill="1" applyBorder="1" applyAlignment="1">
      <alignment/>
    </xf>
    <xf numFmtId="0" fontId="88" fillId="0" borderId="72" xfId="0" applyFont="1" applyFill="1" applyBorder="1" applyAlignment="1">
      <alignment/>
    </xf>
    <xf numFmtId="0" fontId="38" fillId="0" borderId="49" xfId="0" applyFont="1" applyFill="1" applyBorder="1" applyAlignment="1">
      <alignment/>
    </xf>
    <xf numFmtId="3" fontId="38" fillId="0" borderId="112" xfId="0" applyNumberFormat="1" applyFont="1" applyFill="1" applyBorder="1" applyAlignment="1">
      <alignment/>
    </xf>
    <xf numFmtId="3" fontId="38" fillId="0" borderId="9" xfId="0" applyNumberFormat="1" applyFont="1" applyFill="1" applyBorder="1" applyAlignment="1">
      <alignment/>
    </xf>
    <xf numFmtId="4" fontId="38" fillId="0" borderId="49" xfId="0" applyNumberFormat="1" applyFont="1" applyFill="1" applyBorder="1" applyAlignment="1">
      <alignment/>
    </xf>
    <xf numFmtId="3" fontId="38" fillId="0" borderId="49" xfId="0" applyNumberFormat="1" applyFont="1" applyFill="1" applyBorder="1" applyAlignment="1">
      <alignment/>
    </xf>
    <xf numFmtId="4" fontId="38" fillId="0" borderId="112" xfId="0" applyNumberFormat="1" applyFont="1" applyFill="1" applyBorder="1" applyAlignment="1">
      <alignment/>
    </xf>
    <xf numFmtId="3" fontId="38" fillId="0" borderId="122" xfId="0" applyNumberFormat="1" applyFont="1" applyFill="1" applyBorder="1" applyAlignment="1">
      <alignment/>
    </xf>
    <xf numFmtId="3" fontId="38" fillId="0" borderId="120" xfId="0" applyNumberFormat="1" applyFont="1" applyFill="1" applyBorder="1" applyAlignment="1">
      <alignment/>
    </xf>
    <xf numFmtId="3" fontId="38" fillId="0" borderId="119" xfId="0" applyNumberFormat="1" applyFont="1" applyFill="1" applyBorder="1" applyAlignment="1">
      <alignment/>
    </xf>
    <xf numFmtId="4" fontId="38" fillId="0" borderId="119" xfId="0" applyNumberFormat="1" applyFont="1" applyFill="1" applyBorder="1" applyAlignment="1">
      <alignment/>
    </xf>
    <xf numFmtId="4" fontId="38" fillId="0" borderId="122" xfId="0" applyNumberFormat="1" applyFont="1" applyFill="1" applyBorder="1" applyAlignment="1">
      <alignment/>
    </xf>
    <xf numFmtId="3" fontId="38" fillId="0" borderId="54" xfId="0" applyNumberFormat="1" applyFont="1" applyFill="1" applyBorder="1" applyAlignment="1">
      <alignment/>
    </xf>
    <xf numFmtId="4" fontId="38" fillId="0" borderId="60" xfId="0" applyNumberFormat="1" applyFont="1" applyBorder="1" applyAlignment="1">
      <alignment/>
    </xf>
    <xf numFmtId="4" fontId="38" fillId="0" borderId="54" xfId="0" applyNumberFormat="1" applyFont="1" applyBorder="1" applyAlignment="1">
      <alignment/>
    </xf>
    <xf numFmtId="0" fontId="38" fillId="0" borderId="40" xfId="0" applyFont="1" applyFill="1" applyBorder="1" applyAlignment="1">
      <alignment/>
    </xf>
    <xf numFmtId="4" fontId="38" fillId="0" borderId="119" xfId="0" applyNumberFormat="1" applyFont="1" applyBorder="1" applyAlignment="1">
      <alignment/>
    </xf>
    <xf numFmtId="4" fontId="38" fillId="0" borderId="65" xfId="0" applyNumberFormat="1" applyFont="1" applyBorder="1" applyAlignment="1">
      <alignment/>
    </xf>
    <xf numFmtId="3" fontId="38" fillId="0" borderId="14" xfId="0" applyNumberFormat="1" applyFont="1" applyFill="1" applyBorder="1" applyAlignment="1">
      <alignment/>
    </xf>
    <xf numFmtId="4" fontId="38" fillId="0" borderId="39" xfId="0" applyNumberFormat="1" applyFont="1" applyBorder="1" applyAlignment="1">
      <alignment/>
    </xf>
    <xf numFmtId="4" fontId="38" fillId="0" borderId="14" xfId="0" applyNumberFormat="1" applyFont="1" applyBorder="1" applyAlignment="1">
      <alignment/>
    </xf>
    <xf numFmtId="3" fontId="38" fillId="0" borderId="9" xfId="0" applyNumberFormat="1" applyFont="1" applyBorder="1" applyAlignment="1">
      <alignment/>
    </xf>
    <xf numFmtId="4" fontId="38" fillId="0" borderId="49" xfId="0" applyNumberFormat="1" applyFont="1" applyBorder="1" applyAlignment="1">
      <alignment/>
    </xf>
    <xf numFmtId="3" fontId="38" fillId="0" borderId="49" xfId="0" applyNumberFormat="1" applyFont="1" applyBorder="1" applyAlignment="1">
      <alignment/>
    </xf>
    <xf numFmtId="4" fontId="38" fillId="0" borderId="112" xfId="0" applyNumberFormat="1" applyFont="1" applyBorder="1" applyAlignment="1">
      <alignment/>
    </xf>
    <xf numFmtId="4" fontId="38" fillId="0" borderId="122" xfId="0" applyNumberFormat="1" applyFont="1" applyBorder="1" applyAlignment="1">
      <alignment/>
    </xf>
    <xf numFmtId="3" fontId="58" fillId="0" borderId="19" xfId="0" applyNumberFormat="1" applyFont="1" applyFill="1" applyBorder="1" applyAlignment="1">
      <alignment/>
    </xf>
    <xf numFmtId="4" fontId="58" fillId="0" borderId="72" xfId="0" applyNumberFormat="1" applyFont="1" applyBorder="1" applyAlignment="1">
      <alignment/>
    </xf>
    <xf numFmtId="4" fontId="58" fillId="0" borderId="19" xfId="0" applyNumberFormat="1" applyFont="1" applyBorder="1" applyAlignment="1">
      <alignment/>
    </xf>
    <xf numFmtId="3" fontId="58" fillId="0" borderId="0" xfId="0" applyNumberFormat="1" applyFont="1" applyFill="1" applyBorder="1" applyAlignment="1">
      <alignment/>
    </xf>
    <xf numFmtId="4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89" fillId="0" borderId="0" xfId="0" applyFont="1" applyAlignment="1">
      <alignment/>
    </xf>
    <xf numFmtId="0" fontId="58" fillId="0" borderId="0" xfId="0" applyFont="1" applyFill="1" applyAlignment="1">
      <alignment/>
    </xf>
    <xf numFmtId="0" fontId="40" fillId="0" borderId="0" xfId="21" applyFont="1" applyAlignment="1">
      <alignment horizontal="left"/>
      <protection/>
    </xf>
    <xf numFmtId="3" fontId="58" fillId="0" borderId="72" xfId="0" applyNumberFormat="1" applyFont="1" applyFill="1" applyBorder="1" applyAlignment="1">
      <alignment/>
    </xf>
    <xf numFmtId="3" fontId="58" fillId="0" borderId="17" xfId="0" applyNumberFormat="1" applyFont="1" applyFill="1" applyBorder="1" applyAlignment="1">
      <alignment/>
    </xf>
    <xf numFmtId="0" fontId="59" fillId="0" borderId="72" xfId="0" applyFont="1" applyFill="1" applyBorder="1" applyAlignment="1">
      <alignment/>
    </xf>
    <xf numFmtId="3" fontId="59" fillId="0" borderId="19" xfId="0" applyNumberFormat="1" applyFont="1" applyFill="1" applyBorder="1" applyAlignment="1">
      <alignment/>
    </xf>
    <xf numFmtId="4" fontId="59" fillId="0" borderId="72" xfId="0" applyNumberFormat="1" applyFont="1" applyBorder="1" applyAlignment="1">
      <alignment/>
    </xf>
    <xf numFmtId="4" fontId="59" fillId="0" borderId="19" xfId="0" applyNumberFormat="1" applyFont="1" applyBorder="1" applyAlignment="1">
      <alignment/>
    </xf>
    <xf numFmtId="0" fontId="40" fillId="0" borderId="0" xfId="0" applyFont="1" applyAlignment="1">
      <alignment/>
    </xf>
    <xf numFmtId="0" fontId="90" fillId="0" borderId="72" xfId="0" applyFont="1" applyFill="1" applyBorder="1" applyAlignment="1">
      <alignment/>
    </xf>
    <xf numFmtId="3" fontId="64" fillId="0" borderId="19" xfId="0" applyNumberFormat="1" applyFont="1" applyFill="1" applyBorder="1" applyAlignment="1">
      <alignment/>
    </xf>
    <xf numFmtId="3" fontId="64" fillId="0" borderId="17" xfId="0" applyNumberFormat="1" applyFont="1" applyFill="1" applyBorder="1" applyAlignment="1">
      <alignment/>
    </xf>
    <xf numFmtId="4" fontId="64" fillId="0" borderId="72" xfId="0" applyNumberFormat="1" applyFont="1" applyBorder="1" applyAlignment="1">
      <alignment/>
    </xf>
    <xf numFmtId="4" fontId="64" fillId="0" borderId="15" xfId="0" applyNumberFormat="1" applyFont="1" applyBorder="1" applyAlignment="1">
      <alignment/>
    </xf>
    <xf numFmtId="0" fontId="64" fillId="0" borderId="0" xfId="0" applyFont="1" applyAlignment="1">
      <alignment/>
    </xf>
    <xf numFmtId="3" fontId="64" fillId="0" borderId="72" xfId="0" applyNumberFormat="1" applyFont="1" applyFill="1" applyBorder="1" applyAlignment="1">
      <alignment/>
    </xf>
    <xf numFmtId="4" fontId="64" fillId="0" borderId="72" xfId="0" applyNumberFormat="1" applyFont="1" applyFill="1" applyBorder="1" applyAlignment="1">
      <alignment/>
    </xf>
    <xf numFmtId="4" fontId="64" fillId="0" borderId="19" xfId="0" applyNumberFormat="1" applyFont="1" applyFill="1" applyBorder="1" applyAlignment="1">
      <alignment/>
    </xf>
    <xf numFmtId="0" fontId="39" fillId="0" borderId="0" xfId="20" applyFont="1">
      <alignment/>
      <protection/>
    </xf>
    <xf numFmtId="0" fontId="39" fillId="0" borderId="0" xfId="20" applyFont="1" applyAlignment="1">
      <alignment horizontal="center"/>
      <protection/>
    </xf>
    <xf numFmtId="0" fontId="38" fillId="0" borderId="0" xfId="20" applyAlignment="1">
      <alignment horizontal="right"/>
      <protection/>
    </xf>
    <xf numFmtId="0" fontId="92" fillId="0" borderId="91" xfId="20" applyFont="1" applyBorder="1" applyAlignment="1">
      <alignment horizontal="center"/>
      <protection/>
    </xf>
    <xf numFmtId="0" fontId="93" fillId="0" borderId="42" xfId="20" applyFont="1" applyBorder="1" applyAlignment="1">
      <alignment horizontal="center" wrapText="1"/>
      <protection/>
    </xf>
    <xf numFmtId="0" fontId="92" fillId="0" borderId="42" xfId="20" applyFont="1" applyBorder="1" applyAlignment="1">
      <alignment horizontal="center" wrapText="1"/>
      <protection/>
    </xf>
    <xf numFmtId="0" fontId="92" fillId="0" borderId="123" xfId="20" applyFont="1" applyFill="1" applyBorder="1" applyAlignment="1">
      <alignment horizontal="center" wrapText="1"/>
      <protection/>
    </xf>
    <xf numFmtId="0" fontId="92" fillId="0" borderId="42" xfId="20" applyFont="1" applyFill="1" applyBorder="1" applyAlignment="1">
      <alignment horizontal="center" wrapText="1"/>
      <protection/>
    </xf>
    <xf numFmtId="0" fontId="92" fillId="0" borderId="14" xfId="20" applyFont="1" applyFill="1" applyBorder="1" applyAlignment="1">
      <alignment horizontal="center" wrapText="1"/>
      <protection/>
    </xf>
    <xf numFmtId="0" fontId="93" fillId="0" borderId="124" xfId="20" applyFont="1" applyBorder="1" applyAlignment="1">
      <alignment horizontal="center"/>
      <protection/>
    </xf>
    <xf numFmtId="0" fontId="93" fillId="0" borderId="114" xfId="20" applyFont="1" applyBorder="1">
      <alignment/>
      <protection/>
    </xf>
    <xf numFmtId="0" fontId="10" fillId="0" borderId="114" xfId="20" applyFont="1" applyBorder="1">
      <alignment/>
      <protection/>
    </xf>
    <xf numFmtId="0" fontId="86" fillId="0" borderId="114" xfId="20" applyFont="1" applyBorder="1">
      <alignment/>
      <protection/>
    </xf>
    <xf numFmtId="0" fontId="86" fillId="0" borderId="113" xfId="20" applyFont="1" applyBorder="1">
      <alignment/>
      <protection/>
    </xf>
    <xf numFmtId="0" fontId="86" fillId="0" borderId="114" xfId="20" applyFont="1" applyFill="1" applyBorder="1">
      <alignment/>
      <protection/>
    </xf>
    <xf numFmtId="0" fontId="86" fillId="0" borderId="115" xfId="20" applyFont="1" applyFill="1" applyBorder="1">
      <alignment/>
      <protection/>
    </xf>
    <xf numFmtId="0" fontId="92" fillId="0" borderId="58" xfId="20" applyFont="1" applyBorder="1">
      <alignment/>
      <protection/>
    </xf>
    <xf numFmtId="3" fontId="93" fillId="0" borderId="53" xfId="20" applyNumberFormat="1" applyFont="1" applyBorder="1">
      <alignment/>
      <protection/>
    </xf>
    <xf numFmtId="3" fontId="92" fillId="0" borderId="53" xfId="20" applyNumberFormat="1" applyFont="1" applyBorder="1">
      <alignment/>
      <protection/>
    </xf>
    <xf numFmtId="3" fontId="92" fillId="0" borderId="53" xfId="20" applyNumberFormat="1" applyFont="1" applyFill="1" applyBorder="1">
      <alignment/>
      <protection/>
    </xf>
    <xf numFmtId="3" fontId="92" fillId="0" borderId="57" xfId="20" applyNumberFormat="1" applyFont="1" applyBorder="1">
      <alignment/>
      <protection/>
    </xf>
    <xf numFmtId="3" fontId="92" fillId="0" borderId="57" xfId="20" applyNumberFormat="1" applyFont="1" applyFill="1" applyBorder="1">
      <alignment/>
      <protection/>
    </xf>
    <xf numFmtId="3" fontId="92" fillId="0" borderId="54" xfId="20" applyNumberFormat="1" applyFont="1" applyFill="1" applyBorder="1">
      <alignment/>
      <protection/>
    </xf>
    <xf numFmtId="0" fontId="10" fillId="0" borderId="58" xfId="20" applyFont="1" applyBorder="1">
      <alignment/>
      <protection/>
    </xf>
    <xf numFmtId="3" fontId="39" fillId="0" borderId="53" xfId="20" applyNumberFormat="1" applyFont="1" applyBorder="1">
      <alignment/>
      <protection/>
    </xf>
    <xf numFmtId="3" fontId="10" fillId="0" borderId="53" xfId="20" applyNumberFormat="1" applyFont="1" applyBorder="1">
      <alignment/>
      <protection/>
    </xf>
    <xf numFmtId="3" fontId="10" fillId="0" borderId="53" xfId="20" applyNumberFormat="1" applyFont="1" applyFill="1" applyBorder="1">
      <alignment/>
      <protection/>
    </xf>
    <xf numFmtId="3" fontId="10" fillId="0" borderId="57" xfId="20" applyNumberFormat="1" applyFont="1" applyFill="1" applyBorder="1">
      <alignment/>
      <protection/>
    </xf>
    <xf numFmtId="3" fontId="10" fillId="0" borderId="54" xfId="20" applyNumberFormat="1" applyFont="1" applyFill="1" applyBorder="1">
      <alignment/>
      <protection/>
    </xf>
    <xf numFmtId="3" fontId="10" fillId="0" borderId="53" xfId="20" applyNumberFormat="1" applyFont="1" applyBorder="1" applyAlignment="1">
      <alignment horizontal="center"/>
      <protection/>
    </xf>
    <xf numFmtId="3" fontId="10" fillId="0" borderId="57" xfId="20" applyNumberFormat="1" applyFont="1" applyFill="1" applyBorder="1" applyAlignment="1">
      <alignment horizontal="center"/>
      <protection/>
    </xf>
    <xf numFmtId="3" fontId="10" fillId="0" borderId="53" xfId="20" applyNumberFormat="1" applyFont="1" applyFill="1" applyBorder="1" applyAlignment="1">
      <alignment horizontal="center"/>
      <protection/>
    </xf>
    <xf numFmtId="0" fontId="39" fillId="0" borderId="53" xfId="20" applyFont="1" applyBorder="1">
      <alignment/>
      <protection/>
    </xf>
    <xf numFmtId="0" fontId="10" fillId="0" borderId="53" xfId="20" applyFont="1" applyBorder="1">
      <alignment/>
      <protection/>
    </xf>
    <xf numFmtId="0" fontId="86" fillId="0" borderId="53" xfId="20" applyFont="1" applyBorder="1">
      <alignment/>
      <protection/>
    </xf>
    <xf numFmtId="3" fontId="86" fillId="0" borderId="57" xfId="20" applyNumberFormat="1" applyFont="1" applyBorder="1">
      <alignment/>
      <protection/>
    </xf>
    <xf numFmtId="3" fontId="86" fillId="0" borderId="57" xfId="20" applyNumberFormat="1" applyFont="1" applyFill="1" applyBorder="1">
      <alignment/>
      <protection/>
    </xf>
    <xf numFmtId="3" fontId="86" fillId="0" borderId="53" xfId="20" applyNumberFormat="1" applyFont="1" applyFill="1" applyBorder="1">
      <alignment/>
      <protection/>
    </xf>
    <xf numFmtId="3" fontId="86" fillId="0" borderId="54" xfId="20" applyNumberFormat="1" applyFont="1" applyFill="1" applyBorder="1">
      <alignment/>
      <protection/>
    </xf>
    <xf numFmtId="0" fontId="93" fillId="0" borderId="0" xfId="20" applyFont="1">
      <alignment/>
      <protection/>
    </xf>
    <xf numFmtId="3" fontId="92" fillId="0" borderId="53" xfId="20" applyNumberFormat="1" applyFont="1" applyFill="1" applyBorder="1" applyAlignment="1">
      <alignment horizontal="right"/>
      <protection/>
    </xf>
    <xf numFmtId="3" fontId="92" fillId="0" borderId="53" xfId="20" applyNumberFormat="1" applyFont="1" applyFill="1" applyBorder="1" applyAlignment="1">
      <alignment horizontal="center"/>
      <protection/>
    </xf>
    <xf numFmtId="3" fontId="92" fillId="0" borderId="54" xfId="20" applyNumberFormat="1" applyFont="1" applyFill="1" applyBorder="1" applyAlignment="1">
      <alignment horizontal="center"/>
      <protection/>
    </xf>
    <xf numFmtId="3" fontId="10" fillId="0" borderId="57" xfId="20" applyNumberFormat="1" applyFont="1" applyBorder="1">
      <alignment/>
      <protection/>
    </xf>
    <xf numFmtId="3" fontId="86" fillId="0" borderId="53" xfId="20" applyNumberFormat="1" applyFont="1" applyBorder="1">
      <alignment/>
      <protection/>
    </xf>
    <xf numFmtId="0" fontId="38" fillId="0" borderId="53" xfId="20" applyBorder="1">
      <alignment/>
      <protection/>
    </xf>
    <xf numFmtId="3" fontId="38" fillId="0" borderId="57" xfId="20" applyNumberFormat="1" applyBorder="1">
      <alignment/>
      <protection/>
    </xf>
    <xf numFmtId="3" fontId="38" fillId="0" borderId="57" xfId="20" applyNumberFormat="1" applyFill="1" applyBorder="1">
      <alignment/>
      <protection/>
    </xf>
    <xf numFmtId="0" fontId="38" fillId="0" borderId="53" xfId="20" applyFill="1" applyBorder="1">
      <alignment/>
      <protection/>
    </xf>
    <xf numFmtId="0" fontId="38" fillId="0" borderId="54" xfId="20" applyFill="1" applyBorder="1">
      <alignment/>
      <protection/>
    </xf>
    <xf numFmtId="2" fontId="39" fillId="0" borderId="53" xfId="20" applyNumberFormat="1" applyFont="1" applyBorder="1">
      <alignment/>
      <protection/>
    </xf>
    <xf numFmtId="2" fontId="10" fillId="0" borderId="53" xfId="20" applyNumberFormat="1" applyFont="1" applyBorder="1">
      <alignment/>
      <protection/>
    </xf>
    <xf numFmtId="2" fontId="10" fillId="0" borderId="57" xfId="20" applyNumberFormat="1" applyFont="1" applyFill="1" applyBorder="1">
      <alignment/>
      <protection/>
    </xf>
    <xf numFmtId="2" fontId="10" fillId="0" borderId="53" xfId="20" applyNumberFormat="1" applyFont="1" applyFill="1" applyBorder="1">
      <alignment/>
      <protection/>
    </xf>
    <xf numFmtId="2" fontId="10" fillId="0" borderId="53" xfId="20" applyNumberFormat="1" applyFont="1" applyFill="1" applyBorder="1" applyAlignment="1">
      <alignment horizontal="right"/>
      <protection/>
    </xf>
    <xf numFmtId="2" fontId="10" fillId="0" borderId="54" xfId="20" applyNumberFormat="1" applyFont="1" applyFill="1" applyBorder="1">
      <alignment/>
      <protection/>
    </xf>
    <xf numFmtId="2" fontId="10" fillId="0" borderId="57" xfId="20" applyNumberFormat="1" applyFont="1" applyFill="1" applyBorder="1" applyAlignment="1">
      <alignment horizontal="right"/>
      <protection/>
    </xf>
    <xf numFmtId="2" fontId="10" fillId="0" borderId="54" xfId="20" applyNumberFormat="1" applyFont="1" applyFill="1" applyBorder="1" applyAlignment="1">
      <alignment horizontal="right"/>
      <protection/>
    </xf>
    <xf numFmtId="2" fontId="10" fillId="0" borderId="57" xfId="20" applyNumberFormat="1" applyFont="1" applyBorder="1" applyAlignment="1">
      <alignment horizontal="right"/>
      <protection/>
    </xf>
    <xf numFmtId="0" fontId="86" fillId="0" borderId="53" xfId="20" applyFont="1" applyFill="1" applyBorder="1">
      <alignment/>
      <protection/>
    </xf>
    <xf numFmtId="0" fontId="86" fillId="0" borderId="53" xfId="20" applyFont="1" applyFill="1" applyBorder="1" applyAlignment="1">
      <alignment horizontal="right"/>
      <protection/>
    </xf>
    <xf numFmtId="0" fontId="86" fillId="0" borderId="54" xfId="20" applyFont="1" applyFill="1" applyBorder="1">
      <alignment/>
      <protection/>
    </xf>
    <xf numFmtId="3" fontId="10" fillId="0" borderId="53" xfId="20" applyNumberFormat="1" applyFont="1" applyFill="1" applyBorder="1" applyAlignment="1">
      <alignment horizontal="right"/>
      <protection/>
    </xf>
    <xf numFmtId="2" fontId="10" fillId="0" borderId="57" xfId="20" applyNumberFormat="1" applyFont="1" applyBorder="1">
      <alignment/>
      <protection/>
    </xf>
    <xf numFmtId="0" fontId="10" fillId="0" borderId="69" xfId="20" applyFont="1" applyBorder="1">
      <alignment/>
      <protection/>
    </xf>
    <xf numFmtId="0" fontId="39" fillId="0" borderId="64" xfId="20" applyFont="1" applyBorder="1">
      <alignment/>
      <protection/>
    </xf>
    <xf numFmtId="2" fontId="39" fillId="0" borderId="64" xfId="20" applyNumberFormat="1" applyFont="1" applyBorder="1">
      <alignment/>
      <protection/>
    </xf>
    <xf numFmtId="4" fontId="10" fillId="0" borderId="64" xfId="20" applyNumberFormat="1" applyFont="1" applyBorder="1">
      <alignment/>
      <protection/>
    </xf>
    <xf numFmtId="4" fontId="10" fillId="0" borderId="64" xfId="20" applyNumberFormat="1" applyFont="1" applyFill="1" applyBorder="1">
      <alignment/>
      <protection/>
    </xf>
    <xf numFmtId="4" fontId="10" fillId="0" borderId="64" xfId="20" applyNumberFormat="1" applyFont="1" applyFill="1" applyBorder="1" applyAlignment="1">
      <alignment horizontal="right"/>
      <protection/>
    </xf>
    <xf numFmtId="4" fontId="10" fillId="0" borderId="65" xfId="20" applyNumberFormat="1" applyFont="1" applyFill="1" applyBorder="1">
      <alignment/>
      <protection/>
    </xf>
    <xf numFmtId="0" fontId="10" fillId="0" borderId="0" xfId="20" applyFont="1" applyBorder="1">
      <alignment/>
      <protection/>
    </xf>
    <xf numFmtId="0" fontId="39" fillId="0" borderId="0" xfId="20" applyFont="1" applyBorder="1">
      <alignment/>
      <protection/>
    </xf>
    <xf numFmtId="2" fontId="39" fillId="0" borderId="0" xfId="20" applyNumberFormat="1" applyFont="1" applyBorder="1">
      <alignment/>
      <protection/>
    </xf>
    <xf numFmtId="4" fontId="10" fillId="0" borderId="0" xfId="20" applyNumberFormat="1" applyFont="1" applyBorder="1">
      <alignment/>
      <protection/>
    </xf>
    <xf numFmtId="4" fontId="10" fillId="0" borderId="0" xfId="20" applyNumberFormat="1" applyFont="1" applyFill="1" applyBorder="1">
      <alignment/>
      <protection/>
    </xf>
    <xf numFmtId="0" fontId="38" fillId="0" borderId="0" xfId="20" applyBorder="1">
      <alignment/>
      <protection/>
    </xf>
    <xf numFmtId="0" fontId="39" fillId="0" borderId="0" xfId="20" applyFont="1" applyFill="1" applyBorder="1">
      <alignment/>
      <protection/>
    </xf>
    <xf numFmtId="0" fontId="38" fillId="0" borderId="0" xfId="20" applyBorder="1" applyAlignment="1">
      <alignment/>
      <protection/>
    </xf>
    <xf numFmtId="0" fontId="38" fillId="0" borderId="0" xfId="20" applyAlignment="1">
      <alignment/>
      <protection/>
    </xf>
    <xf numFmtId="0" fontId="38" fillId="0" borderId="0" xfId="20" applyFont="1">
      <alignment/>
      <protection/>
    </xf>
    <xf numFmtId="0" fontId="64" fillId="0" borderId="0" xfId="20" applyFont="1">
      <alignment/>
      <protection/>
    </xf>
    <xf numFmtId="0" fontId="64" fillId="0" borderId="0" xfId="20" applyFont="1" applyAlignment="1">
      <alignment horizontal="right"/>
      <protection/>
    </xf>
    <xf numFmtId="3" fontId="40" fillId="0" borderId="0" xfId="0" applyNumberFormat="1" applyFont="1" applyFill="1" applyAlignment="1">
      <alignment/>
    </xf>
    <xf numFmtId="3" fontId="59" fillId="0" borderId="0" xfId="0" applyNumberFormat="1" applyFont="1" applyFill="1" applyAlignment="1">
      <alignment/>
    </xf>
    <xf numFmtId="3" fontId="40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 horizontal="right"/>
    </xf>
    <xf numFmtId="3" fontId="40" fillId="0" borderId="25" xfId="0" applyNumberFormat="1" applyFont="1" applyFill="1" applyBorder="1" applyAlignment="1">
      <alignment/>
    </xf>
    <xf numFmtId="3" fontId="59" fillId="0" borderId="25" xfId="0" applyNumberFormat="1" applyFont="1" applyFill="1" applyBorder="1" applyAlignment="1">
      <alignment horizontal="center"/>
    </xf>
    <xf numFmtId="3" fontId="59" fillId="0" borderId="13" xfId="0" applyNumberFormat="1" applyFont="1" applyFill="1" applyBorder="1" applyAlignment="1">
      <alignment horizontal="center"/>
    </xf>
    <xf numFmtId="3" fontId="40" fillId="0" borderId="25" xfId="0" applyNumberFormat="1" applyFont="1" applyFill="1" applyBorder="1" applyAlignment="1">
      <alignment horizontal="center"/>
    </xf>
    <xf numFmtId="3" fontId="59" fillId="0" borderId="39" xfId="0" applyNumberFormat="1" applyFont="1" applyFill="1" applyBorder="1" applyAlignment="1">
      <alignment horizontal="center"/>
    </xf>
    <xf numFmtId="3" fontId="40" fillId="0" borderId="14" xfId="0" applyNumberFormat="1" applyFont="1" applyFill="1" applyBorder="1" applyAlignment="1">
      <alignment horizontal="center"/>
    </xf>
    <xf numFmtId="3" fontId="40" fillId="0" borderId="14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 horizontal="center"/>
    </xf>
    <xf numFmtId="3" fontId="59" fillId="0" borderId="17" xfId="0" applyNumberFormat="1" applyFont="1" applyFill="1" applyBorder="1" applyAlignment="1">
      <alignment horizontal="center"/>
    </xf>
    <xf numFmtId="3" fontId="59" fillId="0" borderId="73" xfId="0" applyNumberFormat="1" applyFont="1" applyFill="1" applyBorder="1" applyAlignment="1">
      <alignment horizontal="center"/>
    </xf>
    <xf numFmtId="3" fontId="59" fillId="0" borderId="74" xfId="0" applyNumberFormat="1" applyFont="1" applyFill="1" applyBorder="1" applyAlignment="1">
      <alignment horizontal="center"/>
    </xf>
    <xf numFmtId="3" fontId="59" fillId="0" borderId="19" xfId="0" applyNumberFormat="1" applyFont="1" applyFill="1" applyBorder="1" applyAlignment="1">
      <alignment horizontal="center"/>
    </xf>
    <xf numFmtId="3" fontId="59" fillId="0" borderId="76" xfId="0" applyNumberFormat="1" applyFont="1" applyFill="1" applyBorder="1" applyAlignment="1">
      <alignment horizontal="center"/>
    </xf>
    <xf numFmtId="3" fontId="59" fillId="0" borderId="75" xfId="0" applyNumberFormat="1" applyFont="1" applyFill="1" applyBorder="1" applyAlignment="1">
      <alignment horizontal="center"/>
    </xf>
    <xf numFmtId="3" fontId="59" fillId="0" borderId="44" xfId="0" applyNumberFormat="1" applyFont="1" applyFill="1" applyBorder="1" applyAlignment="1">
      <alignment horizontal="center"/>
    </xf>
    <xf numFmtId="3" fontId="40" fillId="0" borderId="9" xfId="0" applyNumberFormat="1" applyFont="1" applyFill="1" applyBorder="1" applyAlignment="1">
      <alignment/>
    </xf>
    <xf numFmtId="3" fontId="40" fillId="0" borderId="116" xfId="0" applyNumberFormat="1" applyFont="1" applyFill="1" applyBorder="1" applyAlignment="1">
      <alignment/>
    </xf>
    <xf numFmtId="3" fontId="40" fillId="0" borderId="114" xfId="0" applyNumberFormat="1" applyFont="1" applyFill="1" applyBorder="1" applyAlignment="1">
      <alignment/>
    </xf>
    <xf numFmtId="3" fontId="40" fillId="0" borderId="115" xfId="0" applyNumberFormat="1" applyFont="1" applyFill="1" applyBorder="1" applyAlignment="1">
      <alignment/>
    </xf>
    <xf numFmtId="3" fontId="40" fillId="0" borderId="42" xfId="0" applyNumberFormat="1" applyFont="1" applyFill="1" applyBorder="1" applyAlignment="1">
      <alignment/>
    </xf>
    <xf numFmtId="3" fontId="40" fillId="0" borderId="82" xfId="0" applyNumberFormat="1" applyFont="1" applyFill="1" applyBorder="1" applyAlignment="1">
      <alignment/>
    </xf>
    <xf numFmtId="3" fontId="40" fillId="0" borderId="91" xfId="0" applyNumberFormat="1" applyFont="1" applyFill="1" applyBorder="1" applyAlignment="1">
      <alignment/>
    </xf>
    <xf numFmtId="3" fontId="40" fillId="0" borderId="16" xfId="0" applyNumberFormat="1" applyFont="1" applyFill="1" applyBorder="1" applyAlignment="1">
      <alignment/>
    </xf>
    <xf numFmtId="3" fontId="40" fillId="0" borderId="13" xfId="0" applyNumberFormat="1" applyFont="1" applyFill="1" applyBorder="1" applyAlignment="1">
      <alignment/>
    </xf>
    <xf numFmtId="3" fontId="40" fillId="0" borderId="92" xfId="0" applyNumberFormat="1" applyFont="1" applyFill="1" applyBorder="1" applyAlignment="1">
      <alignment/>
    </xf>
    <xf numFmtId="3" fontId="40" fillId="0" borderId="43" xfId="0" applyNumberFormat="1" applyFont="1" applyFill="1" applyBorder="1" applyAlignment="1">
      <alignment/>
    </xf>
    <xf numFmtId="3" fontId="40" fillId="0" borderId="3" xfId="0" applyNumberFormat="1" applyFont="1" applyFill="1" applyBorder="1" applyAlignment="1">
      <alignment/>
    </xf>
    <xf numFmtId="3" fontId="40" fillId="0" borderId="11" xfId="0" applyNumberFormat="1" applyFont="1" applyFill="1" applyBorder="1" applyAlignment="1">
      <alignment/>
    </xf>
    <xf numFmtId="3" fontId="40" fillId="0" borderId="39" xfId="0" applyNumberFormat="1" applyFont="1" applyFill="1" applyBorder="1" applyAlignment="1">
      <alignment/>
    </xf>
    <xf numFmtId="3" fontId="40" fillId="0" borderId="124" xfId="0" applyNumberFormat="1" applyFont="1" applyFill="1" applyBorder="1" applyAlignment="1">
      <alignment/>
    </xf>
    <xf numFmtId="3" fontId="40" fillId="0" borderId="125" xfId="0" applyNumberFormat="1" applyFont="1" applyFill="1" applyBorder="1" applyAlignment="1">
      <alignment/>
    </xf>
    <xf numFmtId="3" fontId="40" fillId="0" borderId="126" xfId="0" applyNumberFormat="1" applyFont="1" applyFill="1" applyBorder="1" applyAlignment="1">
      <alignment/>
    </xf>
    <xf numFmtId="3" fontId="40" fillId="0" borderId="112" xfId="0" applyNumberFormat="1" applyFont="1" applyFill="1" applyBorder="1" applyAlignment="1">
      <alignment/>
    </xf>
    <xf numFmtId="3" fontId="40" fillId="0" borderId="52" xfId="0" applyNumberFormat="1" applyFont="1" applyFill="1" applyBorder="1" applyAlignment="1">
      <alignment/>
    </xf>
    <xf numFmtId="3" fontId="40" fillId="0" borderId="53" xfId="0" applyNumberFormat="1" applyFont="1" applyFill="1" applyBorder="1" applyAlignment="1">
      <alignment/>
    </xf>
    <xf numFmtId="3" fontId="40" fillId="0" borderId="54" xfId="0" applyNumberFormat="1" applyFont="1" applyFill="1" applyBorder="1" applyAlignment="1">
      <alignment/>
    </xf>
    <xf numFmtId="3" fontId="40" fillId="0" borderId="58" xfId="0" applyNumberFormat="1" applyFont="1" applyFill="1" applyBorder="1" applyAlignment="1">
      <alignment/>
    </xf>
    <xf numFmtId="3" fontId="40" fillId="0" borderId="111" xfId="0" applyNumberFormat="1" applyFont="1" applyFill="1" applyBorder="1" applyAlignment="1">
      <alignment/>
    </xf>
    <xf numFmtId="3" fontId="40" fillId="0" borderId="59" xfId="0" applyNumberFormat="1" applyFont="1" applyFill="1" applyBorder="1" applyAlignment="1">
      <alignment/>
    </xf>
    <xf numFmtId="3" fontId="40" fillId="0" borderId="55" xfId="0" applyNumberFormat="1" applyFont="1" applyFill="1" applyBorder="1" applyAlignment="1">
      <alignment/>
    </xf>
    <xf numFmtId="3" fontId="40" fillId="0" borderId="57" xfId="0" applyNumberFormat="1" applyFont="1" applyFill="1" applyBorder="1" applyAlignment="1">
      <alignment/>
    </xf>
    <xf numFmtId="3" fontId="40" fillId="0" borderId="56" xfId="0" applyNumberFormat="1" applyFont="1" applyFill="1" applyBorder="1" applyAlignment="1">
      <alignment/>
    </xf>
    <xf numFmtId="3" fontId="40" fillId="0" borderId="60" xfId="0" applyNumberFormat="1" applyFont="1" applyFill="1" applyBorder="1" applyAlignment="1">
      <alignment/>
    </xf>
    <xf numFmtId="3" fontId="40" fillId="0" borderId="61" xfId="0" applyNumberFormat="1" applyFont="1" applyFill="1" applyBorder="1" applyAlignment="1">
      <alignment/>
    </xf>
    <xf numFmtId="3" fontId="40" fillId="0" borderId="41" xfId="0" applyNumberFormat="1" applyFont="1" applyFill="1" applyBorder="1" applyAlignment="1">
      <alignment/>
    </xf>
    <xf numFmtId="3" fontId="40" fillId="0" borderId="40" xfId="0" applyNumberFormat="1" applyFont="1" applyFill="1" applyBorder="1" applyAlignment="1">
      <alignment/>
    </xf>
    <xf numFmtId="3" fontId="40" fillId="0" borderId="69" xfId="0" applyNumberFormat="1" applyFont="1" applyFill="1" applyBorder="1" applyAlignment="1">
      <alignment/>
    </xf>
    <xf numFmtId="3" fontId="40" fillId="0" borderId="67" xfId="0" applyNumberFormat="1" applyFont="1" applyFill="1" applyBorder="1" applyAlignment="1">
      <alignment/>
    </xf>
    <xf numFmtId="3" fontId="40" fillId="0" borderId="70" xfId="0" applyNumberFormat="1" applyFont="1" applyFill="1" applyBorder="1" applyAlignment="1">
      <alignment/>
    </xf>
    <xf numFmtId="3" fontId="59" fillId="0" borderId="17" xfId="0" applyNumberFormat="1" applyFont="1" applyFill="1" applyBorder="1" applyAlignment="1">
      <alignment/>
    </xf>
    <xf numFmtId="3" fontId="59" fillId="0" borderId="76" xfId="0" applyNumberFormat="1" applyFont="1" applyFill="1" applyBorder="1" applyAlignment="1">
      <alignment/>
    </xf>
    <xf numFmtId="3" fontId="59" fillId="0" borderId="73" xfId="0" applyNumberFormat="1" applyFont="1" applyFill="1" applyBorder="1" applyAlignment="1">
      <alignment/>
    </xf>
    <xf numFmtId="3" fontId="59" fillId="0" borderId="74" xfId="0" applyNumberFormat="1" applyFont="1" applyFill="1" applyBorder="1" applyAlignment="1">
      <alignment/>
    </xf>
    <xf numFmtId="3" fontId="59" fillId="0" borderId="72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3" fontId="40" fillId="0" borderId="72" xfId="0" applyNumberFormat="1" applyFont="1" applyFill="1" applyBorder="1" applyAlignment="1">
      <alignment/>
    </xf>
    <xf numFmtId="4" fontId="40" fillId="0" borderId="0" xfId="0" applyNumberFormat="1" applyFont="1" applyFill="1" applyAlignment="1">
      <alignment/>
    </xf>
    <xf numFmtId="3" fontId="59" fillId="0" borderId="0" xfId="0" applyNumberFormat="1" applyFont="1" applyFill="1" applyAlignment="1">
      <alignment horizontal="right"/>
    </xf>
    <xf numFmtId="3" fontId="59" fillId="2" borderId="72" xfId="21" applyNumberFormat="1" applyFont="1" applyFill="1" applyBorder="1" applyAlignment="1">
      <alignment horizontal="right"/>
      <protection/>
    </xf>
    <xf numFmtId="3" fontId="59" fillId="0" borderId="9" xfId="21" applyNumberFormat="1" applyFont="1" applyBorder="1" applyAlignment="1">
      <alignment horizontal="right"/>
      <protection/>
    </xf>
    <xf numFmtId="3" fontId="59" fillId="6" borderId="9" xfId="21" applyNumberFormat="1" applyFont="1" applyFill="1" applyBorder="1" applyAlignment="1" applyProtection="1">
      <alignment horizontal="right"/>
      <protection locked="0"/>
    </xf>
    <xf numFmtId="3" fontId="59" fillId="2" borderId="60" xfId="21" applyNumberFormat="1" applyFont="1" applyFill="1" applyBorder="1" applyAlignment="1">
      <alignment horizontal="right"/>
      <protection/>
    </xf>
    <xf numFmtId="3" fontId="59" fillId="10" borderId="9" xfId="21" applyNumberFormat="1" applyFont="1" applyFill="1" applyBorder="1" applyAlignment="1" applyProtection="1">
      <alignment horizontal="right"/>
      <protection locked="0"/>
    </xf>
    <xf numFmtId="0" fontId="96" fillId="0" borderId="0" xfId="33" applyFont="1" applyFill="1" applyProtection="1">
      <alignment/>
      <protection locked="0"/>
    </xf>
    <xf numFmtId="0" fontId="68" fillId="0" borderId="0" xfId="25" applyNumberFormat="1" applyFont="1" applyFill="1" applyAlignment="1" applyProtection="1">
      <alignment horizontal="centerContinuous"/>
      <protection locked="0"/>
    </xf>
    <xf numFmtId="0" fontId="97" fillId="0" borderId="0" xfId="25" applyNumberFormat="1" applyFont="1" applyFill="1" applyAlignment="1" applyProtection="1">
      <alignment horizontal="centerContinuous"/>
      <protection locked="0"/>
    </xf>
    <xf numFmtId="0" fontId="59" fillId="0" borderId="0" xfId="33" applyFont="1" applyFill="1" applyProtection="1">
      <alignment/>
      <protection locked="0"/>
    </xf>
    <xf numFmtId="0" fontId="59" fillId="0" borderId="72" xfId="27" applyFont="1" applyFill="1" applyBorder="1" applyAlignment="1" applyProtection="1">
      <alignment horizontal="centerContinuous" vertical="top" wrapText="1"/>
      <protection locked="0"/>
    </xf>
    <xf numFmtId="0" fontId="59" fillId="0" borderId="72" xfId="27" applyFont="1" applyFill="1" applyBorder="1" applyAlignment="1" applyProtection="1">
      <alignment horizontal="centerContinuous" vertical="center"/>
      <protection locked="0"/>
    </xf>
    <xf numFmtId="49" fontId="40" fillId="0" borderId="49" xfId="27" applyNumberFormat="1" applyFont="1" applyFill="1" applyBorder="1" applyAlignment="1" applyProtection="1">
      <alignment horizontal="center" wrapText="1"/>
      <protection locked="0"/>
    </xf>
    <xf numFmtId="49" fontId="38" fillId="0" borderId="49" xfId="27" applyNumberFormat="1" applyFont="1" applyFill="1" applyBorder="1" applyAlignment="1" applyProtection="1">
      <alignment horizontal="left" wrapText="1"/>
      <protection locked="0"/>
    </xf>
    <xf numFmtId="3" fontId="40" fillId="0" borderId="49" xfId="33" applyNumberFormat="1" applyFont="1" applyFill="1" applyBorder="1" applyAlignment="1" applyProtection="1">
      <alignment horizontal="center"/>
      <protection locked="0"/>
    </xf>
    <xf numFmtId="3" fontId="40" fillId="0" borderId="111" xfId="33" applyNumberFormat="1" applyFont="1" applyFill="1" applyBorder="1" applyAlignment="1" applyProtection="1">
      <alignment horizontal="center"/>
      <protection locked="0"/>
    </xf>
    <xf numFmtId="3" fontId="40" fillId="0" borderId="49" xfId="33" applyNumberFormat="1" applyFont="1" applyFill="1" applyBorder="1" applyAlignment="1" applyProtection="1">
      <alignment horizontal="center"/>
      <protection locked="0"/>
    </xf>
    <xf numFmtId="49" fontId="40" fillId="0" borderId="49" xfId="27" applyNumberFormat="1" applyFont="1" applyFill="1" applyBorder="1" applyAlignment="1" applyProtection="1">
      <alignment horizontal="center" vertical="top"/>
      <protection locked="0"/>
    </xf>
    <xf numFmtId="3" fontId="40" fillId="0" borderId="49" xfId="33" applyNumberFormat="1" applyFont="1" applyFill="1" applyBorder="1" applyAlignment="1" applyProtection="1">
      <alignment horizontal="right" vertical="top"/>
      <protection locked="0"/>
    </xf>
    <xf numFmtId="3" fontId="40" fillId="0" borderId="111" xfId="33" applyNumberFormat="1" applyFont="1" applyFill="1" applyBorder="1" applyAlignment="1" applyProtection="1">
      <alignment horizontal="right" vertical="top"/>
      <protection locked="0"/>
    </xf>
    <xf numFmtId="3" fontId="40" fillId="0" borderId="49" xfId="33" applyNumberFormat="1" applyFont="1" applyFill="1" applyBorder="1" applyAlignment="1" applyProtection="1">
      <alignment horizontal="right" vertical="top"/>
      <protection locked="0"/>
    </xf>
    <xf numFmtId="9" fontId="40" fillId="0" borderId="49" xfId="33" applyNumberFormat="1" applyFont="1" applyFill="1" applyBorder="1" applyAlignment="1" applyProtection="1">
      <alignment horizontal="right" vertical="top"/>
      <protection locked="0"/>
    </xf>
    <xf numFmtId="3" fontId="40" fillId="0" borderId="60" xfId="33" applyNumberFormat="1" applyFont="1" applyFill="1" applyBorder="1" applyAlignment="1" applyProtection="1">
      <alignment horizontal="right" vertical="top"/>
      <protection locked="0"/>
    </xf>
    <xf numFmtId="3" fontId="40" fillId="0" borderId="56" xfId="33" applyNumberFormat="1" applyFont="1" applyFill="1" applyBorder="1" applyAlignment="1" applyProtection="1">
      <alignment horizontal="right" vertical="top"/>
      <protection locked="0"/>
    </xf>
    <xf numFmtId="3" fontId="40" fillId="0" borderId="60" xfId="33" applyNumberFormat="1" applyFont="1" applyFill="1" applyBorder="1" applyAlignment="1" applyProtection="1">
      <alignment horizontal="right" vertical="top"/>
      <protection locked="0"/>
    </xf>
    <xf numFmtId="9" fontId="40" fillId="0" borderId="60" xfId="33" applyNumberFormat="1" applyFont="1" applyFill="1" applyBorder="1" applyAlignment="1" applyProtection="1">
      <alignment horizontal="right" vertical="top"/>
      <protection locked="0"/>
    </xf>
    <xf numFmtId="49" fontId="59" fillId="0" borderId="72" xfId="25" applyNumberFormat="1" applyFont="1" applyFill="1" applyBorder="1" applyAlignment="1" applyProtection="1" quotePrefix="1">
      <alignment horizontal="left" wrapText="1"/>
      <protection locked="0"/>
    </xf>
    <xf numFmtId="3" fontId="40" fillId="0" borderId="72" xfId="33" applyNumberFormat="1" applyFont="1" applyFill="1" applyBorder="1" applyProtection="1">
      <alignment/>
      <protection locked="0"/>
    </xf>
    <xf numFmtId="3" fontId="40" fillId="0" borderId="72" xfId="33" applyNumberFormat="1" applyFont="1" applyFill="1" applyBorder="1" applyProtection="1">
      <alignment/>
      <protection locked="0"/>
    </xf>
    <xf numFmtId="9" fontId="40" fillId="0" borderId="72" xfId="33" applyNumberFormat="1" applyFont="1" applyFill="1" applyBorder="1" applyProtection="1">
      <alignment/>
      <protection locked="0"/>
    </xf>
    <xf numFmtId="49" fontId="59" fillId="0" borderId="49" xfId="27" applyNumberFormat="1" applyFont="1" applyFill="1" applyBorder="1" applyAlignment="1" applyProtection="1">
      <alignment horizontal="left" wrapText="1"/>
      <protection locked="0"/>
    </xf>
    <xf numFmtId="3" fontId="40" fillId="0" borderId="49" xfId="33" applyNumberFormat="1" applyFont="1" applyFill="1" applyBorder="1" applyProtection="1">
      <alignment/>
      <protection locked="0"/>
    </xf>
    <xf numFmtId="3" fontId="40" fillId="0" borderId="111" xfId="33" applyNumberFormat="1" applyFont="1" applyFill="1" applyBorder="1" applyProtection="1">
      <alignment/>
      <protection locked="0"/>
    </xf>
    <xf numFmtId="3" fontId="40" fillId="0" borderId="110" xfId="33" applyNumberFormat="1" applyFont="1" applyFill="1" applyBorder="1" applyAlignment="1" applyProtection="1">
      <alignment horizontal="right" vertical="top"/>
      <protection locked="0"/>
    </xf>
    <xf numFmtId="3" fontId="40" fillId="0" borderId="49" xfId="33" applyNumberFormat="1" applyFont="1" applyFill="1" applyBorder="1" applyProtection="1">
      <alignment/>
      <protection locked="0"/>
    </xf>
    <xf numFmtId="9" fontId="40" fillId="0" borderId="49" xfId="33" applyNumberFormat="1" applyFont="1" applyFill="1" applyBorder="1" applyProtection="1">
      <alignment/>
      <protection locked="0"/>
    </xf>
    <xf numFmtId="49" fontId="40" fillId="0" borderId="40" xfId="27" applyNumberFormat="1" applyFont="1" applyFill="1" applyBorder="1" applyAlignment="1" applyProtection="1">
      <alignment horizontal="center" wrapText="1"/>
      <protection locked="0"/>
    </xf>
    <xf numFmtId="3" fontId="40" fillId="0" borderId="119" xfId="33" applyNumberFormat="1" applyFont="1" applyFill="1" applyBorder="1" applyProtection="1">
      <alignment/>
      <protection locked="0"/>
    </xf>
    <xf numFmtId="3" fontId="40" fillId="0" borderId="121" xfId="33" applyNumberFormat="1" applyFont="1" applyFill="1" applyBorder="1" applyProtection="1">
      <alignment/>
      <protection locked="0"/>
    </xf>
    <xf numFmtId="3" fontId="40" fillId="0" borderId="0" xfId="33" applyNumberFormat="1" applyFont="1" applyFill="1" applyBorder="1" applyAlignment="1" applyProtection="1">
      <alignment horizontal="right" vertical="top"/>
      <protection locked="0"/>
    </xf>
    <xf numFmtId="3" fontId="40" fillId="0" borderId="119" xfId="33" applyNumberFormat="1" applyFont="1" applyFill="1" applyBorder="1" applyProtection="1">
      <alignment/>
      <protection locked="0"/>
    </xf>
    <xf numFmtId="49" fontId="38" fillId="0" borderId="72" xfId="33" applyNumberFormat="1" applyFont="1" applyFill="1" applyBorder="1" applyAlignment="1" applyProtection="1">
      <alignment horizontal="right" wrapText="1"/>
      <protection locked="0"/>
    </xf>
    <xf numFmtId="49" fontId="59" fillId="0" borderId="72" xfId="25" applyNumberFormat="1" applyFont="1" applyFill="1" applyBorder="1" applyAlignment="1" applyProtection="1">
      <alignment horizontal="left" wrapText="1"/>
      <protection locked="0"/>
    </xf>
    <xf numFmtId="49" fontId="40" fillId="0" borderId="0" xfId="27" applyNumberFormat="1" applyFont="1" applyFill="1" applyBorder="1" applyProtection="1">
      <alignment/>
      <protection locked="0"/>
    </xf>
    <xf numFmtId="0" fontId="40" fillId="0" borderId="0" xfId="27" applyFont="1" applyFill="1" applyProtection="1">
      <alignment/>
      <protection locked="0"/>
    </xf>
    <xf numFmtId="0" fontId="40" fillId="0" borderId="0" xfId="33" applyFont="1" applyFill="1" applyProtection="1">
      <alignment/>
      <protection locked="0"/>
    </xf>
    <xf numFmtId="0" fontId="80" fillId="0" borderId="0" xfId="32" applyFont="1" applyFill="1" applyBorder="1">
      <alignment/>
      <protection/>
    </xf>
    <xf numFmtId="0" fontId="60" fillId="0" borderId="0" xfId="21" applyFont="1" applyFill="1" applyAlignment="1">
      <alignment/>
      <protection/>
    </xf>
    <xf numFmtId="0" fontId="40" fillId="0" borderId="0" xfId="33" applyFont="1" applyFill="1" applyAlignment="1" applyProtection="1">
      <alignment horizontal="right"/>
      <protection locked="0"/>
    </xf>
    <xf numFmtId="49" fontId="59" fillId="0" borderId="49" xfId="27" applyNumberFormat="1" applyFont="1" applyFill="1" applyBorder="1" applyAlignment="1" applyProtection="1">
      <alignment horizontal="left"/>
      <protection locked="0"/>
    </xf>
    <xf numFmtId="49" fontId="86" fillId="0" borderId="49" xfId="27" applyNumberFormat="1" applyFont="1" applyFill="1" applyBorder="1" applyAlignment="1" applyProtection="1">
      <alignment horizontal="left" wrapText="1"/>
      <protection locked="0"/>
    </xf>
    <xf numFmtId="49" fontId="86" fillId="0" borderId="49" xfId="27" applyNumberFormat="1" applyFont="1" applyFill="1" applyBorder="1" applyAlignment="1" applyProtection="1">
      <alignment horizontal="left" vertical="top" wrapText="1"/>
      <protection locked="0"/>
    </xf>
    <xf numFmtId="0" fontId="64" fillId="0" borderId="72" xfId="33" applyFont="1" applyFill="1" applyBorder="1" applyAlignment="1" applyProtection="1">
      <alignment horizontal="centerContinuous" vertical="top" wrapText="1"/>
      <protection locked="0"/>
    </xf>
    <xf numFmtId="0" fontId="64" fillId="0" borderId="18" xfId="33" applyFont="1" applyFill="1" applyBorder="1" applyAlignment="1" applyProtection="1">
      <alignment horizontal="centerContinuous" vertical="top" wrapText="1"/>
      <protection locked="0"/>
    </xf>
    <xf numFmtId="0" fontId="64" fillId="0" borderId="72" xfId="33" applyFont="1" applyFill="1" applyBorder="1" applyAlignment="1" applyProtection="1">
      <alignment horizontal="centerContinuous" vertical="top" wrapText="1"/>
      <protection locked="0"/>
    </xf>
    <xf numFmtId="0" fontId="38" fillId="0" borderId="53" xfId="0" applyFont="1" applyBorder="1" applyAlignment="1">
      <alignment/>
    </xf>
    <xf numFmtId="0" fontId="58" fillId="0" borderId="53" xfId="0" applyFont="1" applyFill="1" applyBorder="1" applyAlignment="1">
      <alignment/>
    </xf>
    <xf numFmtId="3" fontId="58" fillId="0" borderId="53" xfId="0" applyNumberFormat="1" applyFont="1" applyFill="1" applyBorder="1" applyAlignment="1">
      <alignment/>
    </xf>
    <xf numFmtId="0" fontId="58" fillId="0" borderId="62" xfId="0" applyFont="1" applyFill="1" applyBorder="1" applyAlignment="1">
      <alignment/>
    </xf>
    <xf numFmtId="3" fontId="58" fillId="0" borderId="62" xfId="0" applyNumberFormat="1" applyFont="1" applyFill="1" applyBorder="1" applyAlignment="1">
      <alignment/>
    </xf>
    <xf numFmtId="0" fontId="58" fillId="0" borderId="53" xfId="0" applyFont="1" applyBorder="1" applyAlignment="1">
      <alignment/>
    </xf>
    <xf numFmtId="3" fontId="58" fillId="0" borderId="53" xfId="0" applyNumberFormat="1" applyFont="1" applyBorder="1" applyAlignment="1">
      <alignment/>
    </xf>
    <xf numFmtId="0" fontId="88" fillId="0" borderId="127" xfId="0" applyFont="1" applyBorder="1" applyAlignment="1">
      <alignment/>
    </xf>
    <xf numFmtId="0" fontId="88" fillId="0" borderId="128" xfId="0" applyFont="1" applyBorder="1" applyAlignment="1">
      <alignment/>
    </xf>
    <xf numFmtId="3" fontId="88" fillId="0" borderId="128" xfId="0" applyNumberFormat="1" applyFont="1" applyBorder="1" applyAlignment="1">
      <alignment/>
    </xf>
    <xf numFmtId="0" fontId="38" fillId="0" borderId="82" xfId="0" applyFont="1" applyBorder="1" applyAlignment="1">
      <alignment/>
    </xf>
    <xf numFmtId="3" fontId="38" fillId="0" borderId="82" xfId="0" applyNumberFormat="1" applyFont="1" applyBorder="1" applyAlignment="1">
      <alignment/>
    </xf>
    <xf numFmtId="0" fontId="58" fillId="0" borderId="3" xfId="0" applyFont="1" applyBorder="1" applyAlignment="1">
      <alignment/>
    </xf>
    <xf numFmtId="0" fontId="58" fillId="0" borderId="41" xfId="0" applyFont="1" applyBorder="1" applyAlignment="1">
      <alignment/>
    </xf>
    <xf numFmtId="3" fontId="58" fillId="0" borderId="41" xfId="0" applyNumberFormat="1" applyFont="1" applyBorder="1" applyAlignment="1">
      <alignment/>
    </xf>
    <xf numFmtId="0" fontId="58" fillId="0" borderId="53" xfId="0" applyNumberFormat="1" applyFont="1" applyBorder="1" applyAlignment="1">
      <alignment/>
    </xf>
    <xf numFmtId="0" fontId="98" fillId="0" borderId="0" xfId="0" applyFont="1" applyAlignment="1">
      <alignment horizontal="right"/>
    </xf>
    <xf numFmtId="0" fontId="86" fillId="0" borderId="0" xfId="0" applyFont="1" applyAlignment="1">
      <alignment/>
    </xf>
    <xf numFmtId="0" fontId="64" fillId="0" borderId="0" xfId="24" applyFont="1" applyBorder="1" applyAlignment="1">
      <alignment horizontal="center"/>
      <protection/>
    </xf>
    <xf numFmtId="0" fontId="64" fillId="0" borderId="0" xfId="24" applyFont="1" applyBorder="1" applyAlignment="1">
      <alignment horizontal="center" wrapText="1"/>
      <protection/>
    </xf>
    <xf numFmtId="0" fontId="38" fillId="0" borderId="0" xfId="33" applyFont="1" applyFill="1" applyAlignment="1" applyProtection="1">
      <alignment/>
      <protection locked="0"/>
    </xf>
    <xf numFmtId="0" fontId="58" fillId="0" borderId="53" xfId="0" applyFont="1" applyBorder="1" applyAlignment="1">
      <alignment horizontal="center"/>
    </xf>
    <xf numFmtId="0" fontId="58" fillId="0" borderId="53" xfId="0" applyFont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53" xfId="0" applyBorder="1" applyAlignment="1">
      <alignment/>
    </xf>
    <xf numFmtId="164" fontId="0" fillId="0" borderId="53" xfId="0" applyNumberFormat="1" applyFill="1" applyBorder="1" applyAlignment="1">
      <alignment/>
    </xf>
    <xf numFmtId="164" fontId="0" fillId="0" borderId="53" xfId="0" applyNumberFormat="1" applyBorder="1" applyAlignment="1">
      <alignment/>
    </xf>
    <xf numFmtId="176" fontId="0" fillId="0" borderId="53" xfId="0" applyNumberFormat="1" applyBorder="1" applyAlignment="1">
      <alignment/>
    </xf>
    <xf numFmtId="0" fontId="0" fillId="0" borderId="62" xfId="0" applyBorder="1" applyAlignment="1">
      <alignment/>
    </xf>
    <xf numFmtId="164" fontId="0" fillId="0" borderId="62" xfId="0" applyNumberFormat="1" applyBorder="1" applyAlignment="1">
      <alignment/>
    </xf>
    <xf numFmtId="176" fontId="0" fillId="0" borderId="62" xfId="0" applyNumberFormat="1" applyBorder="1" applyAlignment="1">
      <alignment/>
    </xf>
    <xf numFmtId="164" fontId="58" fillId="0" borderId="73" xfId="0" applyNumberFormat="1" applyFont="1" applyBorder="1" applyAlignment="1">
      <alignment/>
    </xf>
    <xf numFmtId="176" fontId="58" fillId="0" borderId="74" xfId="0" applyNumberFormat="1" applyFont="1" applyBorder="1" applyAlignment="1">
      <alignment/>
    </xf>
    <xf numFmtId="0" fontId="0" fillId="0" borderId="82" xfId="0" applyBorder="1" applyAlignment="1">
      <alignment/>
    </xf>
    <xf numFmtId="164" fontId="0" fillId="0" borderId="82" xfId="0" applyNumberFormat="1" applyBorder="1" applyAlignment="1">
      <alignment/>
    </xf>
    <xf numFmtId="176" fontId="0" fillId="0" borderId="82" xfId="0" applyNumberFormat="1" applyBorder="1" applyAlignment="1">
      <alignment/>
    </xf>
    <xf numFmtId="164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6" borderId="0" xfId="0" applyFont="1" applyFill="1" applyAlignment="1">
      <alignment/>
    </xf>
    <xf numFmtId="0" fontId="0" fillId="0" borderId="0" xfId="0" applyFont="1" applyBorder="1" applyAlignment="1">
      <alignment/>
    </xf>
    <xf numFmtId="0" fontId="33" fillId="0" borderId="0" xfId="0" applyFont="1" applyAlignment="1">
      <alignment horizontal="right"/>
    </xf>
    <xf numFmtId="0" fontId="0" fillId="6" borderId="0" xfId="0" applyFont="1" applyFill="1" applyAlignment="1">
      <alignment horizontal="right"/>
    </xf>
    <xf numFmtId="0" fontId="92" fillId="0" borderId="1" xfId="0" applyFont="1" applyBorder="1" applyAlignment="1">
      <alignment horizontal="center"/>
    </xf>
    <xf numFmtId="0" fontId="92" fillId="0" borderId="64" xfId="0" applyFont="1" applyBorder="1" applyAlignment="1">
      <alignment horizontal="center"/>
    </xf>
    <xf numFmtId="0" fontId="92" fillId="0" borderId="15" xfId="0" applyFont="1" applyBorder="1" applyAlignment="1">
      <alignment horizontal="center"/>
    </xf>
    <xf numFmtId="0" fontId="92" fillId="0" borderId="45" xfId="0" applyFont="1" applyBorder="1" applyAlignment="1">
      <alignment horizontal="center"/>
    </xf>
    <xf numFmtId="0" fontId="92" fillId="0" borderId="12" xfId="0" applyFont="1" applyBorder="1" applyAlignment="1">
      <alignment horizontal="center"/>
    </xf>
    <xf numFmtId="0" fontId="92" fillId="0" borderId="64" xfId="0" applyFont="1" applyBorder="1" applyAlignment="1">
      <alignment horizontal="center"/>
    </xf>
    <xf numFmtId="0" fontId="92" fillId="0" borderId="2" xfId="0" applyFont="1" applyBorder="1" applyAlignment="1">
      <alignment horizontal="center"/>
    </xf>
    <xf numFmtId="0" fontId="92" fillId="0" borderId="1" xfId="0" applyFont="1" applyBorder="1" applyAlignment="1">
      <alignment horizontal="center"/>
    </xf>
    <xf numFmtId="0" fontId="92" fillId="0" borderId="15" xfId="0" applyFont="1" applyBorder="1" applyAlignment="1">
      <alignment horizontal="center"/>
    </xf>
    <xf numFmtId="3" fontId="70" fillId="0" borderId="113" xfId="0" applyNumberFormat="1" applyFont="1" applyBorder="1" applyAlignment="1">
      <alignment/>
    </xf>
    <xf numFmtId="3" fontId="70" fillId="0" borderId="114" xfId="0" applyNumberFormat="1" applyFont="1" applyBorder="1" applyAlignment="1">
      <alignment/>
    </xf>
    <xf numFmtId="4" fontId="70" fillId="0" borderId="115" xfId="0" applyNumberFormat="1" applyFont="1" applyBorder="1" applyAlignment="1">
      <alignment/>
    </xf>
    <xf numFmtId="4" fontId="70" fillId="0" borderId="14" xfId="0" applyNumberFormat="1" applyFont="1" applyBorder="1" applyAlignment="1">
      <alignment/>
    </xf>
    <xf numFmtId="3" fontId="70" fillId="0" borderId="116" xfId="0" applyNumberFormat="1" applyFont="1" applyBorder="1" applyAlignment="1">
      <alignment/>
    </xf>
    <xf numFmtId="4" fontId="70" fillId="0" borderId="117" xfId="0" applyNumberFormat="1" applyFont="1" applyBorder="1" applyAlignment="1">
      <alignment/>
    </xf>
    <xf numFmtId="3" fontId="70" fillId="0" borderId="25" xfId="0" applyNumberFormat="1" applyFont="1" applyBorder="1" applyAlignment="1">
      <alignment/>
    </xf>
    <xf numFmtId="3" fontId="70" fillId="0" borderId="42" xfId="0" applyNumberFormat="1" applyFont="1" applyBorder="1" applyAlignment="1">
      <alignment/>
    </xf>
    <xf numFmtId="3" fontId="70" fillId="0" borderId="117" xfId="0" applyNumberFormat="1" applyFont="1" applyBorder="1" applyAlignment="1">
      <alignment/>
    </xf>
    <xf numFmtId="3" fontId="70" fillId="0" borderId="118" xfId="0" applyNumberFormat="1" applyFont="1" applyBorder="1" applyAlignment="1">
      <alignment/>
    </xf>
    <xf numFmtId="3" fontId="70" fillId="0" borderId="82" xfId="0" applyNumberFormat="1" applyFont="1" applyBorder="1" applyAlignment="1">
      <alignment/>
    </xf>
    <xf numFmtId="4" fontId="70" fillId="0" borderId="112" xfId="0" applyNumberFormat="1" applyFont="1" applyBorder="1" applyAlignment="1">
      <alignment/>
    </xf>
    <xf numFmtId="4" fontId="70" fillId="0" borderId="59" xfId="0" applyNumberFormat="1" applyFont="1" applyBorder="1" applyAlignment="1">
      <alignment/>
    </xf>
    <xf numFmtId="3" fontId="70" fillId="0" borderId="52" xfId="0" applyNumberFormat="1" applyFont="1" applyBorder="1" applyAlignment="1">
      <alignment/>
    </xf>
    <xf numFmtId="3" fontId="70" fillId="0" borderId="53" xfId="0" applyNumberFormat="1" applyFont="1" applyBorder="1" applyAlignment="1">
      <alignment/>
    </xf>
    <xf numFmtId="4" fontId="70" fillId="0" borderId="56" xfId="0" applyNumberFormat="1" applyFont="1" applyBorder="1" applyAlignment="1">
      <alignment/>
    </xf>
    <xf numFmtId="4" fontId="70" fillId="0" borderId="54" xfId="0" applyNumberFormat="1" applyFont="1" applyBorder="1" applyAlignment="1">
      <alignment/>
    </xf>
    <xf numFmtId="3" fontId="70" fillId="0" borderId="56" xfId="0" applyNumberFormat="1" applyFont="1" applyBorder="1" applyAlignment="1">
      <alignment/>
    </xf>
    <xf numFmtId="3" fontId="70" fillId="0" borderId="61" xfId="0" applyNumberFormat="1" applyFont="1" applyBorder="1" applyAlignment="1">
      <alignment/>
    </xf>
    <xf numFmtId="3" fontId="70" fillId="0" borderId="41" xfId="0" applyNumberFormat="1" applyFont="1" applyBorder="1" applyAlignment="1">
      <alignment/>
    </xf>
    <xf numFmtId="4" fontId="70" fillId="0" borderId="11" xfId="0" applyNumberFormat="1" applyFont="1" applyBorder="1" applyAlignment="1">
      <alignment/>
    </xf>
    <xf numFmtId="3" fontId="91" fillId="0" borderId="118" xfId="0" applyNumberFormat="1" applyFont="1" applyBorder="1" applyAlignment="1">
      <alignment/>
    </xf>
    <xf numFmtId="3" fontId="91" fillId="0" borderId="82" xfId="0" applyNumberFormat="1" applyFont="1" applyBorder="1" applyAlignment="1">
      <alignment/>
    </xf>
    <xf numFmtId="4" fontId="91" fillId="0" borderId="112" xfId="0" applyNumberFormat="1" applyFont="1" applyBorder="1" applyAlignment="1">
      <alignment/>
    </xf>
    <xf numFmtId="3" fontId="91" fillId="0" borderId="52" xfId="0" applyNumberFormat="1" applyFont="1" applyBorder="1" applyAlignment="1">
      <alignment/>
    </xf>
    <xf numFmtId="3" fontId="91" fillId="0" borderId="53" xfId="0" applyNumberFormat="1" applyFont="1" applyBorder="1" applyAlignment="1">
      <alignment/>
    </xf>
    <xf numFmtId="4" fontId="91" fillId="0" borderId="56" xfId="0" applyNumberFormat="1" applyFont="1" applyBorder="1" applyAlignment="1">
      <alignment/>
    </xf>
    <xf numFmtId="4" fontId="91" fillId="0" borderId="54" xfId="0" applyNumberFormat="1" applyFont="1" applyBorder="1" applyAlignment="1">
      <alignment/>
    </xf>
    <xf numFmtId="3" fontId="91" fillId="0" borderId="56" xfId="0" applyNumberFormat="1" applyFont="1" applyBorder="1" applyAlignment="1">
      <alignment/>
    </xf>
    <xf numFmtId="4" fontId="91" fillId="0" borderId="59" xfId="0" applyNumberFormat="1" applyFont="1" applyBorder="1" applyAlignment="1">
      <alignment/>
    </xf>
    <xf numFmtId="3" fontId="70" fillId="0" borderId="63" xfId="0" applyNumberFormat="1" applyFont="1" applyBorder="1" applyAlignment="1">
      <alignment/>
    </xf>
    <xf numFmtId="3" fontId="70" fillId="0" borderId="64" xfId="0" applyNumberFormat="1" applyFont="1" applyBorder="1" applyAlignment="1">
      <alignment/>
    </xf>
    <xf numFmtId="4" fontId="70" fillId="0" borderId="65" xfId="0" applyNumberFormat="1" applyFont="1" applyBorder="1" applyAlignment="1">
      <alignment/>
    </xf>
    <xf numFmtId="0" fontId="58" fillId="0" borderId="0" xfId="0" applyFont="1" applyAlignment="1">
      <alignment/>
    </xf>
    <xf numFmtId="3" fontId="91" fillId="0" borderId="79" xfId="0" applyNumberFormat="1" applyFont="1" applyBorder="1" applyAlignment="1">
      <alignment/>
    </xf>
    <xf numFmtId="3" fontId="91" fillId="0" borderId="73" xfId="0" applyNumberFormat="1" applyFont="1" applyBorder="1" applyAlignment="1">
      <alignment/>
    </xf>
    <xf numFmtId="4" fontId="91" fillId="0" borderId="19" xfId="0" applyNumberFormat="1" applyFont="1" applyBorder="1" applyAlignment="1">
      <alignment/>
    </xf>
    <xf numFmtId="3" fontId="91" fillId="0" borderId="18" xfId="0" applyNumberFormat="1" applyFont="1" applyBorder="1" applyAlignment="1">
      <alignment/>
    </xf>
    <xf numFmtId="0" fontId="33" fillId="0" borderId="0" xfId="0" applyFont="1" applyBorder="1" applyAlignment="1">
      <alignment/>
    </xf>
    <xf numFmtId="3" fontId="3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6" borderId="0" xfId="0" applyFont="1" applyFill="1" applyAlignment="1">
      <alignment/>
    </xf>
    <xf numFmtId="3" fontId="40" fillId="0" borderId="0" xfId="31" applyNumberFormat="1" applyFont="1" applyFill="1">
      <alignment/>
      <protection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70" fillId="0" borderId="49" xfId="0" applyFont="1" applyBorder="1" applyAlignment="1">
      <alignment/>
    </xf>
    <xf numFmtId="0" fontId="70" fillId="0" borderId="60" xfId="0" applyFont="1" applyBorder="1" applyAlignment="1">
      <alignment/>
    </xf>
    <xf numFmtId="0" fontId="70" fillId="0" borderId="119" xfId="0" applyFont="1" applyBorder="1" applyAlignment="1">
      <alignment/>
    </xf>
    <xf numFmtId="0" fontId="40" fillId="0" borderId="60" xfId="0" applyFont="1" applyBorder="1" applyAlignment="1">
      <alignment/>
    </xf>
    <xf numFmtId="0" fontId="99" fillId="0" borderId="60" xfId="0" applyFont="1" applyBorder="1" applyAlignment="1">
      <alignment/>
    </xf>
    <xf numFmtId="0" fontId="80" fillId="0" borderId="72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01" fillId="0" borderId="0" xfId="0" applyFont="1" applyAlignment="1">
      <alignment/>
    </xf>
    <xf numFmtId="0" fontId="80" fillId="0" borderId="17" xfId="0" applyFont="1" applyBorder="1" applyAlignment="1">
      <alignment horizontal="centerContinuous" vertical="center"/>
    </xf>
    <xf numFmtId="0" fontId="80" fillId="0" borderId="18" xfId="0" applyFont="1" applyBorder="1" applyAlignment="1">
      <alignment horizontal="centerContinuous" vertical="center"/>
    </xf>
    <xf numFmtId="0" fontId="80" fillId="0" borderId="19" xfId="0" applyFont="1" applyBorder="1" applyAlignment="1">
      <alignment horizontal="centerContinuous" vertical="center"/>
    </xf>
    <xf numFmtId="3" fontId="87" fillId="0" borderId="0" xfId="31" applyNumberFormat="1" applyFont="1" applyFill="1">
      <alignment/>
      <protection/>
    </xf>
    <xf numFmtId="0" fontId="87" fillId="0" borderId="0" xfId="0" applyFont="1" applyAlignment="1">
      <alignment/>
    </xf>
    <xf numFmtId="0" fontId="0" fillId="0" borderId="0" xfId="0" applyAlignment="1">
      <alignment vertical="center"/>
    </xf>
    <xf numFmtId="0" fontId="58" fillId="0" borderId="53" xfId="0" applyFont="1" applyBorder="1" applyAlignment="1">
      <alignment horizontal="center" vertical="center"/>
    </xf>
    <xf numFmtId="0" fontId="58" fillId="0" borderId="53" xfId="0" applyFont="1" applyBorder="1" applyAlignment="1">
      <alignment horizontal="center" vertical="center" wrapText="1"/>
    </xf>
    <xf numFmtId="0" fontId="64" fillId="0" borderId="76" xfId="0" applyFont="1" applyBorder="1" applyAlignment="1">
      <alignment horizontal="center" vertical="center"/>
    </xf>
    <xf numFmtId="0" fontId="64" fillId="0" borderId="73" xfId="0" applyFont="1" applyBorder="1" applyAlignment="1">
      <alignment horizontal="center" vertical="center"/>
    </xf>
    <xf numFmtId="175" fontId="64" fillId="0" borderId="73" xfId="0" applyNumberFormat="1" applyFont="1" applyBorder="1" applyAlignment="1">
      <alignment horizontal="center" vertical="center"/>
    </xf>
    <xf numFmtId="175" fontId="64" fillId="0" borderId="74" xfId="0" applyNumberFormat="1" applyFont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59" fillId="6" borderId="61" xfId="21" applyFont="1" applyFill="1" applyBorder="1" applyAlignment="1">
      <alignment horizontal="center" vertical="center" wrapText="1"/>
      <protection/>
    </xf>
    <xf numFmtId="0" fontId="59" fillId="0" borderId="11" xfId="21" applyFont="1" applyBorder="1" applyAlignment="1">
      <alignment horizontal="center" vertical="center"/>
      <protection/>
    </xf>
    <xf numFmtId="0" fontId="59" fillId="0" borderId="15" xfId="21" applyFont="1" applyBorder="1" applyAlignment="1">
      <alignment horizontal="center" vertical="center"/>
      <protection/>
    </xf>
    <xf numFmtId="0" fontId="59" fillId="0" borderId="39" xfId="21" applyFont="1" applyBorder="1" applyAlignment="1">
      <alignment horizontal="center" vertical="center" wrapText="1"/>
      <protection/>
    </xf>
    <xf numFmtId="0" fontId="59" fillId="0" borderId="40" xfId="21" applyFont="1" applyBorder="1" applyAlignment="1">
      <alignment horizontal="center" vertical="center" wrapText="1"/>
      <protection/>
    </xf>
    <xf numFmtId="0" fontId="59" fillId="0" borderId="44" xfId="21" applyFont="1" applyBorder="1" applyAlignment="1">
      <alignment horizontal="center" vertical="center" wrapText="1"/>
      <protection/>
    </xf>
    <xf numFmtId="0" fontId="59" fillId="0" borderId="25" xfId="21" applyFont="1" applyFill="1" applyBorder="1" applyAlignment="1">
      <alignment horizontal="center" vertical="center" wrapText="1"/>
      <protection/>
    </xf>
    <xf numFmtId="0" fontId="59" fillId="0" borderId="61" xfId="21" applyFont="1" applyFill="1" applyBorder="1" applyAlignment="1">
      <alignment horizontal="center" vertical="center" wrapText="1"/>
      <protection/>
    </xf>
    <xf numFmtId="0" fontId="59" fillId="0" borderId="12" xfId="21" applyFont="1" applyFill="1" applyBorder="1" applyAlignment="1">
      <alignment horizontal="center" vertical="center" wrapText="1"/>
      <protection/>
    </xf>
    <xf numFmtId="49" fontId="73" fillId="0" borderId="0" xfId="21" applyNumberFormat="1" applyFont="1" applyAlignment="1">
      <alignment horizontal="center" wrapText="1"/>
      <protection/>
    </xf>
    <xf numFmtId="0" fontId="74" fillId="0" borderId="0" xfId="21" applyFont="1" applyAlignment="1">
      <alignment horizontal="center" wrapText="1"/>
      <protection/>
    </xf>
    <xf numFmtId="0" fontId="40" fillId="0" borderId="110" xfId="21" applyFont="1" applyBorder="1" applyAlignment="1">
      <alignment horizontal="center"/>
      <protection/>
    </xf>
    <xf numFmtId="0" fontId="40" fillId="0" borderId="60" xfId="21" applyFont="1" applyBorder="1" applyAlignment="1">
      <alignment horizontal="center"/>
      <protection/>
    </xf>
    <xf numFmtId="0" fontId="40" fillId="0" borderId="119" xfId="21" applyFont="1" applyBorder="1" applyAlignment="1">
      <alignment horizontal="center"/>
      <protection/>
    </xf>
    <xf numFmtId="0" fontId="59" fillId="0" borderId="14" xfId="21" applyFont="1" applyBorder="1" applyAlignment="1">
      <alignment horizontal="center" vertical="center"/>
      <protection/>
    </xf>
    <xf numFmtId="3" fontId="91" fillId="0" borderId="74" xfId="0" applyNumberFormat="1" applyFont="1" applyBorder="1" applyAlignment="1">
      <alignment/>
    </xf>
    <xf numFmtId="4" fontId="91" fillId="0" borderId="74" xfId="0" applyNumberFormat="1" applyFont="1" applyBorder="1" applyAlignment="1">
      <alignment/>
    </xf>
    <xf numFmtId="0" fontId="40" fillId="0" borderId="0" xfId="0" applyFont="1" applyAlignment="1">
      <alignment horizontal="right"/>
    </xf>
    <xf numFmtId="0" fontId="68" fillId="0" borderId="0" xfId="0" applyFont="1" applyAlignment="1">
      <alignment horizontal="right"/>
    </xf>
    <xf numFmtId="0" fontId="69" fillId="0" borderId="0" xfId="0" applyFont="1" applyAlignment="1">
      <alignment horizontal="center"/>
    </xf>
    <xf numFmtId="0" fontId="59" fillId="0" borderId="129" xfId="0" applyFont="1" applyBorder="1" applyAlignment="1">
      <alignment horizontal="center" vertical="center" wrapText="1"/>
    </xf>
    <xf numFmtId="0" fontId="59" fillId="0" borderId="130" xfId="0" applyFont="1" applyBorder="1" applyAlignment="1">
      <alignment horizontal="center" vertical="center" wrapText="1"/>
    </xf>
    <xf numFmtId="0" fontId="59" fillId="0" borderId="131" xfId="0" applyFont="1" applyBorder="1" applyAlignment="1">
      <alignment horizontal="center" vertical="center" wrapText="1"/>
    </xf>
    <xf numFmtId="0" fontId="59" fillId="0" borderId="132" xfId="0" applyFont="1" applyBorder="1" applyAlignment="1">
      <alignment horizontal="center" vertical="center" wrapText="1"/>
    </xf>
    <xf numFmtId="0" fontId="59" fillId="0" borderId="133" xfId="0" applyFont="1" applyBorder="1" applyAlignment="1">
      <alignment horizontal="center" vertical="center" wrapText="1"/>
    </xf>
    <xf numFmtId="0" fontId="59" fillId="0" borderId="134" xfId="0" applyFont="1" applyBorder="1" applyAlignment="1">
      <alignment horizontal="center" vertical="center" wrapText="1"/>
    </xf>
    <xf numFmtId="0" fontId="59" fillId="0" borderId="135" xfId="0" applyFont="1" applyBorder="1" applyAlignment="1">
      <alignment horizontal="center" vertical="center" wrapText="1"/>
    </xf>
    <xf numFmtId="0" fontId="59" fillId="0" borderId="136" xfId="0" applyFont="1" applyBorder="1" applyAlignment="1">
      <alignment horizontal="center" vertical="center" wrapText="1"/>
    </xf>
    <xf numFmtId="0" fontId="59" fillId="0" borderId="137" xfId="0" applyFont="1" applyBorder="1" applyAlignment="1">
      <alignment horizontal="center" vertical="center" wrapText="1"/>
    </xf>
    <xf numFmtId="0" fontId="59" fillId="0" borderId="87" xfId="0" applyFont="1" applyBorder="1" applyAlignment="1">
      <alignment horizontal="center" vertical="center" wrapText="1"/>
    </xf>
    <xf numFmtId="0" fontId="59" fillId="0" borderId="138" xfId="0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0" fillId="0" borderId="0" xfId="0" applyFont="1" applyAlignment="1">
      <alignment horizontal="right"/>
    </xf>
    <xf numFmtId="0" fontId="60" fillId="0" borderId="0" xfId="21" applyFont="1" applyAlignment="1">
      <alignment horizontal="left"/>
      <protection/>
    </xf>
    <xf numFmtId="0" fontId="40" fillId="0" borderId="0" xfId="22" applyFont="1" applyAlignment="1">
      <alignment/>
      <protection/>
    </xf>
    <xf numFmtId="0" fontId="38" fillId="0" borderId="0" xfId="0" applyFont="1" applyAlignment="1">
      <alignment/>
    </xf>
    <xf numFmtId="0" fontId="40" fillId="0" borderId="0" xfId="22" applyFont="1" applyAlignment="1">
      <alignment horizontal="left"/>
      <protection/>
    </xf>
    <xf numFmtId="0" fontId="40" fillId="0" borderId="0" xfId="21" applyFont="1" applyAlignment="1">
      <alignment/>
      <protection/>
    </xf>
    <xf numFmtId="0" fontId="59" fillId="6" borderId="12" xfId="21" applyFont="1" applyFill="1" applyBorder="1" applyAlignment="1">
      <alignment horizontal="center" vertical="center" wrapText="1"/>
      <protection/>
    </xf>
    <xf numFmtId="0" fontId="40" fillId="0" borderId="39" xfId="21" applyFont="1" applyFill="1" applyBorder="1" applyAlignment="1">
      <alignment horizontal="center" vertical="center" wrapText="1"/>
      <protection/>
    </xf>
    <xf numFmtId="0" fontId="59" fillId="0" borderId="44" xfId="21" applyFont="1" applyFill="1" applyBorder="1" applyAlignment="1">
      <alignment horizontal="center" vertical="center" wrapText="1"/>
      <protection/>
    </xf>
    <xf numFmtId="0" fontId="59" fillId="0" borderId="39" xfId="21" applyFont="1" applyFill="1" applyBorder="1" applyAlignment="1">
      <alignment horizontal="center" vertical="center" wrapText="1"/>
      <protection/>
    </xf>
    <xf numFmtId="0" fontId="59" fillId="0" borderId="40" xfId="21" applyFont="1" applyFill="1" applyBorder="1" applyAlignment="1">
      <alignment horizontal="center" vertical="center" wrapText="1"/>
      <protection/>
    </xf>
    <xf numFmtId="0" fontId="59" fillId="6" borderId="17" xfId="21" applyFont="1" applyFill="1" applyBorder="1" applyAlignment="1">
      <alignment horizontal="center" vertical="center" wrapText="1"/>
      <protection/>
    </xf>
    <xf numFmtId="0" fontId="59" fillId="6" borderId="19" xfId="21" applyFont="1" applyFill="1" applyBorder="1" applyAlignment="1">
      <alignment horizontal="center" vertical="center" wrapText="1"/>
      <protection/>
    </xf>
    <xf numFmtId="0" fontId="59" fillId="0" borderId="14" xfId="21" applyFont="1" applyFill="1" applyBorder="1" applyAlignment="1">
      <alignment horizontal="center" vertical="center" wrapText="1"/>
      <protection/>
    </xf>
    <xf numFmtId="0" fontId="40" fillId="0" borderId="12" xfId="21" applyFont="1" applyFill="1" applyBorder="1" applyAlignment="1">
      <alignment horizontal="center" vertical="center" wrapText="1"/>
      <protection/>
    </xf>
    <xf numFmtId="0" fontId="40" fillId="0" borderId="15" xfId="21" applyFont="1" applyFill="1" applyBorder="1" applyAlignment="1">
      <alignment horizontal="center" vertical="center" wrapText="1"/>
      <protection/>
    </xf>
    <xf numFmtId="0" fontId="59" fillId="0" borderId="0" xfId="21" applyFont="1" applyAlignment="1">
      <alignment horizontal="left"/>
      <protection/>
    </xf>
    <xf numFmtId="0" fontId="59" fillId="0" borderId="15" xfId="21" applyFont="1" applyFill="1" applyBorder="1" applyAlignment="1">
      <alignment horizontal="center" vertical="center" wrapText="1"/>
      <protection/>
    </xf>
    <xf numFmtId="0" fontId="59" fillId="0" borderId="25" xfId="21" applyFont="1" applyBorder="1" applyAlignment="1">
      <alignment horizontal="center" vertical="center" wrapText="1"/>
      <protection/>
    </xf>
    <xf numFmtId="0" fontId="59" fillId="0" borderId="14" xfId="21" applyFont="1" applyBorder="1" applyAlignment="1">
      <alignment horizontal="center" vertical="center" wrapText="1"/>
      <protection/>
    </xf>
    <xf numFmtId="0" fontId="59" fillId="0" borderId="12" xfId="21" applyFont="1" applyBorder="1" applyAlignment="1">
      <alignment horizontal="center" vertical="center" wrapText="1"/>
      <protection/>
    </xf>
    <xf numFmtId="0" fontId="59" fillId="0" borderId="15" xfId="21" applyFont="1" applyBorder="1" applyAlignment="1">
      <alignment horizontal="center" vertical="center" wrapText="1"/>
      <protection/>
    </xf>
    <xf numFmtId="0" fontId="68" fillId="0" borderId="0" xfId="21" applyFont="1" applyAlignment="1">
      <alignment horizontal="right"/>
      <protection/>
    </xf>
    <xf numFmtId="0" fontId="69" fillId="0" borderId="0" xfId="21" applyFont="1" applyAlignment="1">
      <alignment horizontal="center" wrapText="1"/>
      <protection/>
    </xf>
    <xf numFmtId="0" fontId="60" fillId="0" borderId="39" xfId="21" applyFont="1" applyFill="1" applyBorder="1" applyAlignment="1">
      <alignment horizontal="center" vertical="center"/>
      <protection/>
    </xf>
    <xf numFmtId="0" fontId="60" fillId="0" borderId="44" xfId="21" applyFont="1" applyFill="1" applyBorder="1" applyAlignment="1">
      <alignment horizontal="center" vertical="center"/>
      <protection/>
    </xf>
    <xf numFmtId="0" fontId="83" fillId="0" borderId="0" xfId="21" applyFont="1" applyAlignment="1">
      <alignment horizontal="right"/>
      <protection/>
    </xf>
    <xf numFmtId="0" fontId="60" fillId="0" borderId="0" xfId="21" applyFont="1" applyAlignment="1">
      <alignment horizontal="right"/>
      <protection/>
    </xf>
    <xf numFmtId="0" fontId="40" fillId="0" borderId="0" xfId="33" applyFont="1" applyFill="1" applyAlignment="1" applyProtection="1">
      <alignment horizontal="right"/>
      <protection locked="0"/>
    </xf>
    <xf numFmtId="0" fontId="64" fillId="0" borderId="0" xfId="24" applyFont="1" applyBorder="1" applyAlignment="1">
      <alignment horizontal="center" wrapText="1"/>
      <protection/>
    </xf>
    <xf numFmtId="0" fontId="38" fillId="0" borderId="0" xfId="33" applyFont="1" applyFill="1" applyAlignment="1" applyProtection="1">
      <alignment horizontal="right"/>
      <protection locked="0"/>
    </xf>
    <xf numFmtId="0" fontId="38" fillId="0" borderId="0" xfId="33" applyFont="1" applyFill="1" applyAlignment="1" applyProtection="1">
      <alignment horizontal="center"/>
      <protection locked="0"/>
    </xf>
    <xf numFmtId="0" fontId="58" fillId="0" borderId="76" xfId="0" applyFont="1" applyBorder="1" applyAlignment="1">
      <alignment/>
    </xf>
    <xf numFmtId="0" fontId="58" fillId="0" borderId="73" xfId="0" applyFont="1" applyBorder="1" applyAlignment="1">
      <alignment/>
    </xf>
    <xf numFmtId="0" fontId="64" fillId="0" borderId="76" xfId="0" applyFont="1" applyBorder="1" applyAlignment="1">
      <alignment/>
    </xf>
    <xf numFmtId="0" fontId="64" fillId="0" borderId="73" xfId="0" applyFont="1" applyBorder="1" applyAlignment="1">
      <alignment/>
    </xf>
    <xf numFmtId="0" fontId="70" fillId="0" borderId="0" xfId="0" applyFont="1" applyAlignment="1">
      <alignment horizontal="right"/>
    </xf>
    <xf numFmtId="0" fontId="64" fillId="0" borderId="0" xfId="0" applyFont="1" applyAlignment="1">
      <alignment horizontal="center"/>
    </xf>
    <xf numFmtId="0" fontId="59" fillId="0" borderId="0" xfId="0" applyFont="1" applyFill="1" applyAlignment="1">
      <alignment horizontal="right"/>
    </xf>
    <xf numFmtId="0" fontId="60" fillId="0" borderId="0" xfId="0" applyFont="1" applyAlignment="1">
      <alignment horizontal="center"/>
    </xf>
    <xf numFmtId="0" fontId="40" fillId="0" borderId="0" xfId="22" applyFont="1" applyAlignment="1">
      <alignment horizontal="right"/>
      <protection/>
    </xf>
    <xf numFmtId="0" fontId="77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77" fillId="0" borderId="39" xfId="0" applyFont="1" applyFill="1" applyBorder="1" applyAlignment="1">
      <alignment horizontal="center" vertical="center"/>
    </xf>
    <xf numFmtId="0" fontId="77" fillId="0" borderId="44" xfId="0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9" xfId="0" applyFont="1" applyFill="1" applyBorder="1" applyAlignment="1">
      <alignment horizontal="center" vertical="center"/>
    </xf>
    <xf numFmtId="0" fontId="77" fillId="0" borderId="75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/>
    </xf>
    <xf numFmtId="0" fontId="8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0" fillId="0" borderId="0" xfId="0" applyFont="1" applyBorder="1" applyAlignment="1">
      <alignment horizontal="center"/>
    </xf>
    <xf numFmtId="0" fontId="77" fillId="0" borderId="39" xfId="0" applyFont="1" applyBorder="1" applyAlignment="1">
      <alignment horizontal="center" vertical="center"/>
    </xf>
    <xf numFmtId="0" fontId="77" fillId="0" borderId="44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99" fillId="0" borderId="17" xfId="0" applyFont="1" applyBorder="1" applyAlignment="1">
      <alignment horizontal="center" vertical="center"/>
    </xf>
    <xf numFmtId="0" fontId="99" fillId="0" borderId="18" xfId="0" applyFont="1" applyBorder="1" applyAlignment="1">
      <alignment horizontal="center" vertical="center"/>
    </xf>
    <xf numFmtId="0" fontId="99" fillId="0" borderId="19" xfId="0" applyFont="1" applyBorder="1" applyAlignment="1">
      <alignment horizontal="center" vertical="center"/>
    </xf>
    <xf numFmtId="0" fontId="80" fillId="0" borderId="75" xfId="0" applyFont="1" applyBorder="1" applyAlignment="1">
      <alignment horizontal="center" vertical="center"/>
    </xf>
    <xf numFmtId="3" fontId="40" fillId="0" borderId="0" xfId="0" applyNumberFormat="1" applyFont="1" applyFill="1" applyAlignment="1">
      <alignment horizontal="right"/>
    </xf>
    <xf numFmtId="3" fontId="59" fillId="0" borderId="0" xfId="0" applyNumberFormat="1" applyFont="1" applyFill="1" applyAlignment="1">
      <alignment horizontal="right"/>
    </xf>
    <xf numFmtId="3" fontId="60" fillId="0" borderId="0" xfId="0" applyNumberFormat="1" applyFont="1" applyFill="1" applyAlignment="1">
      <alignment horizontal="center"/>
    </xf>
    <xf numFmtId="3" fontId="59" fillId="0" borderId="25" xfId="0" applyNumberFormat="1" applyFont="1" applyFill="1" applyBorder="1" applyAlignment="1">
      <alignment horizontal="center" vertical="center"/>
    </xf>
    <xf numFmtId="3" fontId="59" fillId="0" borderId="13" xfId="0" applyNumberFormat="1" applyFont="1" applyFill="1" applyBorder="1" applyAlignment="1">
      <alignment horizontal="center" vertical="center"/>
    </xf>
    <xf numFmtId="3" fontId="59" fillId="0" borderId="14" xfId="0" applyNumberFormat="1" applyFont="1" applyFill="1" applyBorder="1" applyAlignment="1">
      <alignment horizontal="center" vertical="center"/>
    </xf>
    <xf numFmtId="3" fontId="59" fillId="0" borderId="25" xfId="0" applyNumberFormat="1" applyFont="1" applyFill="1" applyBorder="1" applyAlignment="1">
      <alignment horizontal="center"/>
    </xf>
    <xf numFmtId="3" fontId="59" fillId="0" borderId="13" xfId="0" applyNumberFormat="1" applyFont="1" applyFill="1" applyBorder="1" applyAlignment="1">
      <alignment horizontal="center"/>
    </xf>
    <xf numFmtId="3" fontId="59" fillId="0" borderId="14" xfId="0" applyNumberFormat="1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3" fillId="0" borderId="0" xfId="20" applyFont="1" applyFill="1" applyBorder="1" applyAlignment="1">
      <alignment horizontal="left" wrapText="1"/>
      <protection/>
    </xf>
    <xf numFmtId="0" fontId="38" fillId="0" borderId="0" xfId="20" applyFont="1" applyAlignment="1">
      <alignment horizontal="right"/>
      <protection/>
    </xf>
    <xf numFmtId="0" fontId="91" fillId="0" borderId="0" xfId="20" applyFont="1" applyAlignment="1">
      <alignment horizontal="center"/>
      <protection/>
    </xf>
    <xf numFmtId="0" fontId="42" fillId="12" borderId="0" xfId="0" applyFont="1" applyFill="1" applyAlignment="1">
      <alignment horizontal="center" wrapText="1"/>
    </xf>
    <xf numFmtId="0" fontId="44" fillId="6" borderId="2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3" fillId="6" borderId="25" xfId="0" applyFont="1" applyFill="1" applyBorder="1" applyAlignment="1">
      <alignment horizontal="center" vertical="center"/>
    </xf>
    <xf numFmtId="0" fontId="45" fillId="13" borderId="25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 wrapText="1"/>
    </xf>
    <xf numFmtId="0" fontId="45" fillId="13" borderId="14" xfId="0" applyFont="1" applyFill="1" applyBorder="1" applyAlignment="1">
      <alignment horizontal="center" vertical="center" wrapText="1"/>
    </xf>
    <xf numFmtId="0" fontId="46" fillId="4" borderId="2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5" fillId="13" borderId="12" xfId="0" applyFont="1" applyFill="1" applyBorder="1" applyAlignment="1">
      <alignment horizontal="center" vertical="center"/>
    </xf>
    <xf numFmtId="0" fontId="45" fillId="13" borderId="1" xfId="0" applyFont="1" applyFill="1" applyBorder="1" applyAlignment="1">
      <alignment horizontal="center" vertical="center"/>
    </xf>
    <xf numFmtId="0" fontId="45" fillId="13" borderId="15" xfId="0" applyFont="1" applyFill="1" applyBorder="1" applyAlignment="1">
      <alignment horizontal="center" vertical="center"/>
    </xf>
    <xf numFmtId="0" fontId="48" fillId="4" borderId="1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0" borderId="25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7" fillId="6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12" fillId="6" borderId="12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wrapText="1"/>
    </xf>
    <xf numFmtId="0" fontId="49" fillId="0" borderId="22" xfId="0" applyFont="1" applyFill="1" applyBorder="1" applyAlignment="1">
      <alignment horizontal="center" wrapText="1"/>
    </xf>
    <xf numFmtId="0" fontId="49" fillId="0" borderId="23" xfId="0" applyFont="1" applyFill="1" applyBorder="1" applyAlignment="1">
      <alignment horizontal="center" wrapText="1"/>
    </xf>
    <xf numFmtId="49" fontId="15" fillId="6" borderId="61" xfId="0" applyNumberFormat="1" applyFont="1" applyFill="1" applyBorder="1" applyAlignment="1">
      <alignment horizontal="center" wrapText="1"/>
    </xf>
    <xf numFmtId="49" fontId="15" fillId="6" borderId="0" xfId="0" applyNumberFormat="1" applyFont="1" applyFill="1" applyBorder="1" applyAlignment="1">
      <alignment horizontal="center" wrapText="1"/>
    </xf>
    <xf numFmtId="0" fontId="0" fillId="0" borderId="53" xfId="0" applyFill="1" applyBorder="1" applyAlignment="1">
      <alignment/>
    </xf>
  </cellXfs>
  <cellStyles count="2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čerpání MV do KS" xfId="20"/>
    <cellStyle name="normální_duch osdszu08" xfId="21"/>
    <cellStyle name="normální_List1" xfId="22"/>
    <cellStyle name="normální_Příloha 1 upravená pro SZÚ 2006" xfId="23"/>
    <cellStyle name="normální_SZÚ2007seznam podle účastníků" xfId="24"/>
    <cellStyle name="normální_tab 1(PRG-Celk)" xfId="25"/>
    <cellStyle name="_x0000_normální_tab 3 (adres" xfId="26"/>
    <cellStyle name="normální_tab 3 (adres)" xfId="27"/>
    <cellStyle name="normální_tab 3 (adres)_pokus jiné sloupce příl1_pokyn NMV_ novelizace_vzorce" xfId="28"/>
    <cellStyle name="_x0000_normální_tab 5 (odpr" xfId="29"/>
    <cellStyle name="_x0000_normální_tab200" xfId="30"/>
    <cellStyle name="normální_tabulka pro ER 2008" xfId="31"/>
    <cellStyle name="normální_Tabulky č   9  2008 SZÚ" xfId="32"/>
    <cellStyle name="normální_tabulky SZÚ_2007" xfId="33"/>
    <cellStyle name="Percent" xfId="34"/>
    <cellStyle name="Followed Hyperlink" xfId="35"/>
    <cellStyle name="Styl 1" xfId="36"/>
  </cellStyles>
  <dxfs count="3">
    <dxf>
      <font>
        <color auto="1"/>
      </font>
      <border/>
    </dxf>
    <dxf>
      <font>
        <color rgb="FFFFFF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workbookViewId="0" topLeftCell="A4">
      <selection activeCell="A3" sqref="A3:R3"/>
    </sheetView>
  </sheetViews>
  <sheetFormatPr defaultColWidth="9.00390625" defaultRowHeight="12.75"/>
  <cols>
    <col min="1" max="1" width="45.75390625" style="0" customWidth="1"/>
    <col min="2" max="8" width="12.75390625" style="0" customWidth="1"/>
    <col min="9" max="9" width="12.75390625" style="0" hidden="1" customWidth="1"/>
    <col min="10" max="18" width="12.75390625" style="0" customWidth="1"/>
  </cols>
  <sheetData>
    <row r="1" spans="1:18" ht="20.25">
      <c r="A1" s="247" t="s">
        <v>2106</v>
      </c>
      <c r="B1" s="155"/>
      <c r="C1" s="155"/>
      <c r="D1" s="155"/>
      <c r="Q1" s="997" t="s">
        <v>2138</v>
      </c>
      <c r="R1" s="997"/>
    </row>
    <row r="2" spans="1:18" ht="15.75">
      <c r="A2" s="155"/>
      <c r="B2" s="155"/>
      <c r="C2" s="155"/>
      <c r="D2" s="155"/>
      <c r="Q2" s="248"/>
      <c r="R2" s="248"/>
    </row>
    <row r="3" spans="1:18" ht="33.75" customHeight="1">
      <c r="A3" s="998" t="s">
        <v>2139</v>
      </c>
      <c r="B3" s="998"/>
      <c r="C3" s="998"/>
      <c r="D3" s="998"/>
      <c r="E3" s="998"/>
      <c r="F3" s="998"/>
      <c r="G3" s="998"/>
      <c r="H3" s="998"/>
      <c r="I3" s="998"/>
      <c r="J3" s="998"/>
      <c r="K3" s="998"/>
      <c r="L3" s="998"/>
      <c r="M3" s="998"/>
      <c r="N3" s="998"/>
      <c r="O3" s="998"/>
      <c r="P3" s="998"/>
      <c r="Q3" s="998"/>
      <c r="R3" s="998"/>
    </row>
    <row r="4" ht="19.5" customHeight="1" thickBot="1">
      <c r="R4" s="246" t="s">
        <v>2109</v>
      </c>
    </row>
    <row r="5" spans="1:18" s="250" customFormat="1" ht="49.5" customHeight="1" thickTop="1">
      <c r="A5" s="999" t="s">
        <v>2118</v>
      </c>
      <c r="B5" s="1001" t="s">
        <v>2140</v>
      </c>
      <c r="C5" s="1002"/>
      <c r="D5" s="1003"/>
      <c r="E5" s="1001" t="s">
        <v>2141</v>
      </c>
      <c r="F5" s="1002"/>
      <c r="G5" s="1003"/>
      <c r="H5" s="1001" t="s">
        <v>2142</v>
      </c>
      <c r="I5" s="1002"/>
      <c r="J5" s="1004"/>
      <c r="K5" s="1003"/>
      <c r="L5" s="1001" t="s">
        <v>2143</v>
      </c>
      <c r="M5" s="1002"/>
      <c r="N5" s="1003"/>
      <c r="O5" s="1005" t="s">
        <v>2144</v>
      </c>
      <c r="P5" s="1006"/>
      <c r="Q5" s="1006"/>
      <c r="R5" s="1007"/>
    </row>
    <row r="6" spans="1:18" s="250" customFormat="1" ht="29.25" customHeight="1" thickBot="1">
      <c r="A6" s="1000"/>
      <c r="B6" s="251" t="s">
        <v>2120</v>
      </c>
      <c r="C6" s="252" t="s">
        <v>2145</v>
      </c>
      <c r="D6" s="253" t="s">
        <v>2146</v>
      </c>
      <c r="E6" s="251" t="s">
        <v>2120</v>
      </c>
      <c r="F6" s="252" t="s">
        <v>2145</v>
      </c>
      <c r="G6" s="253" t="s">
        <v>2146</v>
      </c>
      <c r="H6" s="251" t="s">
        <v>2120</v>
      </c>
      <c r="I6" s="252" t="s">
        <v>2147</v>
      </c>
      <c r="J6" s="254" t="s">
        <v>2145</v>
      </c>
      <c r="K6" s="253" t="s">
        <v>2146</v>
      </c>
      <c r="L6" s="251" t="s">
        <v>2120</v>
      </c>
      <c r="M6" s="252" t="s">
        <v>2145</v>
      </c>
      <c r="N6" s="253" t="s">
        <v>2146</v>
      </c>
      <c r="O6" s="255" t="s">
        <v>2120</v>
      </c>
      <c r="P6" s="256" t="s">
        <v>2145</v>
      </c>
      <c r="Q6" s="256" t="s">
        <v>2146</v>
      </c>
      <c r="R6" s="1008" t="s">
        <v>2148</v>
      </c>
    </row>
    <row r="7" spans="1:18" s="250" customFormat="1" ht="15" customHeight="1" thickBot="1">
      <c r="A7" s="257"/>
      <c r="B7" s="258" t="s">
        <v>2149</v>
      </c>
      <c r="C7" s="259" t="s">
        <v>2150</v>
      </c>
      <c r="D7" s="260" t="s">
        <v>2151</v>
      </c>
      <c r="E7" s="258" t="s">
        <v>2149</v>
      </c>
      <c r="F7" s="259" t="s">
        <v>2150</v>
      </c>
      <c r="G7" s="260" t="s">
        <v>2151</v>
      </c>
      <c r="H7" s="258" t="s">
        <v>2149</v>
      </c>
      <c r="I7" s="259"/>
      <c r="J7" s="261" t="s">
        <v>2150</v>
      </c>
      <c r="K7" s="260" t="s">
        <v>2151</v>
      </c>
      <c r="L7" s="258" t="s">
        <v>2149</v>
      </c>
      <c r="M7" s="259" t="s">
        <v>2150</v>
      </c>
      <c r="N7" s="260" t="s">
        <v>2151</v>
      </c>
      <c r="O7" s="258" t="s">
        <v>2149</v>
      </c>
      <c r="P7" s="259" t="s">
        <v>2150</v>
      </c>
      <c r="Q7" s="260" t="s">
        <v>2151</v>
      </c>
      <c r="R7" s="1009"/>
    </row>
    <row r="8" spans="1:18" s="250" customFormat="1" ht="18" customHeight="1">
      <c r="A8" s="262" t="s">
        <v>2152</v>
      </c>
      <c r="B8" s="263">
        <v>3500</v>
      </c>
      <c r="C8" s="264">
        <v>2482</v>
      </c>
      <c r="D8" s="265">
        <f>B8-C8</f>
        <v>1018</v>
      </c>
      <c r="E8" s="263">
        <f>1159786-B8</f>
        <v>1156286</v>
      </c>
      <c r="F8" s="264">
        <f>1123712-C8</f>
        <v>1121230</v>
      </c>
      <c r="G8" s="265">
        <f>E8-F8</f>
        <v>35056</v>
      </c>
      <c r="H8" s="263">
        <v>150874</v>
      </c>
      <c r="I8" s="264">
        <v>47988</v>
      </c>
      <c r="J8" s="264">
        <v>33681</v>
      </c>
      <c r="K8" s="265">
        <f>H8-J8</f>
        <v>117193</v>
      </c>
      <c r="L8" s="263">
        <f>197200+11085+73429+71</f>
        <v>281785</v>
      </c>
      <c r="M8" s="264">
        <f>(1996+126335+85929+71)+I8-J8</f>
        <v>228638</v>
      </c>
      <c r="N8" s="265">
        <f>L8-M8</f>
        <v>53147</v>
      </c>
      <c r="O8" s="266">
        <f>B8+E8+H8+L8</f>
        <v>1592445</v>
      </c>
      <c r="P8" s="264">
        <f>C8+F8+J8+M8</f>
        <v>1386031</v>
      </c>
      <c r="Q8" s="267">
        <f>D8+G8+K8+N8</f>
        <v>206414</v>
      </c>
      <c r="R8" s="268">
        <f>P8/O8*100</f>
        <v>87.03791967697472</v>
      </c>
    </row>
    <row r="9" spans="1:18" s="250" customFormat="1" ht="18" customHeight="1" thickBot="1">
      <c r="A9" s="269" t="s">
        <v>2153</v>
      </c>
      <c r="B9" s="270">
        <v>0</v>
      </c>
      <c r="C9" s="271">
        <v>4</v>
      </c>
      <c r="D9" s="272">
        <f>B9-C9</f>
        <v>-4</v>
      </c>
      <c r="E9" s="270">
        <f>4328422-B9</f>
        <v>4328422</v>
      </c>
      <c r="F9" s="271">
        <f>4349340-C9</f>
        <v>4349336</v>
      </c>
      <c r="G9" s="272">
        <f aca="true" t="shared" si="0" ref="G9:G39">E9-F9</f>
        <v>-20914</v>
      </c>
      <c r="H9" s="270">
        <v>51225</v>
      </c>
      <c r="I9" s="271">
        <v>80204</v>
      </c>
      <c r="J9" s="271">
        <v>16600</v>
      </c>
      <c r="K9" s="265">
        <f>H9-J9</f>
        <v>34625</v>
      </c>
      <c r="L9" s="270">
        <f>113606+257048</f>
        <v>370654</v>
      </c>
      <c r="M9" s="271">
        <f>(108273+59129)+I9-J9</f>
        <v>231006</v>
      </c>
      <c r="N9" s="272">
        <f>L9-M9</f>
        <v>139648</v>
      </c>
      <c r="O9" s="273">
        <f>B9+E9+H9+L9</f>
        <v>4750301</v>
      </c>
      <c r="P9" s="271">
        <f>C9+F9+J9+M9</f>
        <v>4596946</v>
      </c>
      <c r="Q9" s="274">
        <f>D9+G9+K9+N9</f>
        <v>153355</v>
      </c>
      <c r="R9" s="275">
        <f aca="true" t="shared" si="1" ref="R9:R40">P9/O9*100</f>
        <v>96.77167825786196</v>
      </c>
    </row>
    <row r="10" spans="1:18" s="250" customFormat="1" ht="18" customHeight="1" thickBot="1">
      <c r="A10" s="276" t="s">
        <v>2154</v>
      </c>
      <c r="B10" s="277">
        <f>B8+B9</f>
        <v>3500</v>
      </c>
      <c r="C10" s="278">
        <f>C8+C9</f>
        <v>2486</v>
      </c>
      <c r="D10" s="279">
        <f>D8+D9</f>
        <v>1014</v>
      </c>
      <c r="E10" s="277">
        <f aca="true" t="shared" si="2" ref="E10:Q10">E8+E9</f>
        <v>5484708</v>
      </c>
      <c r="F10" s="278">
        <f t="shared" si="2"/>
        <v>5470566</v>
      </c>
      <c r="G10" s="279">
        <f t="shared" si="2"/>
        <v>14142</v>
      </c>
      <c r="H10" s="277">
        <f t="shared" si="2"/>
        <v>202099</v>
      </c>
      <c r="I10" s="278">
        <f t="shared" si="2"/>
        <v>128192</v>
      </c>
      <c r="J10" s="278">
        <f t="shared" si="2"/>
        <v>50281</v>
      </c>
      <c r="K10" s="279">
        <f t="shared" si="2"/>
        <v>151818</v>
      </c>
      <c r="L10" s="277">
        <f t="shared" si="2"/>
        <v>652439</v>
      </c>
      <c r="M10" s="278">
        <f t="shared" si="2"/>
        <v>459644</v>
      </c>
      <c r="N10" s="279">
        <f t="shared" si="2"/>
        <v>192795</v>
      </c>
      <c r="O10" s="280">
        <f t="shared" si="2"/>
        <v>6342746</v>
      </c>
      <c r="P10" s="278">
        <f t="shared" si="2"/>
        <v>5982977</v>
      </c>
      <c r="Q10" s="281">
        <f t="shared" si="2"/>
        <v>359769</v>
      </c>
      <c r="R10" s="282">
        <f t="shared" si="1"/>
        <v>94.32786682613494</v>
      </c>
    </row>
    <row r="11" spans="1:18" s="250" customFormat="1" ht="18" customHeight="1">
      <c r="A11" s="262" t="s">
        <v>2155</v>
      </c>
      <c r="B11" s="263">
        <v>0</v>
      </c>
      <c r="C11" s="264">
        <v>0</v>
      </c>
      <c r="D11" s="265">
        <f>B11-C11</f>
        <v>0</v>
      </c>
      <c r="E11" s="263">
        <v>38247</v>
      </c>
      <c r="F11" s="264">
        <v>37667</v>
      </c>
      <c r="G11" s="265">
        <f t="shared" si="0"/>
        <v>580</v>
      </c>
      <c r="H11" s="263">
        <v>0</v>
      </c>
      <c r="I11" s="264">
        <v>2655</v>
      </c>
      <c r="J11" s="264">
        <v>2599</v>
      </c>
      <c r="K11" s="265">
        <f>H11-J11</f>
        <v>-2599</v>
      </c>
      <c r="L11" s="263">
        <v>8743</v>
      </c>
      <c r="M11" s="264">
        <f>(8705+357)+I11-J11</f>
        <v>9118</v>
      </c>
      <c r="N11" s="265">
        <f>L11-M11</f>
        <v>-375</v>
      </c>
      <c r="O11" s="266">
        <f>B11+E11+H11+L11</f>
        <v>46990</v>
      </c>
      <c r="P11" s="264">
        <f>C11+F11+J11+M11</f>
        <v>49384</v>
      </c>
      <c r="Q11" s="267">
        <f>D11+G11+K11+N11</f>
        <v>-2394</v>
      </c>
      <c r="R11" s="268">
        <f t="shared" si="1"/>
        <v>105.09470100021281</v>
      </c>
    </row>
    <row r="12" spans="1:18" s="250" customFormat="1" ht="18" customHeight="1">
      <c r="A12" s="283" t="s">
        <v>2156</v>
      </c>
      <c r="B12" s="284">
        <v>0</v>
      </c>
      <c r="C12" s="285">
        <v>0</v>
      </c>
      <c r="D12" s="286">
        <f>B12-C12</f>
        <v>0</v>
      </c>
      <c r="E12" s="284">
        <v>1213775</v>
      </c>
      <c r="F12" s="285">
        <v>1217664</v>
      </c>
      <c r="G12" s="286">
        <f t="shared" si="0"/>
        <v>-3889</v>
      </c>
      <c r="H12" s="284">
        <v>0</v>
      </c>
      <c r="I12" s="285">
        <v>9626</v>
      </c>
      <c r="J12" s="285">
        <v>1569</v>
      </c>
      <c r="K12" s="265">
        <f>H12-J12</f>
        <v>-1569</v>
      </c>
      <c r="L12" s="284">
        <f>29029+21491</f>
        <v>50520</v>
      </c>
      <c r="M12" s="285">
        <f>(107608+99950)+I12-J12</f>
        <v>215615</v>
      </c>
      <c r="N12" s="286">
        <f>L12-M12</f>
        <v>-165095</v>
      </c>
      <c r="O12" s="266">
        <f aca="true" t="shared" si="3" ref="O12:O25">B12+E12+H12+L12</f>
        <v>1264295</v>
      </c>
      <c r="P12" s="285">
        <f aca="true" t="shared" si="4" ref="P12:Q34">C12+F12+J12+M12</f>
        <v>1434848</v>
      </c>
      <c r="Q12" s="267">
        <f>D12+G12+K12+N12</f>
        <v>-170553</v>
      </c>
      <c r="R12" s="287">
        <f t="shared" si="1"/>
        <v>113.48996871774388</v>
      </c>
    </row>
    <row r="13" spans="1:18" s="250" customFormat="1" ht="18" customHeight="1" thickBot="1">
      <c r="A13" s="269" t="s">
        <v>2209</v>
      </c>
      <c r="B13" s="270">
        <v>0</v>
      </c>
      <c r="C13" s="271">
        <v>0</v>
      </c>
      <c r="D13" s="272">
        <f>B13-C13</f>
        <v>0</v>
      </c>
      <c r="E13" s="270">
        <v>3121</v>
      </c>
      <c r="F13" s="271">
        <v>3197</v>
      </c>
      <c r="G13" s="272">
        <f t="shared" si="0"/>
        <v>-76</v>
      </c>
      <c r="H13" s="270">
        <v>0</v>
      </c>
      <c r="I13" s="271">
        <v>8</v>
      </c>
      <c r="J13" s="271">
        <v>0</v>
      </c>
      <c r="K13" s="265">
        <f>H13-J13</f>
        <v>0</v>
      </c>
      <c r="L13" s="270">
        <v>80</v>
      </c>
      <c r="M13" s="271">
        <f>283+I13-J13</f>
        <v>291</v>
      </c>
      <c r="N13" s="272">
        <f>L13-M13</f>
        <v>-211</v>
      </c>
      <c r="O13" s="273">
        <f t="shared" si="3"/>
        <v>3201</v>
      </c>
      <c r="P13" s="271">
        <f t="shared" si="4"/>
        <v>3488</v>
      </c>
      <c r="Q13" s="274">
        <f>D13+G13+K13+N13</f>
        <v>-287</v>
      </c>
      <c r="R13" s="275">
        <f t="shared" si="1"/>
        <v>108.96594814120589</v>
      </c>
    </row>
    <row r="14" spans="1:18" s="250" customFormat="1" ht="18" customHeight="1" thickBot="1">
      <c r="A14" s="276" t="s">
        <v>2157</v>
      </c>
      <c r="B14" s="277">
        <f>B11+B12+B13</f>
        <v>0</v>
      </c>
      <c r="C14" s="278">
        <f>C11+C12+C13</f>
        <v>0</v>
      </c>
      <c r="D14" s="279">
        <f>D11+D12+D13</f>
        <v>0</v>
      </c>
      <c r="E14" s="277">
        <f aca="true" t="shared" si="5" ref="E14:Q14">E11+E12+E13</f>
        <v>1255143</v>
      </c>
      <c r="F14" s="278">
        <f t="shared" si="5"/>
        <v>1258528</v>
      </c>
      <c r="G14" s="279">
        <f t="shared" si="5"/>
        <v>-3385</v>
      </c>
      <c r="H14" s="277">
        <f t="shared" si="5"/>
        <v>0</v>
      </c>
      <c r="I14" s="278">
        <f t="shared" si="5"/>
        <v>12289</v>
      </c>
      <c r="J14" s="278">
        <f t="shared" si="5"/>
        <v>4168</v>
      </c>
      <c r="K14" s="279">
        <f t="shared" si="5"/>
        <v>-4168</v>
      </c>
      <c r="L14" s="288">
        <f t="shared" si="5"/>
        <v>59343</v>
      </c>
      <c r="M14" s="289">
        <f t="shared" si="5"/>
        <v>225024</v>
      </c>
      <c r="N14" s="290">
        <f t="shared" si="5"/>
        <v>-165681</v>
      </c>
      <c r="O14" s="280">
        <f t="shared" si="5"/>
        <v>1314486</v>
      </c>
      <c r="P14" s="278">
        <f t="shared" si="5"/>
        <v>1487720</v>
      </c>
      <c r="Q14" s="281">
        <f t="shared" si="5"/>
        <v>-173234</v>
      </c>
      <c r="R14" s="282">
        <f t="shared" si="1"/>
        <v>113.17883948554797</v>
      </c>
    </row>
    <row r="15" spans="1:18" s="250" customFormat="1" ht="18" customHeight="1" thickBot="1">
      <c r="A15" s="276" t="s">
        <v>2158</v>
      </c>
      <c r="B15" s="277">
        <v>11969</v>
      </c>
      <c r="C15" s="278">
        <v>8393</v>
      </c>
      <c r="D15" s="279">
        <f aca="true" t="shared" si="6" ref="D15:D21">B15-C15</f>
        <v>3576</v>
      </c>
      <c r="E15" s="277">
        <f>48878-B15</f>
        <v>36909</v>
      </c>
      <c r="F15" s="278">
        <f>43780-C15</f>
        <v>35387</v>
      </c>
      <c r="G15" s="279">
        <f t="shared" si="0"/>
        <v>1522</v>
      </c>
      <c r="H15" s="277">
        <v>2495486</v>
      </c>
      <c r="I15" s="278">
        <v>184151</v>
      </c>
      <c r="J15" s="278">
        <v>184143</v>
      </c>
      <c r="K15" s="291">
        <f>H15-J15</f>
        <v>2311343</v>
      </c>
      <c r="L15" s="277">
        <f>84175+122655</f>
        <v>206830</v>
      </c>
      <c r="M15" s="278">
        <f>(369728+48567)+I15-J15</f>
        <v>418303</v>
      </c>
      <c r="N15" s="279">
        <f aca="true" t="shared" si="7" ref="N15:N21">L15-M15</f>
        <v>-211473</v>
      </c>
      <c r="O15" s="280">
        <f t="shared" si="3"/>
        <v>2751194</v>
      </c>
      <c r="P15" s="278">
        <f t="shared" si="4"/>
        <v>646226</v>
      </c>
      <c r="Q15" s="281">
        <f t="shared" si="4"/>
        <v>2104968</v>
      </c>
      <c r="R15" s="282">
        <f t="shared" si="1"/>
        <v>23.488928806910746</v>
      </c>
    </row>
    <row r="16" spans="1:18" s="250" customFormat="1" ht="18" customHeight="1">
      <c r="A16" s="262" t="s">
        <v>2159</v>
      </c>
      <c r="B16" s="263">
        <v>0</v>
      </c>
      <c r="C16" s="264">
        <v>0</v>
      </c>
      <c r="D16" s="265">
        <f t="shared" si="6"/>
        <v>0</v>
      </c>
      <c r="E16" s="263">
        <v>15834</v>
      </c>
      <c r="F16" s="264">
        <v>15088</v>
      </c>
      <c r="G16" s="265">
        <f t="shared" si="0"/>
        <v>746</v>
      </c>
      <c r="H16" s="263">
        <v>0</v>
      </c>
      <c r="I16" s="264">
        <v>0</v>
      </c>
      <c r="J16" s="264">
        <v>0</v>
      </c>
      <c r="K16" s="265">
        <f>H16-J16</f>
        <v>0</v>
      </c>
      <c r="L16" s="263">
        <f>1280+10020</f>
        <v>11300</v>
      </c>
      <c r="M16" s="264">
        <f>1777+133</f>
        <v>1910</v>
      </c>
      <c r="N16" s="265">
        <f t="shared" si="7"/>
        <v>9390</v>
      </c>
      <c r="O16" s="266">
        <f t="shared" si="3"/>
        <v>27134</v>
      </c>
      <c r="P16" s="264">
        <f t="shared" si="4"/>
        <v>16998</v>
      </c>
      <c r="Q16" s="267">
        <f t="shared" si="4"/>
        <v>10136</v>
      </c>
      <c r="R16" s="268">
        <f t="shared" si="1"/>
        <v>62.644652465541384</v>
      </c>
    </row>
    <row r="17" spans="1:18" s="250" customFormat="1" ht="18" customHeight="1">
      <c r="A17" s="283" t="s">
        <v>2160</v>
      </c>
      <c r="B17" s="284">
        <v>0</v>
      </c>
      <c r="C17" s="285">
        <v>0</v>
      </c>
      <c r="D17" s="286">
        <f t="shared" si="6"/>
        <v>0</v>
      </c>
      <c r="E17" s="284">
        <v>11276</v>
      </c>
      <c r="F17" s="285">
        <v>10974</v>
      </c>
      <c r="G17" s="286">
        <f t="shared" si="0"/>
        <v>302</v>
      </c>
      <c r="H17" s="284">
        <v>11345</v>
      </c>
      <c r="I17" s="285">
        <v>5</v>
      </c>
      <c r="J17" s="285">
        <v>0</v>
      </c>
      <c r="K17" s="265">
        <f aca="true" t="shared" si="8" ref="K17:K25">H17-J17</f>
        <v>11345</v>
      </c>
      <c r="L17" s="284">
        <v>330</v>
      </c>
      <c r="M17" s="285">
        <f>(1418+70)+I17-J17</f>
        <v>1493</v>
      </c>
      <c r="N17" s="286">
        <f t="shared" si="7"/>
        <v>-1163</v>
      </c>
      <c r="O17" s="266">
        <f t="shared" si="3"/>
        <v>22951</v>
      </c>
      <c r="P17" s="285">
        <f t="shared" si="4"/>
        <v>12467</v>
      </c>
      <c r="Q17" s="267">
        <f t="shared" si="4"/>
        <v>10484</v>
      </c>
      <c r="R17" s="287">
        <f t="shared" si="1"/>
        <v>54.320073199424854</v>
      </c>
    </row>
    <row r="18" spans="1:18" s="250" customFormat="1" ht="18" customHeight="1">
      <c r="A18" s="283" t="s">
        <v>2161</v>
      </c>
      <c r="B18" s="284">
        <v>0</v>
      </c>
      <c r="C18" s="285">
        <v>0</v>
      </c>
      <c r="D18" s="286">
        <f t="shared" si="6"/>
        <v>0</v>
      </c>
      <c r="E18" s="284">
        <v>16535</v>
      </c>
      <c r="F18" s="285">
        <v>16236</v>
      </c>
      <c r="G18" s="286">
        <f t="shared" si="0"/>
        <v>299</v>
      </c>
      <c r="H18" s="284">
        <v>49953</v>
      </c>
      <c r="I18" s="285">
        <v>33</v>
      </c>
      <c r="J18" s="285">
        <v>24</v>
      </c>
      <c r="K18" s="265">
        <f t="shared" si="8"/>
        <v>49929</v>
      </c>
      <c r="L18" s="284">
        <v>2010</v>
      </c>
      <c r="M18" s="285">
        <f>(2434+1603)+I18-J18</f>
        <v>4046</v>
      </c>
      <c r="N18" s="286">
        <f t="shared" si="7"/>
        <v>-2036</v>
      </c>
      <c r="O18" s="266">
        <f t="shared" si="3"/>
        <v>68498</v>
      </c>
      <c r="P18" s="285">
        <f t="shared" si="4"/>
        <v>20306</v>
      </c>
      <c r="Q18" s="267">
        <f t="shared" si="4"/>
        <v>48192</v>
      </c>
      <c r="R18" s="287">
        <f t="shared" si="1"/>
        <v>29.644661157990015</v>
      </c>
    </row>
    <row r="19" spans="1:18" s="250" customFormat="1" ht="18" customHeight="1">
      <c r="A19" s="283" t="s">
        <v>2162</v>
      </c>
      <c r="B19" s="284">
        <v>0</v>
      </c>
      <c r="C19" s="285">
        <v>0</v>
      </c>
      <c r="D19" s="286">
        <f t="shared" si="6"/>
        <v>0</v>
      </c>
      <c r="E19" s="284">
        <v>4387</v>
      </c>
      <c r="F19" s="285">
        <v>4409</v>
      </c>
      <c r="G19" s="286">
        <f t="shared" si="0"/>
        <v>-22</v>
      </c>
      <c r="H19" s="284">
        <v>0</v>
      </c>
      <c r="I19" s="285">
        <v>2</v>
      </c>
      <c r="J19" s="285">
        <v>0</v>
      </c>
      <c r="K19" s="265">
        <f t="shared" si="8"/>
        <v>0</v>
      </c>
      <c r="L19" s="284">
        <v>50</v>
      </c>
      <c r="M19" s="285">
        <f>(264+9)+I19-J19</f>
        <v>275</v>
      </c>
      <c r="N19" s="286">
        <f t="shared" si="7"/>
        <v>-225</v>
      </c>
      <c r="O19" s="266">
        <f t="shared" si="3"/>
        <v>4437</v>
      </c>
      <c r="P19" s="285">
        <f t="shared" si="4"/>
        <v>4684</v>
      </c>
      <c r="Q19" s="267">
        <f t="shared" si="4"/>
        <v>-247</v>
      </c>
      <c r="R19" s="287">
        <f>P19/O19*100</f>
        <v>105.5668244309218</v>
      </c>
    </row>
    <row r="20" spans="1:18" s="250" customFormat="1" ht="18" customHeight="1">
      <c r="A20" s="283" t="s">
        <v>2163</v>
      </c>
      <c r="B20" s="284">
        <v>0</v>
      </c>
      <c r="C20" s="285">
        <v>0</v>
      </c>
      <c r="D20" s="286">
        <f t="shared" si="6"/>
        <v>0</v>
      </c>
      <c r="E20" s="284">
        <v>5418</v>
      </c>
      <c r="F20" s="285">
        <v>4946</v>
      </c>
      <c r="G20" s="286">
        <f t="shared" si="0"/>
        <v>472</v>
      </c>
      <c r="H20" s="284">
        <v>0</v>
      </c>
      <c r="I20" s="285">
        <v>0</v>
      </c>
      <c r="J20" s="285">
        <v>0</v>
      </c>
      <c r="K20" s="265">
        <f t="shared" si="8"/>
        <v>0</v>
      </c>
      <c r="L20" s="284">
        <v>65</v>
      </c>
      <c r="M20" s="285">
        <f>551+7</f>
        <v>558</v>
      </c>
      <c r="N20" s="286">
        <f t="shared" si="7"/>
        <v>-493</v>
      </c>
      <c r="O20" s="266">
        <f t="shared" si="3"/>
        <v>5483</v>
      </c>
      <c r="P20" s="285">
        <f t="shared" si="4"/>
        <v>5504</v>
      </c>
      <c r="Q20" s="267">
        <f t="shared" si="4"/>
        <v>-21</v>
      </c>
      <c r="R20" s="287">
        <f t="shared" si="1"/>
        <v>100.38300200620098</v>
      </c>
    </row>
    <row r="21" spans="1:18" s="250" customFormat="1" ht="18" customHeight="1" thickBot="1">
      <c r="A21" s="269" t="s">
        <v>2164</v>
      </c>
      <c r="B21" s="270">
        <v>0</v>
      </c>
      <c r="C21" s="271">
        <v>0</v>
      </c>
      <c r="D21" s="272">
        <f t="shared" si="6"/>
        <v>0</v>
      </c>
      <c r="E21" s="270">
        <v>2754</v>
      </c>
      <c r="F21" s="271">
        <v>2857</v>
      </c>
      <c r="G21" s="272">
        <f t="shared" si="0"/>
        <v>-103</v>
      </c>
      <c r="H21" s="270">
        <v>0</v>
      </c>
      <c r="I21" s="271">
        <v>1</v>
      </c>
      <c r="J21" s="271">
        <v>0</v>
      </c>
      <c r="K21" s="265">
        <f t="shared" si="8"/>
        <v>0</v>
      </c>
      <c r="L21" s="270">
        <v>41</v>
      </c>
      <c r="M21" s="271">
        <f>(35+8)+I21-J21</f>
        <v>44</v>
      </c>
      <c r="N21" s="272">
        <f t="shared" si="7"/>
        <v>-3</v>
      </c>
      <c r="O21" s="273">
        <f t="shared" si="3"/>
        <v>2795</v>
      </c>
      <c r="P21" s="271">
        <f t="shared" si="4"/>
        <v>2901</v>
      </c>
      <c r="Q21" s="274">
        <f t="shared" si="4"/>
        <v>-106</v>
      </c>
      <c r="R21" s="275">
        <f t="shared" si="1"/>
        <v>103.79248658318426</v>
      </c>
    </row>
    <row r="22" spans="1:18" s="250" customFormat="1" ht="18" customHeight="1" thickBot="1">
      <c r="A22" s="276" t="s">
        <v>2165</v>
      </c>
      <c r="B22" s="277">
        <f>B21+B20+B19+B18+B17+B16</f>
        <v>0</v>
      </c>
      <c r="C22" s="278">
        <f>C21+C20+C19+C18+C17+C16</f>
        <v>0</v>
      </c>
      <c r="D22" s="279">
        <f>D21+D20+D19+D18+D17+D16</f>
        <v>0</v>
      </c>
      <c r="E22" s="277">
        <f aca="true" t="shared" si="9" ref="E22:Q22">E21+E20+E19+E18+E17+E16</f>
        <v>56204</v>
      </c>
      <c r="F22" s="278">
        <f t="shared" si="9"/>
        <v>54510</v>
      </c>
      <c r="G22" s="279">
        <f t="shared" si="9"/>
        <v>1694</v>
      </c>
      <c r="H22" s="277">
        <f t="shared" si="9"/>
        <v>61298</v>
      </c>
      <c r="I22" s="278">
        <f t="shared" si="9"/>
        <v>41</v>
      </c>
      <c r="J22" s="278">
        <f t="shared" si="9"/>
        <v>24</v>
      </c>
      <c r="K22" s="279">
        <f t="shared" si="9"/>
        <v>61274</v>
      </c>
      <c r="L22" s="277">
        <f t="shared" si="9"/>
        <v>13796</v>
      </c>
      <c r="M22" s="278">
        <f t="shared" si="9"/>
        <v>8326</v>
      </c>
      <c r="N22" s="279">
        <f t="shared" si="9"/>
        <v>5470</v>
      </c>
      <c r="O22" s="280">
        <f t="shared" si="9"/>
        <v>131298</v>
      </c>
      <c r="P22" s="278">
        <f t="shared" si="9"/>
        <v>62860</v>
      </c>
      <c r="Q22" s="281">
        <f t="shared" si="9"/>
        <v>68438</v>
      </c>
      <c r="R22" s="282">
        <f t="shared" si="1"/>
        <v>47.875824460387825</v>
      </c>
    </row>
    <row r="23" spans="1:18" s="250" customFormat="1" ht="18" customHeight="1" thickBot="1">
      <c r="A23" s="292" t="s">
        <v>2093</v>
      </c>
      <c r="B23" s="293">
        <v>0</v>
      </c>
      <c r="C23" s="294">
        <v>0</v>
      </c>
      <c r="D23" s="295">
        <f>B23-C23</f>
        <v>0</v>
      </c>
      <c r="E23" s="293">
        <v>5385</v>
      </c>
      <c r="F23" s="294">
        <v>5114</v>
      </c>
      <c r="G23" s="295">
        <f t="shared" si="0"/>
        <v>271</v>
      </c>
      <c r="H23" s="293">
        <v>1163</v>
      </c>
      <c r="I23" s="294">
        <v>1293</v>
      </c>
      <c r="J23" s="294">
        <v>1293</v>
      </c>
      <c r="K23" s="265">
        <f t="shared" si="8"/>
        <v>-130</v>
      </c>
      <c r="L23" s="293">
        <v>4800</v>
      </c>
      <c r="M23" s="294">
        <v>7096</v>
      </c>
      <c r="N23" s="295">
        <f>L23-M23</f>
        <v>-2296</v>
      </c>
      <c r="O23" s="273">
        <f t="shared" si="3"/>
        <v>11348</v>
      </c>
      <c r="P23" s="294">
        <f t="shared" si="4"/>
        <v>13503</v>
      </c>
      <c r="Q23" s="274">
        <f>D23+G23+K23+N23</f>
        <v>-2155</v>
      </c>
      <c r="R23" s="296">
        <f t="shared" si="1"/>
        <v>118.99013041945716</v>
      </c>
    </row>
    <row r="24" spans="1:18" s="250" customFormat="1" ht="18" customHeight="1" thickBot="1">
      <c r="A24" s="276" t="s">
        <v>2166</v>
      </c>
      <c r="B24" s="277">
        <f>B23+B22</f>
        <v>0</v>
      </c>
      <c r="C24" s="278">
        <f>C23+C22</f>
        <v>0</v>
      </c>
      <c r="D24" s="279">
        <f>D23+D22</f>
        <v>0</v>
      </c>
      <c r="E24" s="277">
        <f aca="true" t="shared" si="10" ref="E24:Q24">E23+E22</f>
        <v>61589</v>
      </c>
      <c r="F24" s="278">
        <f t="shared" si="10"/>
        <v>59624</v>
      </c>
      <c r="G24" s="279">
        <f t="shared" si="10"/>
        <v>1965</v>
      </c>
      <c r="H24" s="277">
        <f t="shared" si="10"/>
        <v>62461</v>
      </c>
      <c r="I24" s="278">
        <f t="shared" si="10"/>
        <v>1334</v>
      </c>
      <c r="J24" s="278">
        <f t="shared" si="10"/>
        <v>1317</v>
      </c>
      <c r="K24" s="279">
        <f t="shared" si="10"/>
        <v>61144</v>
      </c>
      <c r="L24" s="277">
        <f t="shared" si="10"/>
        <v>18596</v>
      </c>
      <c r="M24" s="278">
        <f t="shared" si="10"/>
        <v>15422</v>
      </c>
      <c r="N24" s="279">
        <f t="shared" si="10"/>
        <v>3174</v>
      </c>
      <c r="O24" s="280">
        <f t="shared" si="10"/>
        <v>142646</v>
      </c>
      <c r="P24" s="278">
        <f t="shared" si="10"/>
        <v>76363</v>
      </c>
      <c r="Q24" s="281">
        <f t="shared" si="10"/>
        <v>66283</v>
      </c>
      <c r="R24" s="282">
        <f t="shared" si="1"/>
        <v>53.53322210226715</v>
      </c>
    </row>
    <row r="25" spans="1:18" s="250" customFormat="1" ht="18" customHeight="1" thickBot="1">
      <c r="A25" s="292" t="s">
        <v>2167</v>
      </c>
      <c r="B25" s="293">
        <v>0</v>
      </c>
      <c r="C25" s="294">
        <v>0</v>
      </c>
      <c r="D25" s="295">
        <f>B25-C25</f>
        <v>0</v>
      </c>
      <c r="E25" s="293">
        <v>0</v>
      </c>
      <c r="F25" s="294">
        <v>0</v>
      </c>
      <c r="G25" s="295">
        <f t="shared" si="0"/>
        <v>0</v>
      </c>
      <c r="H25" s="293">
        <v>0</v>
      </c>
      <c r="I25" s="294">
        <v>49</v>
      </c>
      <c r="J25" s="294">
        <v>0</v>
      </c>
      <c r="K25" s="265">
        <f t="shared" si="8"/>
        <v>0</v>
      </c>
      <c r="L25" s="293">
        <v>220</v>
      </c>
      <c r="M25" s="294">
        <f>(365+21)+I25-J25</f>
        <v>435</v>
      </c>
      <c r="N25" s="295">
        <f>L25-M25</f>
        <v>-215</v>
      </c>
      <c r="O25" s="273">
        <f t="shared" si="3"/>
        <v>220</v>
      </c>
      <c r="P25" s="294">
        <f t="shared" si="4"/>
        <v>435</v>
      </c>
      <c r="Q25" s="274">
        <f>D25+G25+K25+N25</f>
        <v>-215</v>
      </c>
      <c r="R25" s="296">
        <f t="shared" si="1"/>
        <v>197.72727272727272</v>
      </c>
    </row>
    <row r="26" spans="1:18" s="250" customFormat="1" ht="18" customHeight="1" thickBot="1">
      <c r="A26" s="276" t="s">
        <v>2168</v>
      </c>
      <c r="B26" s="277">
        <f>B25+B24</f>
        <v>0</v>
      </c>
      <c r="C26" s="278">
        <f>C25+C24</f>
        <v>0</v>
      </c>
      <c r="D26" s="279">
        <f>D25+D24</f>
        <v>0</v>
      </c>
      <c r="E26" s="277">
        <f aca="true" t="shared" si="11" ref="E26:Q26">E25+E24</f>
        <v>61589</v>
      </c>
      <c r="F26" s="278">
        <f t="shared" si="11"/>
        <v>59624</v>
      </c>
      <c r="G26" s="279">
        <f t="shared" si="11"/>
        <v>1965</v>
      </c>
      <c r="H26" s="277">
        <f t="shared" si="11"/>
        <v>62461</v>
      </c>
      <c r="I26" s="278">
        <f t="shared" si="11"/>
        <v>1383</v>
      </c>
      <c r="J26" s="278">
        <f t="shared" si="11"/>
        <v>1317</v>
      </c>
      <c r="K26" s="279">
        <f t="shared" si="11"/>
        <v>61144</v>
      </c>
      <c r="L26" s="277">
        <f t="shared" si="11"/>
        <v>18816</v>
      </c>
      <c r="M26" s="278">
        <f t="shared" si="11"/>
        <v>15857</v>
      </c>
      <c r="N26" s="279">
        <f t="shared" si="11"/>
        <v>2959</v>
      </c>
      <c r="O26" s="280">
        <f t="shared" si="11"/>
        <v>142866</v>
      </c>
      <c r="P26" s="278">
        <f t="shared" si="11"/>
        <v>76798</v>
      </c>
      <c r="Q26" s="281">
        <f t="shared" si="11"/>
        <v>66068</v>
      </c>
      <c r="R26" s="282">
        <f t="shared" si="1"/>
        <v>53.75526717343525</v>
      </c>
    </row>
    <row r="27" spans="1:18" s="250" customFormat="1" ht="18" customHeight="1">
      <c r="A27" s="262" t="s">
        <v>2169</v>
      </c>
      <c r="B27" s="263">
        <v>0</v>
      </c>
      <c r="C27" s="264">
        <v>0</v>
      </c>
      <c r="D27" s="265">
        <f aca="true" t="shared" si="12" ref="D27:D34">B27-C27</f>
        <v>0</v>
      </c>
      <c r="E27" s="263">
        <v>0</v>
      </c>
      <c r="F27" s="264">
        <v>0</v>
      </c>
      <c r="G27" s="265">
        <f t="shared" si="0"/>
        <v>0</v>
      </c>
      <c r="H27" s="263">
        <v>0</v>
      </c>
      <c r="I27" s="264">
        <v>586</v>
      </c>
      <c r="J27" s="264">
        <v>0</v>
      </c>
      <c r="K27" s="265">
        <f>H27-J27</f>
        <v>0</v>
      </c>
      <c r="L27" s="263">
        <v>700</v>
      </c>
      <c r="M27" s="264">
        <f>1160+I27-J27</f>
        <v>1746</v>
      </c>
      <c r="N27" s="265">
        <f aca="true" t="shared" si="13" ref="N27:N34">L27-M27</f>
        <v>-1046</v>
      </c>
      <c r="O27" s="266">
        <f>B27+E27+H27+L27</f>
        <v>700</v>
      </c>
      <c r="P27" s="264">
        <f t="shared" si="4"/>
        <v>1746</v>
      </c>
      <c r="Q27" s="267">
        <f t="shared" si="4"/>
        <v>-1046</v>
      </c>
      <c r="R27" s="268">
        <f t="shared" si="1"/>
        <v>249.42857142857142</v>
      </c>
    </row>
    <row r="28" spans="1:18" s="250" customFormat="1" ht="18" customHeight="1">
      <c r="A28" s="283" t="s">
        <v>2123</v>
      </c>
      <c r="B28" s="284">
        <v>0</v>
      </c>
      <c r="C28" s="285">
        <v>0</v>
      </c>
      <c r="D28" s="286">
        <f t="shared" si="12"/>
        <v>0</v>
      </c>
      <c r="E28" s="284">
        <v>0</v>
      </c>
      <c r="F28" s="285">
        <v>0</v>
      </c>
      <c r="G28" s="286">
        <f t="shared" si="0"/>
        <v>0</v>
      </c>
      <c r="H28" s="284">
        <v>0</v>
      </c>
      <c r="I28" s="285">
        <v>2</v>
      </c>
      <c r="J28" s="285">
        <v>0</v>
      </c>
      <c r="K28" s="265">
        <f aca="true" t="shared" si="14" ref="K28:K39">H28-J28</f>
        <v>0</v>
      </c>
      <c r="L28" s="284">
        <v>510</v>
      </c>
      <c r="M28" s="285">
        <f>(779+17)+I28-J28</f>
        <v>798</v>
      </c>
      <c r="N28" s="286">
        <f t="shared" si="13"/>
        <v>-288</v>
      </c>
      <c r="O28" s="266">
        <f aca="true" t="shared" si="15" ref="O28:O39">B28+E28+H28+L28</f>
        <v>510</v>
      </c>
      <c r="P28" s="285">
        <f t="shared" si="4"/>
        <v>798</v>
      </c>
      <c r="Q28" s="267">
        <f t="shared" si="4"/>
        <v>-288</v>
      </c>
      <c r="R28" s="287">
        <f t="shared" si="1"/>
        <v>156.47058823529412</v>
      </c>
    </row>
    <row r="29" spans="1:18" s="250" customFormat="1" ht="18" customHeight="1">
      <c r="A29" s="283" t="s">
        <v>2124</v>
      </c>
      <c r="B29" s="284">
        <v>0</v>
      </c>
      <c r="C29" s="285">
        <v>0</v>
      </c>
      <c r="D29" s="286">
        <f t="shared" si="12"/>
        <v>0</v>
      </c>
      <c r="E29" s="284">
        <v>0</v>
      </c>
      <c r="F29" s="285">
        <v>0</v>
      </c>
      <c r="G29" s="286">
        <f t="shared" si="0"/>
        <v>0</v>
      </c>
      <c r="H29" s="284">
        <v>0</v>
      </c>
      <c r="I29" s="285">
        <v>1</v>
      </c>
      <c r="J29" s="285">
        <v>0</v>
      </c>
      <c r="K29" s="265">
        <f t="shared" si="14"/>
        <v>0</v>
      </c>
      <c r="L29" s="284">
        <v>110</v>
      </c>
      <c r="M29" s="285">
        <f>1231+I29-J29</f>
        <v>1232</v>
      </c>
      <c r="N29" s="286">
        <f t="shared" si="13"/>
        <v>-1122</v>
      </c>
      <c r="O29" s="266">
        <f t="shared" si="15"/>
        <v>110</v>
      </c>
      <c r="P29" s="285">
        <f t="shared" si="4"/>
        <v>1232</v>
      </c>
      <c r="Q29" s="267">
        <f t="shared" si="4"/>
        <v>-1122</v>
      </c>
      <c r="R29" s="287">
        <f t="shared" si="1"/>
        <v>1120</v>
      </c>
    </row>
    <row r="30" spans="1:18" s="250" customFormat="1" ht="18" customHeight="1">
      <c r="A30" s="283" t="s">
        <v>2125</v>
      </c>
      <c r="B30" s="284">
        <v>0</v>
      </c>
      <c r="C30" s="285">
        <v>0</v>
      </c>
      <c r="D30" s="286">
        <f t="shared" si="12"/>
        <v>0</v>
      </c>
      <c r="E30" s="284">
        <v>0</v>
      </c>
      <c r="F30" s="285">
        <v>0</v>
      </c>
      <c r="G30" s="286">
        <f t="shared" si="0"/>
        <v>0</v>
      </c>
      <c r="H30" s="284">
        <v>0</v>
      </c>
      <c r="I30" s="285">
        <v>11</v>
      </c>
      <c r="J30" s="285">
        <v>0</v>
      </c>
      <c r="K30" s="265">
        <f t="shared" si="14"/>
        <v>0</v>
      </c>
      <c r="L30" s="284">
        <v>240</v>
      </c>
      <c r="M30" s="285">
        <f>417+I30-J30</f>
        <v>428</v>
      </c>
      <c r="N30" s="286">
        <f t="shared" si="13"/>
        <v>-188</v>
      </c>
      <c r="O30" s="266">
        <f t="shared" si="15"/>
        <v>240</v>
      </c>
      <c r="P30" s="285">
        <f t="shared" si="4"/>
        <v>428</v>
      </c>
      <c r="Q30" s="267">
        <f t="shared" si="4"/>
        <v>-188</v>
      </c>
      <c r="R30" s="287">
        <f t="shared" si="1"/>
        <v>178.33333333333334</v>
      </c>
    </row>
    <row r="31" spans="1:18" s="250" customFormat="1" ht="18" customHeight="1">
      <c r="A31" s="283" t="s">
        <v>2126</v>
      </c>
      <c r="B31" s="284">
        <v>0</v>
      </c>
      <c r="C31" s="285">
        <v>0</v>
      </c>
      <c r="D31" s="286">
        <f t="shared" si="12"/>
        <v>0</v>
      </c>
      <c r="E31" s="284">
        <v>0</v>
      </c>
      <c r="F31" s="285">
        <v>0</v>
      </c>
      <c r="G31" s="286">
        <f t="shared" si="0"/>
        <v>0</v>
      </c>
      <c r="H31" s="284">
        <v>0</v>
      </c>
      <c r="I31" s="285">
        <v>160</v>
      </c>
      <c r="J31" s="285">
        <v>0</v>
      </c>
      <c r="K31" s="265">
        <f t="shared" si="14"/>
        <v>0</v>
      </c>
      <c r="L31" s="284">
        <v>175</v>
      </c>
      <c r="M31" s="285">
        <f>(523+15)+I31-J31</f>
        <v>698</v>
      </c>
      <c r="N31" s="286">
        <f t="shared" si="13"/>
        <v>-523</v>
      </c>
      <c r="O31" s="266">
        <f t="shared" si="15"/>
        <v>175</v>
      </c>
      <c r="P31" s="285">
        <f t="shared" si="4"/>
        <v>698</v>
      </c>
      <c r="Q31" s="267">
        <f t="shared" si="4"/>
        <v>-523</v>
      </c>
      <c r="R31" s="287">
        <f t="shared" si="1"/>
        <v>398.85714285714283</v>
      </c>
    </row>
    <row r="32" spans="1:18" s="250" customFormat="1" ht="18" customHeight="1">
      <c r="A32" s="283" t="s">
        <v>2127</v>
      </c>
      <c r="B32" s="284">
        <v>30</v>
      </c>
      <c r="C32" s="285">
        <v>49</v>
      </c>
      <c r="D32" s="286">
        <f t="shared" si="12"/>
        <v>-19</v>
      </c>
      <c r="E32" s="284">
        <v>0</v>
      </c>
      <c r="F32" s="285">
        <v>0</v>
      </c>
      <c r="G32" s="286">
        <f t="shared" si="0"/>
        <v>0</v>
      </c>
      <c r="H32" s="284">
        <v>0</v>
      </c>
      <c r="I32" s="285">
        <v>3</v>
      </c>
      <c r="J32" s="285">
        <v>0</v>
      </c>
      <c r="K32" s="265">
        <f t="shared" si="14"/>
        <v>0</v>
      </c>
      <c r="L32" s="284">
        <v>400</v>
      </c>
      <c r="M32" s="285">
        <f>(587+976)+I32-J32</f>
        <v>1566</v>
      </c>
      <c r="N32" s="286">
        <f t="shared" si="13"/>
        <v>-1166</v>
      </c>
      <c r="O32" s="266">
        <f t="shared" si="15"/>
        <v>430</v>
      </c>
      <c r="P32" s="285">
        <f t="shared" si="4"/>
        <v>1615</v>
      </c>
      <c r="Q32" s="267">
        <f t="shared" si="4"/>
        <v>-1185</v>
      </c>
      <c r="R32" s="287">
        <f t="shared" si="1"/>
        <v>375.5813953488372</v>
      </c>
    </row>
    <row r="33" spans="1:18" s="250" customFormat="1" ht="18" customHeight="1">
      <c r="A33" s="283" t="s">
        <v>2128</v>
      </c>
      <c r="B33" s="284">
        <v>1</v>
      </c>
      <c r="C33" s="285">
        <v>5</v>
      </c>
      <c r="D33" s="286">
        <f t="shared" si="12"/>
        <v>-4</v>
      </c>
      <c r="E33" s="284">
        <v>0</v>
      </c>
      <c r="F33" s="285">
        <v>0</v>
      </c>
      <c r="G33" s="286">
        <f t="shared" si="0"/>
        <v>0</v>
      </c>
      <c r="H33" s="284">
        <v>1326</v>
      </c>
      <c r="I33" s="285">
        <v>56</v>
      </c>
      <c r="J33" s="285">
        <v>0</v>
      </c>
      <c r="K33" s="265">
        <f t="shared" si="14"/>
        <v>1326</v>
      </c>
      <c r="L33" s="284">
        <v>500</v>
      </c>
      <c r="M33" s="285">
        <f>1405+I33-J33</f>
        <v>1461</v>
      </c>
      <c r="N33" s="286">
        <f t="shared" si="13"/>
        <v>-961</v>
      </c>
      <c r="O33" s="266">
        <f t="shared" si="15"/>
        <v>1827</v>
      </c>
      <c r="P33" s="285">
        <f t="shared" si="4"/>
        <v>1466</v>
      </c>
      <c r="Q33" s="267">
        <f t="shared" si="4"/>
        <v>361</v>
      </c>
      <c r="R33" s="287">
        <f t="shared" si="1"/>
        <v>80.2408319649699</v>
      </c>
    </row>
    <row r="34" spans="1:18" s="250" customFormat="1" ht="18" customHeight="1" thickBot="1">
      <c r="A34" s="269" t="s">
        <v>2129</v>
      </c>
      <c r="B34" s="270">
        <v>0</v>
      </c>
      <c r="C34" s="271">
        <v>0</v>
      </c>
      <c r="D34" s="272">
        <f t="shared" si="12"/>
        <v>0</v>
      </c>
      <c r="E34" s="270">
        <v>0</v>
      </c>
      <c r="F34" s="271">
        <v>0</v>
      </c>
      <c r="G34" s="272">
        <f t="shared" si="0"/>
        <v>0</v>
      </c>
      <c r="H34" s="270">
        <v>0</v>
      </c>
      <c r="I34" s="271">
        <v>91</v>
      </c>
      <c r="J34" s="271">
        <v>0</v>
      </c>
      <c r="K34" s="295">
        <f t="shared" si="14"/>
        <v>0</v>
      </c>
      <c r="L34" s="270">
        <v>262</v>
      </c>
      <c r="M34" s="271">
        <f>840+I34-J34</f>
        <v>931</v>
      </c>
      <c r="N34" s="272">
        <f t="shared" si="13"/>
        <v>-669</v>
      </c>
      <c r="O34" s="273">
        <f t="shared" si="15"/>
        <v>262</v>
      </c>
      <c r="P34" s="271">
        <f t="shared" si="4"/>
        <v>931</v>
      </c>
      <c r="Q34" s="274">
        <f t="shared" si="4"/>
        <v>-669</v>
      </c>
      <c r="R34" s="275">
        <f t="shared" si="1"/>
        <v>355.3435114503817</v>
      </c>
    </row>
    <row r="35" spans="1:18" s="250" customFormat="1" ht="18" customHeight="1" thickBot="1">
      <c r="A35" s="276" t="s">
        <v>2210</v>
      </c>
      <c r="B35" s="277">
        <f aca="true" t="shared" si="16" ref="B35:J35">B34+B33+B32+B31+B30+B29+B28+B27</f>
        <v>31</v>
      </c>
      <c r="C35" s="278">
        <f t="shared" si="16"/>
        <v>54</v>
      </c>
      <c r="D35" s="279">
        <f t="shared" si="16"/>
        <v>-23</v>
      </c>
      <c r="E35" s="277">
        <f t="shared" si="16"/>
        <v>0</v>
      </c>
      <c r="F35" s="278">
        <f t="shared" si="16"/>
        <v>0</v>
      </c>
      <c r="G35" s="279">
        <f t="shared" si="16"/>
        <v>0</v>
      </c>
      <c r="H35" s="277">
        <f t="shared" si="16"/>
        <v>1326</v>
      </c>
      <c r="I35" s="278">
        <f t="shared" si="16"/>
        <v>910</v>
      </c>
      <c r="J35" s="291">
        <f t="shared" si="16"/>
        <v>0</v>
      </c>
      <c r="K35" s="297">
        <f t="shared" si="14"/>
        <v>1326</v>
      </c>
      <c r="L35" s="277">
        <f aca="true" t="shared" si="17" ref="L35:Q35">L34+L33+L32+L31+L30+L29+L28+L27</f>
        <v>2897</v>
      </c>
      <c r="M35" s="278">
        <f t="shared" si="17"/>
        <v>8860</v>
      </c>
      <c r="N35" s="279">
        <f t="shared" si="17"/>
        <v>-5963</v>
      </c>
      <c r="O35" s="280">
        <f t="shared" si="17"/>
        <v>4254</v>
      </c>
      <c r="P35" s="278">
        <f t="shared" si="17"/>
        <v>8914</v>
      </c>
      <c r="Q35" s="281">
        <f t="shared" si="17"/>
        <v>-4660</v>
      </c>
      <c r="R35" s="282">
        <f t="shared" si="1"/>
        <v>209.54395862717442</v>
      </c>
    </row>
    <row r="36" spans="1:18" s="250" customFormat="1" ht="18" customHeight="1" thickBot="1">
      <c r="A36" s="276" t="s">
        <v>2170</v>
      </c>
      <c r="B36" s="277">
        <v>0</v>
      </c>
      <c r="C36" s="278">
        <v>0</v>
      </c>
      <c r="D36" s="279">
        <f>B36-C36</f>
        <v>0</v>
      </c>
      <c r="E36" s="277">
        <v>0</v>
      </c>
      <c r="F36" s="278">
        <v>0</v>
      </c>
      <c r="G36" s="279">
        <f t="shared" si="0"/>
        <v>0</v>
      </c>
      <c r="H36" s="277">
        <v>600</v>
      </c>
      <c r="I36" s="278">
        <v>8</v>
      </c>
      <c r="J36" s="278">
        <v>0</v>
      </c>
      <c r="K36" s="297">
        <f t="shared" si="14"/>
        <v>600</v>
      </c>
      <c r="L36" s="277">
        <f>2350+5450</f>
        <v>7800</v>
      </c>
      <c r="M36" s="278">
        <f>(2417+205)+I36-J36</f>
        <v>2630</v>
      </c>
      <c r="N36" s="279">
        <f>L36-M36</f>
        <v>5170</v>
      </c>
      <c r="O36" s="280">
        <f t="shared" si="15"/>
        <v>8400</v>
      </c>
      <c r="P36" s="278">
        <f aca="true" t="shared" si="18" ref="P36:Q39">C36+F36+J36+M36</f>
        <v>2630</v>
      </c>
      <c r="Q36" s="281">
        <f t="shared" si="18"/>
        <v>5770</v>
      </c>
      <c r="R36" s="282">
        <f t="shared" si="1"/>
        <v>31.30952380952381</v>
      </c>
    </row>
    <row r="37" spans="1:18" s="250" customFormat="1" ht="18" customHeight="1" thickBot="1">
      <c r="A37" s="276" t="s">
        <v>2047</v>
      </c>
      <c r="B37" s="277">
        <v>0</v>
      </c>
      <c r="C37" s="278">
        <v>0</v>
      </c>
      <c r="D37" s="279">
        <f>B37-C37</f>
        <v>0</v>
      </c>
      <c r="E37" s="277">
        <v>0</v>
      </c>
      <c r="F37" s="278">
        <v>0</v>
      </c>
      <c r="G37" s="279">
        <f t="shared" si="0"/>
        <v>0</v>
      </c>
      <c r="H37" s="277">
        <v>0</v>
      </c>
      <c r="I37" s="278">
        <v>0</v>
      </c>
      <c r="J37" s="278">
        <v>0</v>
      </c>
      <c r="K37" s="297">
        <f t="shared" si="14"/>
        <v>0</v>
      </c>
      <c r="L37" s="277">
        <v>38041</v>
      </c>
      <c r="M37" s="278">
        <v>51341</v>
      </c>
      <c r="N37" s="279">
        <f>L37-M37</f>
        <v>-13300</v>
      </c>
      <c r="O37" s="280">
        <f t="shared" si="15"/>
        <v>38041</v>
      </c>
      <c r="P37" s="278">
        <f t="shared" si="18"/>
        <v>51341</v>
      </c>
      <c r="Q37" s="281">
        <f t="shared" si="18"/>
        <v>-13300</v>
      </c>
      <c r="R37" s="282">
        <f t="shared" si="1"/>
        <v>134.96227754265135</v>
      </c>
    </row>
    <row r="38" spans="1:18" s="250" customFormat="1" ht="18" customHeight="1" thickBot="1">
      <c r="A38" s="276" t="s">
        <v>2046</v>
      </c>
      <c r="B38" s="277">
        <v>0</v>
      </c>
      <c r="C38" s="278">
        <v>0</v>
      </c>
      <c r="D38" s="279">
        <f>B38-C38</f>
        <v>0</v>
      </c>
      <c r="E38" s="277">
        <v>0</v>
      </c>
      <c r="F38" s="278">
        <v>0</v>
      </c>
      <c r="G38" s="279">
        <f t="shared" si="0"/>
        <v>0</v>
      </c>
      <c r="H38" s="277">
        <v>0</v>
      </c>
      <c r="I38" s="278">
        <v>0</v>
      </c>
      <c r="J38" s="278">
        <v>0</v>
      </c>
      <c r="K38" s="297">
        <f t="shared" si="14"/>
        <v>0</v>
      </c>
      <c r="L38" s="277">
        <v>572</v>
      </c>
      <c r="M38" s="278">
        <f>1665+26</f>
        <v>1691</v>
      </c>
      <c r="N38" s="279">
        <f>L38-M38</f>
        <v>-1119</v>
      </c>
      <c r="O38" s="280">
        <f t="shared" si="15"/>
        <v>572</v>
      </c>
      <c r="P38" s="278">
        <f t="shared" si="18"/>
        <v>1691</v>
      </c>
      <c r="Q38" s="281">
        <f t="shared" si="18"/>
        <v>-1119</v>
      </c>
      <c r="R38" s="282">
        <f t="shared" si="1"/>
        <v>295.6293706293706</v>
      </c>
    </row>
    <row r="39" spans="1:18" s="250" customFormat="1" ht="18" customHeight="1" thickBot="1">
      <c r="A39" s="313" t="s">
        <v>2171</v>
      </c>
      <c r="B39" s="288">
        <v>0</v>
      </c>
      <c r="C39" s="289">
        <v>0</v>
      </c>
      <c r="D39" s="290">
        <f>B39-C39</f>
        <v>0</v>
      </c>
      <c r="E39" s="288">
        <v>159841</v>
      </c>
      <c r="F39" s="289">
        <v>0</v>
      </c>
      <c r="G39" s="290">
        <f t="shared" si="0"/>
        <v>159841</v>
      </c>
      <c r="H39" s="288">
        <v>0</v>
      </c>
      <c r="I39" s="289">
        <v>0</v>
      </c>
      <c r="J39" s="289">
        <v>0</v>
      </c>
      <c r="K39" s="314">
        <f t="shared" si="14"/>
        <v>0</v>
      </c>
      <c r="L39" s="288">
        <v>0</v>
      </c>
      <c r="M39" s="289">
        <v>0</v>
      </c>
      <c r="N39" s="290">
        <f>L39-M39</f>
        <v>0</v>
      </c>
      <c r="O39" s="315">
        <f t="shared" si="15"/>
        <v>159841</v>
      </c>
      <c r="P39" s="289">
        <f t="shared" si="18"/>
        <v>0</v>
      </c>
      <c r="Q39" s="316">
        <f t="shared" si="18"/>
        <v>159841</v>
      </c>
      <c r="R39" s="317">
        <f t="shared" si="1"/>
        <v>0</v>
      </c>
    </row>
    <row r="40" spans="1:18" s="303" customFormat="1" ht="18" customHeight="1" thickBot="1" thickTop="1">
      <c r="A40" s="318" t="s">
        <v>2172</v>
      </c>
      <c r="B40" s="319">
        <f>B39+B38+B37+B36+B35+B26+B15+B14+B10</f>
        <v>15500</v>
      </c>
      <c r="C40" s="320">
        <f>C39+C38+C37+C36+C35+C26+C15+C14+C10</f>
        <v>10933</v>
      </c>
      <c r="D40" s="321">
        <f>D39+D38+D37+D36+D35+D26+D15+D14+D10</f>
        <v>4567</v>
      </c>
      <c r="E40" s="319">
        <f aca="true" t="shared" si="19" ref="E40:Q40">E39+E38+E37+E36+E35+E26+E15+E14+E10</f>
        <v>6998190</v>
      </c>
      <c r="F40" s="320">
        <f t="shared" si="19"/>
        <v>6824105</v>
      </c>
      <c r="G40" s="321">
        <f t="shared" si="19"/>
        <v>174085</v>
      </c>
      <c r="H40" s="319">
        <f t="shared" si="19"/>
        <v>2761972</v>
      </c>
      <c r="I40" s="322">
        <f t="shared" si="19"/>
        <v>326933</v>
      </c>
      <c r="J40" s="322">
        <f t="shared" si="19"/>
        <v>239909</v>
      </c>
      <c r="K40" s="321">
        <f t="shared" si="19"/>
        <v>2522063</v>
      </c>
      <c r="L40" s="319">
        <f t="shared" si="19"/>
        <v>986738</v>
      </c>
      <c r="M40" s="322">
        <f t="shared" si="19"/>
        <v>1183350</v>
      </c>
      <c r="N40" s="321">
        <f t="shared" si="19"/>
        <v>-196612</v>
      </c>
      <c r="O40" s="319">
        <f t="shared" si="19"/>
        <v>10762400</v>
      </c>
      <c r="P40" s="320">
        <f t="shared" si="19"/>
        <v>8258297</v>
      </c>
      <c r="Q40" s="320">
        <f t="shared" si="19"/>
        <v>2504103</v>
      </c>
      <c r="R40" s="323">
        <f t="shared" si="1"/>
        <v>76.73285698357245</v>
      </c>
    </row>
    <row r="41" spans="9:13" ht="13.5" thickTop="1">
      <c r="I41" s="249"/>
      <c r="J41" s="249"/>
      <c r="K41" s="249"/>
      <c r="L41" s="249"/>
      <c r="M41" s="249"/>
    </row>
    <row r="43" spans="1:18" s="305" customFormat="1" ht="13.5" customHeight="1">
      <c r="A43" s="304" t="s">
        <v>2173</v>
      </c>
      <c r="B43" s="304"/>
      <c r="C43" s="304"/>
      <c r="D43" s="304"/>
      <c r="G43" s="305" t="s">
        <v>2174</v>
      </c>
      <c r="Q43" s="996" t="s">
        <v>2137</v>
      </c>
      <c r="R43" s="996"/>
    </row>
  </sheetData>
  <mergeCells count="10">
    <mergeCell ref="Q43:R43"/>
    <mergeCell ref="Q1:R1"/>
    <mergeCell ref="A3:R3"/>
    <mergeCell ref="A5:A6"/>
    <mergeCell ref="B5:D5"/>
    <mergeCell ref="E5:G5"/>
    <mergeCell ref="H5:K5"/>
    <mergeCell ref="L5:N5"/>
    <mergeCell ref="O5:R5"/>
    <mergeCell ref="R6:R7"/>
  </mergeCells>
  <printOptions horizontalCentered="1"/>
  <pageMargins left="0.5905511811023623" right="0.5905511811023623" top="0.984251968503937" bottom="0.984251968503937" header="0.7086614173228347" footer="0.31496062992125984"/>
  <pageSetup fitToHeight="1" fitToWidth="1" horizontalDpi="600" verticalDpi="600" orientation="landscape" paperSize="9" scale="54" r:id="rId1"/>
  <headerFooter alignWithMargins="0">
    <oddFooter>&amp;C&amp;13&amp;P+109
&amp;12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zoomScale="85" zoomScaleNormal="85" workbookViewId="0" topLeftCell="A19">
      <selection activeCell="D37" sqref="D37"/>
    </sheetView>
  </sheetViews>
  <sheetFormatPr defaultColWidth="9.00390625" defaultRowHeight="12.75"/>
  <cols>
    <col min="1" max="1" width="30.25390625" style="424" customWidth="1"/>
    <col min="2" max="2" width="13.75390625" style="424" customWidth="1"/>
    <col min="3" max="3" width="13.875" style="424" customWidth="1"/>
    <col min="4" max="4" width="17.875" style="424" customWidth="1"/>
    <col min="5" max="5" width="13.75390625" style="424" customWidth="1"/>
    <col min="6" max="6" width="13.875" style="424" customWidth="1"/>
    <col min="7" max="7" width="17.75390625" style="424" customWidth="1"/>
    <col min="8" max="8" width="13.875" style="424" customWidth="1"/>
    <col min="9" max="10" width="13.75390625" style="424" customWidth="1"/>
    <col min="11" max="11" width="13.875" style="424" customWidth="1"/>
    <col min="12" max="12" width="13.75390625" style="424" customWidth="1"/>
    <col min="13" max="13" width="17.375" style="424" customWidth="1"/>
    <col min="14" max="15" width="15.25390625" style="424" customWidth="1"/>
    <col min="16" max="16" width="17.875" style="424" customWidth="1"/>
    <col min="17" max="18" width="11.875" style="424" customWidth="1"/>
    <col min="19" max="19" width="14.375" style="424" customWidth="1"/>
    <col min="20" max="21" width="13.75390625" style="424" customWidth="1"/>
    <col min="22" max="22" width="17.75390625" style="424" customWidth="1"/>
    <col min="23" max="23" width="9.125" style="424" customWidth="1"/>
    <col min="24" max="24" width="10.75390625" style="424" bestFit="1" customWidth="1"/>
    <col min="25" max="16384" width="9.125" style="424" customWidth="1"/>
  </cols>
  <sheetData>
    <row r="1" spans="1:22" s="421" customFormat="1" ht="24.75" customHeight="1">
      <c r="A1" s="434" t="s">
        <v>2106</v>
      </c>
      <c r="B1" s="434"/>
      <c r="F1" s="422"/>
      <c r="N1" s="423"/>
      <c r="U1" s="1052" t="s">
        <v>2282</v>
      </c>
      <c r="V1" s="1052"/>
    </row>
    <row r="3" spans="1:22" s="425" customFormat="1" ht="21.75" customHeight="1">
      <c r="A3" s="1053" t="s">
        <v>2259</v>
      </c>
      <c r="B3" s="1053"/>
      <c r="C3" s="1053"/>
      <c r="D3" s="1053"/>
      <c r="E3" s="1053"/>
      <c r="F3" s="1053"/>
      <c r="G3" s="1053"/>
      <c r="H3" s="1053"/>
      <c r="I3" s="1053"/>
      <c r="J3" s="1053"/>
      <c r="K3" s="1053"/>
      <c r="L3" s="1053"/>
      <c r="M3" s="1053"/>
      <c r="N3" s="1053"/>
      <c r="O3" s="1053"/>
      <c r="P3" s="1053"/>
      <c r="Q3" s="1053"/>
      <c r="R3" s="1053"/>
      <c r="S3" s="1053"/>
      <c r="T3" s="1053"/>
      <c r="U3" s="1053"/>
      <c r="V3" s="1053"/>
    </row>
    <row r="4" spans="1:22" ht="21.75" customHeight="1" thickBot="1">
      <c r="A4" s="426"/>
      <c r="P4" s="427"/>
      <c r="V4" s="428" t="s">
        <v>2109</v>
      </c>
    </row>
    <row r="5" spans="1:22" s="438" customFormat="1" ht="33" customHeight="1" thickBot="1">
      <c r="A5" s="1054" t="s">
        <v>2178</v>
      </c>
      <c r="B5" s="1056" t="s">
        <v>2260</v>
      </c>
      <c r="C5" s="1057"/>
      <c r="D5" s="1058"/>
      <c r="E5" s="1056" t="s">
        <v>2111</v>
      </c>
      <c r="F5" s="1057"/>
      <c r="G5" s="1058"/>
      <c r="H5" s="435" t="s">
        <v>2112</v>
      </c>
      <c r="I5" s="436"/>
      <c r="J5" s="437"/>
      <c r="K5" s="435" t="s">
        <v>2113</v>
      </c>
      <c r="L5" s="436"/>
      <c r="M5" s="437"/>
      <c r="N5" s="1056" t="s">
        <v>2261</v>
      </c>
      <c r="O5" s="1057"/>
      <c r="P5" s="1058"/>
      <c r="Q5" s="1056" t="s">
        <v>2115</v>
      </c>
      <c r="R5" s="1057"/>
      <c r="S5" s="1059"/>
      <c r="T5" s="1057" t="s">
        <v>2262</v>
      </c>
      <c r="U5" s="1057"/>
      <c r="V5" s="1058"/>
    </row>
    <row r="6" spans="1:22" s="438" customFormat="1" ht="33" customHeight="1" thickBot="1">
      <c r="A6" s="1055"/>
      <c r="B6" s="439" t="s">
        <v>2119</v>
      </c>
      <c r="C6" s="440" t="s">
        <v>2120</v>
      </c>
      <c r="D6" s="441" t="s">
        <v>2121</v>
      </c>
      <c r="E6" s="439" t="s">
        <v>2119</v>
      </c>
      <c r="F6" s="440" t="s">
        <v>2120</v>
      </c>
      <c r="G6" s="441" t="s">
        <v>2121</v>
      </c>
      <c r="H6" s="439" t="s">
        <v>2119</v>
      </c>
      <c r="I6" s="440" t="s">
        <v>2120</v>
      </c>
      <c r="J6" s="441" t="s">
        <v>2121</v>
      </c>
      <c r="K6" s="439" t="s">
        <v>2119</v>
      </c>
      <c r="L6" s="440" t="s">
        <v>2120</v>
      </c>
      <c r="M6" s="441" t="s">
        <v>2121</v>
      </c>
      <c r="N6" s="439" t="s">
        <v>2119</v>
      </c>
      <c r="O6" s="442" t="s">
        <v>2120</v>
      </c>
      <c r="P6" s="441" t="s">
        <v>2121</v>
      </c>
      <c r="Q6" s="443" t="s">
        <v>2119</v>
      </c>
      <c r="R6" s="440" t="s">
        <v>2120</v>
      </c>
      <c r="S6" s="444" t="s">
        <v>2121</v>
      </c>
      <c r="T6" s="439" t="s">
        <v>2119</v>
      </c>
      <c r="U6" s="440" t="s">
        <v>2120</v>
      </c>
      <c r="V6" s="441" t="s">
        <v>2121</v>
      </c>
    </row>
    <row r="7" spans="1:24" ht="33" customHeight="1">
      <c r="A7" s="446" t="s">
        <v>2263</v>
      </c>
      <c r="B7" s="447">
        <v>427130</v>
      </c>
      <c r="C7" s="448">
        <v>434675</v>
      </c>
      <c r="D7" s="449">
        <v>432403.828</v>
      </c>
      <c r="E7" s="447">
        <v>142640</v>
      </c>
      <c r="F7" s="448">
        <v>145408</v>
      </c>
      <c r="G7" s="449">
        <v>144428.067</v>
      </c>
      <c r="H7" s="447">
        <v>8339</v>
      </c>
      <c r="I7" s="448">
        <v>8476</v>
      </c>
      <c r="J7" s="449">
        <v>8437.317</v>
      </c>
      <c r="K7" s="447">
        <v>91184</v>
      </c>
      <c r="L7" s="448">
        <v>104168</v>
      </c>
      <c r="M7" s="450">
        <f>32438.27255+15155.45927+28341.29418+17853.09236+11063.80797</f>
        <v>104851.92632999999</v>
      </c>
      <c r="N7" s="451">
        <v>35035</v>
      </c>
      <c r="O7" s="448">
        <v>80649</v>
      </c>
      <c r="P7" s="452">
        <v>80794.548</v>
      </c>
      <c r="Q7" s="453">
        <v>0</v>
      </c>
      <c r="R7" s="454">
        <v>0</v>
      </c>
      <c r="S7" s="455">
        <v>0</v>
      </c>
      <c r="T7" s="456">
        <f>B7+E7+H7+K7+N7+Q7</f>
        <v>704328</v>
      </c>
      <c r="U7" s="448">
        <f aca="true" t="shared" si="0" ref="U7:V21">C7+F7+I7+L7+O7+R7</f>
        <v>773376</v>
      </c>
      <c r="V7" s="450">
        <f t="shared" si="0"/>
        <v>770915.6863299999</v>
      </c>
      <c r="X7" s="430"/>
    </row>
    <row r="8" spans="1:22" ht="33" customHeight="1">
      <c r="A8" s="446" t="s">
        <v>2264</v>
      </c>
      <c r="B8" s="457">
        <v>481085</v>
      </c>
      <c r="C8" s="458">
        <v>482870</v>
      </c>
      <c r="D8" s="459">
        <v>482870</v>
      </c>
      <c r="E8" s="457">
        <v>160787</v>
      </c>
      <c r="F8" s="458">
        <v>161820</v>
      </c>
      <c r="G8" s="459">
        <v>161820</v>
      </c>
      <c r="H8" s="457">
        <v>9383</v>
      </c>
      <c r="I8" s="458">
        <v>9416</v>
      </c>
      <c r="J8" s="459">
        <v>9416</v>
      </c>
      <c r="K8" s="457">
        <v>116470</v>
      </c>
      <c r="L8" s="458">
        <v>131838</v>
      </c>
      <c r="M8" s="460">
        <v>142229.21529</v>
      </c>
      <c r="N8" s="461">
        <v>59736</v>
      </c>
      <c r="O8" s="462">
        <v>71461</v>
      </c>
      <c r="P8" s="463">
        <v>80743.21246</v>
      </c>
      <c r="Q8" s="464">
        <v>0</v>
      </c>
      <c r="R8" s="465">
        <v>0</v>
      </c>
      <c r="S8" s="466">
        <v>0</v>
      </c>
      <c r="T8" s="467">
        <f aca="true" t="shared" si="1" ref="T8:T20">B8+E8+H8+K8+N8+Q8</f>
        <v>827461</v>
      </c>
      <c r="U8" s="462">
        <f t="shared" si="0"/>
        <v>857405</v>
      </c>
      <c r="V8" s="460">
        <f t="shared" si="0"/>
        <v>877078.4277499999</v>
      </c>
    </row>
    <row r="9" spans="1:22" ht="33" customHeight="1">
      <c r="A9" s="446" t="s">
        <v>2265</v>
      </c>
      <c r="B9" s="457">
        <v>306986</v>
      </c>
      <c r="C9" s="458">
        <v>308655</v>
      </c>
      <c r="D9" s="459">
        <v>308651.4</v>
      </c>
      <c r="E9" s="457">
        <v>102479</v>
      </c>
      <c r="F9" s="458">
        <v>103135</v>
      </c>
      <c r="G9" s="459">
        <v>103069.041</v>
      </c>
      <c r="H9" s="457">
        <v>6023</v>
      </c>
      <c r="I9" s="458">
        <v>6061</v>
      </c>
      <c r="J9" s="459">
        <v>6060.473</v>
      </c>
      <c r="K9" s="457">
        <v>67377</v>
      </c>
      <c r="L9" s="458">
        <v>72967</v>
      </c>
      <c r="M9" s="459">
        <v>75173.90129</v>
      </c>
      <c r="N9" s="461">
        <v>26772</v>
      </c>
      <c r="O9" s="462">
        <v>25293</v>
      </c>
      <c r="P9" s="463">
        <v>26250.00627</v>
      </c>
      <c r="Q9" s="468">
        <v>0</v>
      </c>
      <c r="R9" s="469">
        <v>0</v>
      </c>
      <c r="S9" s="470">
        <v>0</v>
      </c>
      <c r="T9" s="467">
        <f t="shared" si="1"/>
        <v>509637</v>
      </c>
      <c r="U9" s="462">
        <f t="shared" si="0"/>
        <v>516111</v>
      </c>
      <c r="V9" s="471">
        <f t="shared" si="0"/>
        <v>519204.82156</v>
      </c>
    </row>
    <row r="10" spans="1:22" ht="33" customHeight="1">
      <c r="A10" s="446" t="s">
        <v>2266</v>
      </c>
      <c r="B10" s="457">
        <v>283281</v>
      </c>
      <c r="C10" s="458">
        <v>285060</v>
      </c>
      <c r="D10" s="459">
        <v>285059</v>
      </c>
      <c r="E10" s="457">
        <v>94581</v>
      </c>
      <c r="F10" s="458">
        <v>95308</v>
      </c>
      <c r="G10" s="459">
        <v>95307.72</v>
      </c>
      <c r="H10" s="457">
        <v>5524</v>
      </c>
      <c r="I10" s="458">
        <v>5560</v>
      </c>
      <c r="J10" s="459">
        <v>5559.16</v>
      </c>
      <c r="K10" s="457">
        <v>57761</v>
      </c>
      <c r="L10" s="458">
        <v>59353</v>
      </c>
      <c r="M10" s="459">
        <v>64894.33883</v>
      </c>
      <c r="N10" s="461">
        <v>35578</v>
      </c>
      <c r="O10" s="462">
        <v>46557</v>
      </c>
      <c r="P10" s="463">
        <v>64354.931</v>
      </c>
      <c r="Q10" s="464">
        <v>0</v>
      </c>
      <c r="R10" s="465">
        <v>0</v>
      </c>
      <c r="S10" s="466">
        <v>0</v>
      </c>
      <c r="T10" s="467">
        <f t="shared" si="1"/>
        <v>476725</v>
      </c>
      <c r="U10" s="462">
        <f t="shared" si="0"/>
        <v>491838</v>
      </c>
      <c r="V10" s="460">
        <f t="shared" si="0"/>
        <v>515175.14982999995</v>
      </c>
    </row>
    <row r="11" spans="1:22" ht="33" customHeight="1">
      <c r="A11" s="446" t="s">
        <v>2267</v>
      </c>
      <c r="B11" s="457">
        <v>128579</v>
      </c>
      <c r="C11" s="458">
        <v>131204</v>
      </c>
      <c r="D11" s="459">
        <v>144027.679</v>
      </c>
      <c r="E11" s="457">
        <v>42720</v>
      </c>
      <c r="F11" s="458">
        <v>43770</v>
      </c>
      <c r="G11" s="459">
        <v>47947.433</v>
      </c>
      <c r="H11" s="457">
        <v>2498</v>
      </c>
      <c r="I11" s="458">
        <v>2553</v>
      </c>
      <c r="J11" s="459">
        <v>2804.728</v>
      </c>
      <c r="K11" s="457">
        <v>29640</v>
      </c>
      <c r="L11" s="458">
        <v>33523</v>
      </c>
      <c r="M11" s="459">
        <v>39250.06846</v>
      </c>
      <c r="N11" s="461">
        <v>13134</v>
      </c>
      <c r="O11" s="462">
        <v>13840</v>
      </c>
      <c r="P11" s="463">
        <v>25074.90584</v>
      </c>
      <c r="Q11" s="468">
        <v>0</v>
      </c>
      <c r="R11" s="469">
        <v>0</v>
      </c>
      <c r="S11" s="470">
        <v>0</v>
      </c>
      <c r="T11" s="467">
        <f t="shared" si="1"/>
        <v>216571</v>
      </c>
      <c r="U11" s="462">
        <f t="shared" si="0"/>
        <v>224890</v>
      </c>
      <c r="V11" s="471">
        <f t="shared" si="0"/>
        <v>259104.8143</v>
      </c>
    </row>
    <row r="12" spans="1:22" ht="33" customHeight="1">
      <c r="A12" s="446" t="s">
        <v>2268</v>
      </c>
      <c r="B12" s="457">
        <v>337128</v>
      </c>
      <c r="C12" s="458">
        <v>339052</v>
      </c>
      <c r="D12" s="459">
        <v>339052</v>
      </c>
      <c r="E12" s="457">
        <v>112635</v>
      </c>
      <c r="F12" s="458">
        <v>113147</v>
      </c>
      <c r="G12" s="459">
        <v>112954.973</v>
      </c>
      <c r="H12" s="457">
        <v>6546</v>
      </c>
      <c r="I12" s="458">
        <v>6579</v>
      </c>
      <c r="J12" s="459">
        <v>6578.02</v>
      </c>
      <c r="K12" s="457">
        <v>68803</v>
      </c>
      <c r="L12" s="458">
        <v>78315</v>
      </c>
      <c r="M12" s="459">
        <v>78440.91356</v>
      </c>
      <c r="N12" s="461">
        <v>34152</v>
      </c>
      <c r="O12" s="462">
        <v>52680</v>
      </c>
      <c r="P12" s="463">
        <v>52925.12917</v>
      </c>
      <c r="Q12" s="464">
        <v>0</v>
      </c>
      <c r="R12" s="465">
        <v>0</v>
      </c>
      <c r="S12" s="466">
        <v>0</v>
      </c>
      <c r="T12" s="467">
        <f t="shared" si="1"/>
        <v>559264</v>
      </c>
      <c r="U12" s="462">
        <f t="shared" si="0"/>
        <v>589773</v>
      </c>
      <c r="V12" s="460">
        <f t="shared" si="0"/>
        <v>589951.03573</v>
      </c>
    </row>
    <row r="13" spans="1:22" ht="33" customHeight="1">
      <c r="A13" s="446" t="s">
        <v>2269</v>
      </c>
      <c r="B13" s="457">
        <v>171188</v>
      </c>
      <c r="C13" s="458">
        <v>172364</v>
      </c>
      <c r="D13" s="459">
        <v>172364</v>
      </c>
      <c r="E13" s="457">
        <v>57207</v>
      </c>
      <c r="F13" s="458">
        <v>57656</v>
      </c>
      <c r="G13" s="459">
        <v>57656</v>
      </c>
      <c r="H13" s="457">
        <v>3350</v>
      </c>
      <c r="I13" s="458">
        <v>3377</v>
      </c>
      <c r="J13" s="459">
        <v>3376.62</v>
      </c>
      <c r="K13" s="457">
        <v>35666</v>
      </c>
      <c r="L13" s="458">
        <v>37289</v>
      </c>
      <c r="M13" s="459">
        <v>37294.26957</v>
      </c>
      <c r="N13" s="461">
        <v>19730</v>
      </c>
      <c r="O13" s="462">
        <v>63953</v>
      </c>
      <c r="P13" s="463">
        <v>65945.42823</v>
      </c>
      <c r="Q13" s="468">
        <v>0</v>
      </c>
      <c r="R13" s="469">
        <v>0</v>
      </c>
      <c r="S13" s="470">
        <v>0</v>
      </c>
      <c r="T13" s="467">
        <f t="shared" si="1"/>
        <v>287141</v>
      </c>
      <c r="U13" s="462">
        <f t="shared" si="0"/>
        <v>334639</v>
      </c>
      <c r="V13" s="471">
        <f t="shared" si="0"/>
        <v>336636.3178</v>
      </c>
    </row>
    <row r="14" spans="1:22" ht="33" customHeight="1">
      <c r="A14" s="446" t="s">
        <v>2283</v>
      </c>
      <c r="B14" s="457">
        <v>215702</v>
      </c>
      <c r="C14" s="458">
        <v>217727</v>
      </c>
      <c r="D14" s="459">
        <v>217727</v>
      </c>
      <c r="E14" s="457">
        <v>71906</v>
      </c>
      <c r="F14" s="458">
        <v>72839</v>
      </c>
      <c r="G14" s="459">
        <v>72839</v>
      </c>
      <c r="H14" s="457">
        <v>4197</v>
      </c>
      <c r="I14" s="458">
        <v>4247</v>
      </c>
      <c r="J14" s="459">
        <v>4247</v>
      </c>
      <c r="K14" s="457">
        <v>46250</v>
      </c>
      <c r="L14" s="458">
        <v>51289</v>
      </c>
      <c r="M14" s="459">
        <v>53097.05869</v>
      </c>
      <c r="N14" s="461">
        <v>23855</v>
      </c>
      <c r="O14" s="462">
        <v>58747</v>
      </c>
      <c r="P14" s="463">
        <v>79682.10565</v>
      </c>
      <c r="Q14" s="464">
        <v>0</v>
      </c>
      <c r="R14" s="465">
        <v>0</v>
      </c>
      <c r="S14" s="466">
        <v>0</v>
      </c>
      <c r="T14" s="467">
        <f t="shared" si="1"/>
        <v>361910</v>
      </c>
      <c r="U14" s="462">
        <f t="shared" si="0"/>
        <v>404849</v>
      </c>
      <c r="V14" s="460">
        <f t="shared" si="0"/>
        <v>427592.16433999996</v>
      </c>
    </row>
    <row r="15" spans="1:22" ht="33" customHeight="1">
      <c r="A15" s="446" t="s">
        <v>2270</v>
      </c>
      <c r="B15" s="457">
        <v>189045</v>
      </c>
      <c r="C15" s="458">
        <v>190599</v>
      </c>
      <c r="D15" s="459">
        <v>190599</v>
      </c>
      <c r="E15" s="457">
        <v>63172</v>
      </c>
      <c r="F15" s="458">
        <v>63727</v>
      </c>
      <c r="G15" s="459">
        <v>63727</v>
      </c>
      <c r="H15" s="457">
        <v>3705</v>
      </c>
      <c r="I15" s="458">
        <v>3733</v>
      </c>
      <c r="J15" s="459">
        <v>3733</v>
      </c>
      <c r="K15" s="457">
        <v>41327</v>
      </c>
      <c r="L15" s="458">
        <v>45914</v>
      </c>
      <c r="M15" s="459">
        <v>50739.53766</v>
      </c>
      <c r="N15" s="461">
        <v>29721</v>
      </c>
      <c r="O15" s="462">
        <v>27751</v>
      </c>
      <c r="P15" s="463">
        <v>28881.90968</v>
      </c>
      <c r="Q15" s="468">
        <v>0</v>
      </c>
      <c r="R15" s="469">
        <v>0</v>
      </c>
      <c r="S15" s="470">
        <v>0</v>
      </c>
      <c r="T15" s="467">
        <f t="shared" si="1"/>
        <v>326970</v>
      </c>
      <c r="U15" s="462">
        <f t="shared" si="0"/>
        <v>331724</v>
      </c>
      <c r="V15" s="460">
        <f t="shared" si="0"/>
        <v>337680.44734</v>
      </c>
    </row>
    <row r="16" spans="1:22" ht="33" customHeight="1">
      <c r="A16" s="446" t="s">
        <v>2271</v>
      </c>
      <c r="B16" s="457">
        <v>249055</v>
      </c>
      <c r="C16" s="458">
        <v>251885</v>
      </c>
      <c r="D16" s="459">
        <v>251884.534</v>
      </c>
      <c r="E16" s="457">
        <v>83227</v>
      </c>
      <c r="F16" s="458">
        <v>84199</v>
      </c>
      <c r="G16" s="459">
        <v>84104.788</v>
      </c>
      <c r="H16" s="457">
        <v>4856</v>
      </c>
      <c r="I16" s="458">
        <v>4918</v>
      </c>
      <c r="J16" s="459">
        <v>4917.051</v>
      </c>
      <c r="K16" s="457">
        <v>50468</v>
      </c>
      <c r="L16" s="458">
        <v>56177</v>
      </c>
      <c r="M16" s="459">
        <v>60839.9211</v>
      </c>
      <c r="N16" s="461">
        <v>25472</v>
      </c>
      <c r="O16" s="462">
        <v>42402</v>
      </c>
      <c r="P16" s="463">
        <v>46906.873</v>
      </c>
      <c r="Q16" s="464">
        <v>0</v>
      </c>
      <c r="R16" s="465">
        <v>0</v>
      </c>
      <c r="S16" s="466">
        <v>0</v>
      </c>
      <c r="T16" s="467">
        <f t="shared" si="1"/>
        <v>413078</v>
      </c>
      <c r="U16" s="462">
        <f t="shared" si="0"/>
        <v>439581</v>
      </c>
      <c r="V16" s="471">
        <f t="shared" si="0"/>
        <v>448653.1671</v>
      </c>
    </row>
    <row r="17" spans="1:22" ht="33" customHeight="1">
      <c r="A17" s="446" t="s">
        <v>2272</v>
      </c>
      <c r="B17" s="457">
        <v>386573</v>
      </c>
      <c r="C17" s="458">
        <v>388887</v>
      </c>
      <c r="D17" s="459">
        <v>390577</v>
      </c>
      <c r="E17" s="457">
        <v>129038</v>
      </c>
      <c r="F17" s="458">
        <v>129550</v>
      </c>
      <c r="G17" s="459">
        <v>130005.215</v>
      </c>
      <c r="H17" s="457">
        <v>7561</v>
      </c>
      <c r="I17" s="458">
        <v>7588</v>
      </c>
      <c r="J17" s="459">
        <v>7621.038</v>
      </c>
      <c r="K17" s="457">
        <v>78404</v>
      </c>
      <c r="L17" s="458">
        <v>86693</v>
      </c>
      <c r="M17" s="459">
        <v>97345.04505</v>
      </c>
      <c r="N17" s="461">
        <v>49923</v>
      </c>
      <c r="O17" s="462">
        <v>48306</v>
      </c>
      <c r="P17" s="463">
        <v>57154.88745</v>
      </c>
      <c r="Q17" s="468">
        <v>0</v>
      </c>
      <c r="R17" s="469">
        <v>0</v>
      </c>
      <c r="S17" s="470">
        <v>0</v>
      </c>
      <c r="T17" s="467">
        <f t="shared" si="1"/>
        <v>651499</v>
      </c>
      <c r="U17" s="462">
        <f t="shared" si="0"/>
        <v>661024</v>
      </c>
      <c r="V17" s="460">
        <f t="shared" si="0"/>
        <v>682703.1854999999</v>
      </c>
    </row>
    <row r="18" spans="1:22" ht="33" customHeight="1">
      <c r="A18" s="446" t="s">
        <v>2273</v>
      </c>
      <c r="B18" s="457">
        <v>188685</v>
      </c>
      <c r="C18" s="458">
        <v>190248</v>
      </c>
      <c r="D18" s="459">
        <v>190248</v>
      </c>
      <c r="E18" s="457">
        <v>62802</v>
      </c>
      <c r="F18" s="458">
        <v>63373</v>
      </c>
      <c r="G18" s="459">
        <v>63373</v>
      </c>
      <c r="H18" s="457">
        <v>3683</v>
      </c>
      <c r="I18" s="458">
        <v>3718</v>
      </c>
      <c r="J18" s="459">
        <v>3715.98</v>
      </c>
      <c r="K18" s="457">
        <v>41771</v>
      </c>
      <c r="L18" s="458">
        <v>43539</v>
      </c>
      <c r="M18" s="459">
        <v>45997.47754</v>
      </c>
      <c r="N18" s="461">
        <v>22803</v>
      </c>
      <c r="O18" s="462">
        <v>24944</v>
      </c>
      <c r="P18" s="463">
        <v>27138.5818</v>
      </c>
      <c r="Q18" s="464">
        <v>0</v>
      </c>
      <c r="R18" s="465">
        <v>0</v>
      </c>
      <c r="S18" s="466">
        <v>0</v>
      </c>
      <c r="T18" s="467">
        <f t="shared" si="1"/>
        <v>319744</v>
      </c>
      <c r="U18" s="462">
        <f t="shared" si="0"/>
        <v>325822</v>
      </c>
      <c r="V18" s="471">
        <f t="shared" si="0"/>
        <v>330473.03934</v>
      </c>
    </row>
    <row r="19" spans="1:22" ht="33" customHeight="1">
      <c r="A19" s="446" t="s">
        <v>2274</v>
      </c>
      <c r="B19" s="457">
        <v>246606</v>
      </c>
      <c r="C19" s="458">
        <v>249517</v>
      </c>
      <c r="D19" s="459">
        <v>249517</v>
      </c>
      <c r="E19" s="457">
        <v>82040</v>
      </c>
      <c r="F19" s="458">
        <v>83145</v>
      </c>
      <c r="G19" s="459">
        <v>83014.296</v>
      </c>
      <c r="H19" s="457">
        <v>4790</v>
      </c>
      <c r="I19" s="458">
        <v>4852</v>
      </c>
      <c r="J19" s="459">
        <v>4851.62</v>
      </c>
      <c r="K19" s="457">
        <v>50967</v>
      </c>
      <c r="L19" s="458">
        <v>55594</v>
      </c>
      <c r="M19" s="459">
        <v>58840.6458</v>
      </c>
      <c r="N19" s="461">
        <v>14056</v>
      </c>
      <c r="O19" s="462">
        <v>20178</v>
      </c>
      <c r="P19" s="463">
        <v>26075.61736</v>
      </c>
      <c r="Q19" s="468">
        <v>0</v>
      </c>
      <c r="R19" s="469">
        <v>0</v>
      </c>
      <c r="S19" s="470">
        <v>0</v>
      </c>
      <c r="T19" s="467">
        <f t="shared" si="1"/>
        <v>398459</v>
      </c>
      <c r="U19" s="462">
        <f t="shared" si="0"/>
        <v>413286</v>
      </c>
      <c r="V19" s="460">
        <f t="shared" si="0"/>
        <v>422299.17915999994</v>
      </c>
    </row>
    <row r="20" spans="1:22" ht="33" customHeight="1">
      <c r="A20" s="446" t="s">
        <v>2275</v>
      </c>
      <c r="B20" s="457">
        <v>429311</v>
      </c>
      <c r="C20" s="458">
        <v>442863</v>
      </c>
      <c r="D20" s="459">
        <v>442862.723</v>
      </c>
      <c r="E20" s="457">
        <v>142160</v>
      </c>
      <c r="F20" s="458">
        <v>146643</v>
      </c>
      <c r="G20" s="459">
        <v>146502.425</v>
      </c>
      <c r="H20" s="457">
        <v>8174</v>
      </c>
      <c r="I20" s="458">
        <v>8434</v>
      </c>
      <c r="J20" s="459">
        <v>8434</v>
      </c>
      <c r="K20" s="457">
        <v>85150</v>
      </c>
      <c r="L20" s="458">
        <v>124303</v>
      </c>
      <c r="M20" s="459">
        <v>142029.63307</v>
      </c>
      <c r="N20" s="461">
        <v>25756</v>
      </c>
      <c r="O20" s="462">
        <v>46022</v>
      </c>
      <c r="P20" s="463">
        <v>65342.11577</v>
      </c>
      <c r="Q20" s="464">
        <v>0</v>
      </c>
      <c r="R20" s="465">
        <v>0</v>
      </c>
      <c r="S20" s="466">
        <v>0</v>
      </c>
      <c r="T20" s="472">
        <f t="shared" si="1"/>
        <v>690551</v>
      </c>
      <c r="U20" s="458">
        <f t="shared" si="0"/>
        <v>768265</v>
      </c>
      <c r="V20" s="460">
        <f t="shared" si="0"/>
        <v>805170.8968400001</v>
      </c>
    </row>
    <row r="21" spans="1:22" ht="33" customHeight="1" thickBot="1">
      <c r="A21" s="473" t="s">
        <v>2276</v>
      </c>
      <c r="B21" s="474">
        <v>82427</v>
      </c>
      <c r="C21" s="475">
        <v>64647</v>
      </c>
      <c r="D21" s="471">
        <v>64647</v>
      </c>
      <c r="E21" s="474">
        <v>27595</v>
      </c>
      <c r="F21" s="475">
        <v>21652</v>
      </c>
      <c r="G21" s="471">
        <v>21652</v>
      </c>
      <c r="H21" s="474">
        <v>1623</v>
      </c>
      <c r="I21" s="475">
        <v>1272</v>
      </c>
      <c r="J21" s="471">
        <v>1272</v>
      </c>
      <c r="K21" s="474">
        <v>38433</v>
      </c>
      <c r="L21" s="475">
        <v>40945</v>
      </c>
      <c r="M21" s="471">
        <v>40942.12236</v>
      </c>
      <c r="N21" s="476">
        <v>19905</v>
      </c>
      <c r="O21" s="475">
        <v>31774</v>
      </c>
      <c r="P21" s="477">
        <v>31768.7614</v>
      </c>
      <c r="Q21" s="468">
        <v>0</v>
      </c>
      <c r="R21" s="469">
        <v>0</v>
      </c>
      <c r="S21" s="470">
        <v>0</v>
      </c>
      <c r="T21" s="472">
        <f>B21+E21+H21+K21+N21+Q21</f>
        <v>169983</v>
      </c>
      <c r="U21" s="458">
        <f t="shared" si="0"/>
        <v>160290</v>
      </c>
      <c r="V21" s="460">
        <f t="shared" si="0"/>
        <v>160281.88376</v>
      </c>
    </row>
    <row r="22" spans="1:22" ht="33" customHeight="1" thickBot="1">
      <c r="A22" s="478" t="s">
        <v>2277</v>
      </c>
      <c r="B22" s="479">
        <f aca="true" t="shared" si="2" ref="B22:P22">SUM(B7:B21)</f>
        <v>4122781</v>
      </c>
      <c r="C22" s="480">
        <f t="shared" si="2"/>
        <v>4150253</v>
      </c>
      <c r="D22" s="481">
        <f t="shared" si="2"/>
        <v>4162490.164</v>
      </c>
      <c r="E22" s="479">
        <f t="shared" si="2"/>
        <v>1374989</v>
      </c>
      <c r="F22" s="480">
        <f t="shared" si="2"/>
        <v>1385372</v>
      </c>
      <c r="G22" s="481">
        <f t="shared" si="2"/>
        <v>1388400.958</v>
      </c>
      <c r="H22" s="479">
        <f t="shared" si="2"/>
        <v>80252</v>
      </c>
      <c r="I22" s="480">
        <f t="shared" si="2"/>
        <v>80784</v>
      </c>
      <c r="J22" s="481">
        <f t="shared" si="2"/>
        <v>81024.007</v>
      </c>
      <c r="K22" s="479">
        <f t="shared" si="2"/>
        <v>899671</v>
      </c>
      <c r="L22" s="480">
        <f t="shared" si="2"/>
        <v>1021907</v>
      </c>
      <c r="M22" s="481">
        <f t="shared" si="2"/>
        <v>1091966.0746</v>
      </c>
      <c r="N22" s="479">
        <f t="shared" si="2"/>
        <v>435628</v>
      </c>
      <c r="O22" s="480">
        <f t="shared" si="2"/>
        <v>654557</v>
      </c>
      <c r="P22" s="482">
        <f t="shared" si="2"/>
        <v>759039.0130800001</v>
      </c>
      <c r="Q22" s="483">
        <v>0</v>
      </c>
      <c r="R22" s="484">
        <v>0</v>
      </c>
      <c r="S22" s="485">
        <v>0</v>
      </c>
      <c r="T22" s="486">
        <f>SUM(T7:T21)</f>
        <v>6913321</v>
      </c>
      <c r="U22" s="480">
        <f>SUM(U7:U21)</f>
        <v>7292873</v>
      </c>
      <c r="V22" s="481">
        <f>SUM(V7:V21)</f>
        <v>7482920.21668</v>
      </c>
    </row>
    <row r="23" spans="1:22" ht="9" customHeight="1">
      <c r="A23" s="446"/>
      <c r="B23" s="457"/>
      <c r="C23" s="458"/>
      <c r="D23" s="459"/>
      <c r="E23" s="457"/>
      <c r="F23" s="458"/>
      <c r="G23" s="459"/>
      <c r="H23" s="457"/>
      <c r="I23" s="458"/>
      <c r="J23" s="459"/>
      <c r="K23" s="457"/>
      <c r="L23" s="458"/>
      <c r="M23" s="459"/>
      <c r="N23" s="487"/>
      <c r="O23" s="488"/>
      <c r="P23" s="452"/>
      <c r="Q23" s="487"/>
      <c r="R23" s="488"/>
      <c r="S23" s="489"/>
      <c r="T23" s="490"/>
      <c r="U23" s="488"/>
      <c r="V23" s="449"/>
    </row>
    <row r="24" spans="1:22" ht="33" customHeight="1">
      <c r="A24" s="491" t="s">
        <v>2278</v>
      </c>
      <c r="B24" s="457">
        <v>15147</v>
      </c>
      <c r="C24" s="458">
        <v>14927</v>
      </c>
      <c r="D24" s="459">
        <v>14926.086</v>
      </c>
      <c r="E24" s="457">
        <v>5018</v>
      </c>
      <c r="F24" s="458">
        <v>4949</v>
      </c>
      <c r="G24" s="459">
        <v>4946.369</v>
      </c>
      <c r="H24" s="457">
        <v>295</v>
      </c>
      <c r="I24" s="458">
        <v>291</v>
      </c>
      <c r="J24" s="459">
        <v>290.128</v>
      </c>
      <c r="K24" s="457">
        <v>4451</v>
      </c>
      <c r="L24" s="458">
        <v>7231</v>
      </c>
      <c r="M24" s="459">
        <v>7253.51176</v>
      </c>
      <c r="N24" s="461">
        <v>430</v>
      </c>
      <c r="O24" s="462">
        <v>430</v>
      </c>
      <c r="P24" s="463">
        <v>429.198</v>
      </c>
      <c r="Q24" s="464"/>
      <c r="R24" s="465"/>
      <c r="S24" s="466"/>
      <c r="T24" s="467">
        <f aca="true" t="shared" si="3" ref="T24:V25">B24+E24+H24+K24+N24+Q24</f>
        <v>25341</v>
      </c>
      <c r="U24" s="462">
        <f t="shared" si="3"/>
        <v>27828</v>
      </c>
      <c r="V24" s="460">
        <f t="shared" si="3"/>
        <v>27845.29276</v>
      </c>
    </row>
    <row r="25" spans="1:22" ht="33" customHeight="1">
      <c r="A25" s="491" t="s">
        <v>2279</v>
      </c>
      <c r="B25" s="474">
        <v>262929</v>
      </c>
      <c r="C25" s="475">
        <v>259520</v>
      </c>
      <c r="D25" s="471">
        <f>249070.086+10999.125-528</f>
        <v>259541.211</v>
      </c>
      <c r="E25" s="474">
        <v>87197</v>
      </c>
      <c r="F25" s="475">
        <v>86359</v>
      </c>
      <c r="G25" s="471">
        <v>86007.12625</v>
      </c>
      <c r="H25" s="474">
        <v>5020</v>
      </c>
      <c r="I25" s="475">
        <v>4982</v>
      </c>
      <c r="J25" s="471">
        <v>4979.761</v>
      </c>
      <c r="K25" s="474">
        <f>446449+23000</f>
        <v>469449</v>
      </c>
      <c r="L25" s="475">
        <f>482713+21850</f>
        <v>504563</v>
      </c>
      <c r="M25" s="471">
        <f>484148.10802+21850</f>
        <v>505998.10802</v>
      </c>
      <c r="N25" s="492">
        <v>150682</v>
      </c>
      <c r="O25" s="493">
        <v>291963</v>
      </c>
      <c r="P25" s="494">
        <v>301591.04402</v>
      </c>
      <c r="Q25" s="492">
        <v>21500</v>
      </c>
      <c r="R25" s="493">
        <v>21500</v>
      </c>
      <c r="S25" s="495">
        <f>22291.76193-790.06504</f>
        <v>21501.69689</v>
      </c>
      <c r="T25" s="496">
        <f t="shared" si="3"/>
        <v>996777</v>
      </c>
      <c r="U25" s="493">
        <f t="shared" si="3"/>
        <v>1168887</v>
      </c>
      <c r="V25" s="497">
        <f t="shared" si="3"/>
        <v>1179618.94718</v>
      </c>
    </row>
    <row r="26" spans="1:22" ht="33" customHeight="1" thickBot="1">
      <c r="A26" s="498" t="s">
        <v>2280</v>
      </c>
      <c r="B26" s="499">
        <v>39094</v>
      </c>
      <c r="C26" s="500">
        <v>0</v>
      </c>
      <c r="D26" s="501">
        <v>0</v>
      </c>
      <c r="E26" s="499">
        <v>11588</v>
      </c>
      <c r="F26" s="500">
        <v>0</v>
      </c>
      <c r="G26" s="501">
        <v>0</v>
      </c>
      <c r="H26" s="499">
        <v>681</v>
      </c>
      <c r="I26" s="500">
        <v>0</v>
      </c>
      <c r="J26" s="501">
        <v>0</v>
      </c>
      <c r="K26" s="499">
        <v>43328</v>
      </c>
      <c r="L26" s="500">
        <v>0</v>
      </c>
      <c r="M26" s="501">
        <v>0</v>
      </c>
      <c r="N26" s="502">
        <v>186075</v>
      </c>
      <c r="O26" s="500">
        <v>0</v>
      </c>
      <c r="P26" s="503">
        <v>0</v>
      </c>
      <c r="Q26" s="504">
        <v>0</v>
      </c>
      <c r="R26" s="500">
        <v>0</v>
      </c>
      <c r="S26" s="501">
        <v>0</v>
      </c>
      <c r="T26" s="502">
        <f>B26+E26+H26+K26+N26+Q26</f>
        <v>280766</v>
      </c>
      <c r="U26" s="500">
        <v>0</v>
      </c>
      <c r="V26" s="501">
        <v>0</v>
      </c>
    </row>
    <row r="27" spans="1:22" s="429" customFormat="1" ht="39" customHeight="1" thickBot="1">
      <c r="A27" s="478" t="s">
        <v>2281</v>
      </c>
      <c r="B27" s="479">
        <f aca="true" t="shared" si="4" ref="B27:V27">SUM(B22:B26)</f>
        <v>4439951</v>
      </c>
      <c r="C27" s="479">
        <f t="shared" si="4"/>
        <v>4424700</v>
      </c>
      <c r="D27" s="445">
        <f t="shared" si="4"/>
        <v>4436957.461</v>
      </c>
      <c r="E27" s="479">
        <f t="shared" si="4"/>
        <v>1478792</v>
      </c>
      <c r="F27" s="479">
        <f t="shared" si="4"/>
        <v>1476680</v>
      </c>
      <c r="G27" s="445">
        <f t="shared" si="4"/>
        <v>1479354.45325</v>
      </c>
      <c r="H27" s="479">
        <f t="shared" si="4"/>
        <v>86248</v>
      </c>
      <c r="I27" s="479">
        <f t="shared" si="4"/>
        <v>86057</v>
      </c>
      <c r="J27" s="445">
        <f t="shared" si="4"/>
        <v>86293.896</v>
      </c>
      <c r="K27" s="479">
        <f t="shared" si="4"/>
        <v>1416899</v>
      </c>
      <c r="L27" s="479">
        <f t="shared" si="4"/>
        <v>1533701</v>
      </c>
      <c r="M27" s="445">
        <f t="shared" si="4"/>
        <v>1605217.6943799998</v>
      </c>
      <c r="N27" s="479">
        <f t="shared" si="4"/>
        <v>772815</v>
      </c>
      <c r="O27" s="479">
        <f t="shared" si="4"/>
        <v>946950</v>
      </c>
      <c r="P27" s="445">
        <f t="shared" si="4"/>
        <v>1061059.2551</v>
      </c>
      <c r="Q27" s="479">
        <f t="shared" si="4"/>
        <v>21500</v>
      </c>
      <c r="R27" s="479">
        <f t="shared" si="4"/>
        <v>21500</v>
      </c>
      <c r="S27" s="445">
        <f t="shared" si="4"/>
        <v>21501.69689</v>
      </c>
      <c r="T27" s="479">
        <f t="shared" si="4"/>
        <v>8216205</v>
      </c>
      <c r="U27" s="479">
        <f t="shared" si="4"/>
        <v>8489588</v>
      </c>
      <c r="V27" s="445">
        <f t="shared" si="4"/>
        <v>8690384.456619998</v>
      </c>
    </row>
    <row r="28" spans="1:16" ht="11.25" customHeight="1">
      <c r="A28" s="431"/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</row>
    <row r="29" spans="1:9" s="429" customFormat="1" ht="17.25" customHeight="1">
      <c r="A29" s="1060" t="s">
        <v>4</v>
      </c>
      <c r="B29" s="1060"/>
      <c r="C29" s="1060"/>
      <c r="D29" s="1060"/>
      <c r="E29" s="1060"/>
      <c r="F29" s="1060"/>
      <c r="G29" s="1060"/>
      <c r="H29" s="1060"/>
      <c r="I29" s="1060"/>
    </row>
    <row r="30" ht="15" customHeight="1"/>
    <row r="31" spans="1:22" s="505" customFormat="1" ht="18">
      <c r="A31" s="507" t="s">
        <v>2173</v>
      </c>
      <c r="B31" s="509"/>
      <c r="C31" s="510"/>
      <c r="D31" s="506"/>
      <c r="E31" s="506"/>
      <c r="F31" s="506"/>
      <c r="G31" s="508" t="s">
        <v>2315</v>
      </c>
      <c r="H31" s="508"/>
      <c r="I31" s="507"/>
      <c r="J31" s="507"/>
      <c r="K31" s="507"/>
      <c r="N31" s="508"/>
      <c r="O31" s="508"/>
      <c r="P31" s="507"/>
      <c r="T31" s="1037" t="s">
        <v>2137</v>
      </c>
      <c r="U31" s="1037"/>
      <c r="V31" s="1037"/>
    </row>
    <row r="32" spans="12:16" ht="12.75">
      <c r="L32" s="430"/>
      <c r="N32" s="430"/>
      <c r="O32" s="430"/>
      <c r="P32" s="430"/>
    </row>
    <row r="33" spans="12:16" ht="12.75">
      <c r="L33" s="430"/>
      <c r="N33" s="430"/>
      <c r="O33" s="430"/>
      <c r="P33" s="430"/>
    </row>
    <row r="34" spans="12:16" ht="12.75">
      <c r="L34" s="430"/>
      <c r="N34" s="430"/>
      <c r="O34" s="430"/>
      <c r="P34" s="430"/>
    </row>
    <row r="35" spans="12:16" ht="12.75">
      <c r="L35" s="430"/>
      <c r="N35" s="430"/>
      <c r="O35" s="430"/>
      <c r="P35" s="430"/>
    </row>
    <row r="36" spans="12:16" ht="12.75">
      <c r="L36" s="430"/>
      <c r="N36" s="430"/>
      <c r="O36" s="430"/>
      <c r="P36" s="430"/>
    </row>
    <row r="37" spans="12:16" ht="12.75">
      <c r="L37" s="430"/>
      <c r="N37" s="430"/>
      <c r="O37" s="430"/>
      <c r="P37" s="430"/>
    </row>
    <row r="38" spans="12:16" ht="12.75">
      <c r="L38" s="430"/>
      <c r="N38" s="430"/>
      <c r="O38" s="430"/>
      <c r="P38" s="430"/>
    </row>
    <row r="39" spans="12:16" ht="12.75">
      <c r="L39" s="430"/>
      <c r="N39" s="430"/>
      <c r="O39" s="430"/>
      <c r="P39" s="430"/>
    </row>
    <row r="40" spans="12:16" ht="12.75">
      <c r="L40" s="430"/>
      <c r="N40" s="430"/>
      <c r="O40" s="430"/>
      <c r="P40" s="430"/>
    </row>
    <row r="41" spans="12:16" ht="12.75">
      <c r="L41" s="430"/>
      <c r="M41" s="433"/>
      <c r="N41" s="430"/>
      <c r="O41" s="430"/>
      <c r="P41" s="430"/>
    </row>
    <row r="42" spans="12:16" ht="12.75">
      <c r="L42" s="430"/>
      <c r="N42" s="430"/>
      <c r="O42" s="430"/>
      <c r="P42" s="430"/>
    </row>
  </sheetData>
  <mergeCells count="10">
    <mergeCell ref="T31:V31"/>
    <mergeCell ref="U1:V1"/>
    <mergeCell ref="A3:V3"/>
    <mergeCell ref="A5:A6"/>
    <mergeCell ref="B5:D5"/>
    <mergeCell ref="E5:G5"/>
    <mergeCell ref="N5:P5"/>
    <mergeCell ref="Q5:S5"/>
    <mergeCell ref="T5:V5"/>
    <mergeCell ref="A29:I29"/>
  </mergeCells>
  <printOptions horizontalCentered="1"/>
  <pageMargins left="0.1968503937007874" right="0.1968503937007874" top="0.984251968503937" bottom="0.7874015748031497" header="0.7086614173228347" footer="0.31496062992125984"/>
  <pageSetup blackAndWhite="1" fitToHeight="1" fitToWidth="1" horizontalDpi="600" verticalDpi="600" orientation="landscape" paperSize="9" scale="43" r:id="rId1"/>
  <headerFooter alignWithMargins="0">
    <oddFooter>&amp;C&amp;18&amp;P+157
&amp;22
&amp;16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8"/>
  <sheetViews>
    <sheetView zoomScale="75" zoomScaleNormal="75" workbookViewId="0" topLeftCell="A1">
      <pane xSplit="1" ySplit="7" topLeftCell="M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21" sqref="O21"/>
    </sheetView>
  </sheetViews>
  <sheetFormatPr defaultColWidth="9.00390625" defaultRowHeight="12.75"/>
  <cols>
    <col min="1" max="1" width="29.375" style="897" customWidth="1"/>
    <col min="2" max="3" width="14.25390625" style="897" customWidth="1"/>
    <col min="4" max="4" width="19.125" style="897" customWidth="1"/>
    <col min="5" max="6" width="12.25390625" style="897" customWidth="1"/>
    <col min="7" max="7" width="17.00390625" style="897" customWidth="1"/>
    <col min="8" max="9" width="12.25390625" style="897" customWidth="1"/>
    <col min="10" max="10" width="15.125" style="897" customWidth="1"/>
    <col min="11" max="12" width="12.25390625" style="897" customWidth="1"/>
    <col min="13" max="13" width="16.75390625" style="897" customWidth="1"/>
    <col min="14" max="15" width="12.25390625" style="897" customWidth="1"/>
    <col min="16" max="16" width="16.625" style="897" customWidth="1"/>
    <col min="17" max="18" width="11.25390625" style="897" customWidth="1"/>
    <col min="19" max="19" width="11.625" style="897" customWidth="1"/>
    <col min="20" max="21" width="14.375" style="897" customWidth="1"/>
    <col min="22" max="22" width="18.00390625" style="898" customWidth="1"/>
    <col min="23" max="16384" width="9.125" style="897" customWidth="1"/>
  </cols>
  <sheetData>
    <row r="2" spans="1:22" s="963" customFormat="1" ht="24.75" customHeight="1">
      <c r="A2" s="963" t="s">
        <v>2106</v>
      </c>
      <c r="N2" s="964"/>
      <c r="U2" s="1062" t="s">
        <v>908</v>
      </c>
      <c r="V2" s="1062"/>
    </row>
    <row r="3" ht="31.5" customHeight="1"/>
    <row r="4" spans="1:22" s="965" customFormat="1" ht="31.5" customHeight="1">
      <c r="A4" s="1063" t="s">
        <v>895</v>
      </c>
      <c r="B4" s="1063"/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063"/>
      <c r="R4" s="1063"/>
      <c r="S4" s="1063"/>
      <c r="T4" s="1063"/>
      <c r="U4" s="1063"/>
      <c r="V4" s="1063"/>
    </row>
    <row r="5" spans="1:22" ht="37.5" customHeight="1" thickBot="1">
      <c r="A5" s="899"/>
      <c r="P5" s="900"/>
      <c r="V5" s="901" t="s">
        <v>2109</v>
      </c>
    </row>
    <row r="6" spans="1:22" s="250" customFormat="1" ht="32.25" customHeight="1" thickBot="1">
      <c r="A6" s="1064" t="s">
        <v>896</v>
      </c>
      <c r="B6" s="1066" t="s">
        <v>2260</v>
      </c>
      <c r="C6" s="1067"/>
      <c r="D6" s="1068"/>
      <c r="E6" s="1066" t="s">
        <v>2111</v>
      </c>
      <c r="F6" s="1067"/>
      <c r="G6" s="1068"/>
      <c r="H6" s="966" t="s">
        <v>2112</v>
      </c>
      <c r="I6" s="967"/>
      <c r="J6" s="968"/>
      <c r="K6" s="966" t="s">
        <v>2113</v>
      </c>
      <c r="L6" s="967"/>
      <c r="M6" s="968"/>
      <c r="N6" s="1069" t="s">
        <v>2114</v>
      </c>
      <c r="O6" s="1070"/>
      <c r="P6" s="1071"/>
      <c r="Q6" s="1066" t="s">
        <v>2115</v>
      </c>
      <c r="R6" s="1067"/>
      <c r="S6" s="1072"/>
      <c r="T6" s="1067" t="s">
        <v>909</v>
      </c>
      <c r="U6" s="1067"/>
      <c r="V6" s="1068"/>
    </row>
    <row r="7" spans="1:22" ht="32.25" customHeight="1" thickBot="1">
      <c r="A7" s="1065"/>
      <c r="B7" s="902" t="s">
        <v>2119</v>
      </c>
      <c r="C7" s="903" t="s">
        <v>2120</v>
      </c>
      <c r="D7" s="904" t="s">
        <v>2121</v>
      </c>
      <c r="E7" s="902" t="s">
        <v>2119</v>
      </c>
      <c r="F7" s="903" t="s">
        <v>2120</v>
      </c>
      <c r="G7" s="904" t="s">
        <v>2121</v>
      </c>
      <c r="H7" s="902" t="s">
        <v>2119</v>
      </c>
      <c r="I7" s="903" t="s">
        <v>2120</v>
      </c>
      <c r="J7" s="904" t="s">
        <v>2121</v>
      </c>
      <c r="K7" s="902" t="s">
        <v>2119</v>
      </c>
      <c r="L7" s="903" t="s">
        <v>2120</v>
      </c>
      <c r="M7" s="904" t="s">
        <v>2121</v>
      </c>
      <c r="N7" s="902" t="s">
        <v>2119</v>
      </c>
      <c r="O7" s="905" t="s">
        <v>2120</v>
      </c>
      <c r="P7" s="904" t="s">
        <v>2121</v>
      </c>
      <c r="Q7" s="906" t="s">
        <v>2119</v>
      </c>
      <c r="R7" s="907" t="s">
        <v>2120</v>
      </c>
      <c r="S7" s="908" t="s">
        <v>2121</v>
      </c>
      <c r="T7" s="909" t="s">
        <v>2119</v>
      </c>
      <c r="U7" s="907" t="s">
        <v>2120</v>
      </c>
      <c r="V7" s="910" t="s">
        <v>2121</v>
      </c>
    </row>
    <row r="8" spans="1:22" ht="33" customHeight="1">
      <c r="A8" s="957" t="s">
        <v>897</v>
      </c>
      <c r="B8" s="911">
        <v>2792651</v>
      </c>
      <c r="C8" s="912">
        <v>2999392</v>
      </c>
      <c r="D8" s="913">
        <v>2998412</v>
      </c>
      <c r="E8" s="911">
        <v>932449</v>
      </c>
      <c r="F8" s="912">
        <v>1004264</v>
      </c>
      <c r="G8" s="913">
        <v>1003930.99948</v>
      </c>
      <c r="H8" s="911">
        <v>54836</v>
      </c>
      <c r="I8" s="912">
        <v>58919</v>
      </c>
      <c r="J8" s="913">
        <v>58899</v>
      </c>
      <c r="K8" s="911">
        <v>556534</v>
      </c>
      <c r="L8" s="912">
        <v>515836</v>
      </c>
      <c r="M8" s="914">
        <v>515877.06558000005</v>
      </c>
      <c r="N8" s="915">
        <v>44071</v>
      </c>
      <c r="O8" s="912">
        <v>105773</v>
      </c>
      <c r="P8" s="916">
        <v>88093.61658999999</v>
      </c>
      <c r="Q8" s="917">
        <v>0</v>
      </c>
      <c r="R8" s="918">
        <v>0</v>
      </c>
      <c r="S8" s="914">
        <v>0</v>
      </c>
      <c r="T8" s="919">
        <f>B8+E8+H8+K8+N8+Q8</f>
        <v>4380541</v>
      </c>
      <c r="U8" s="912">
        <f>C8+F8+I8+L8+O8+R8</f>
        <v>4684184</v>
      </c>
      <c r="V8" s="914">
        <f>D8+G8+J8+M8+P8+S8</f>
        <v>4665212.68165</v>
      </c>
    </row>
    <row r="9" spans="1:22" ht="33" customHeight="1">
      <c r="A9" s="958" t="s">
        <v>898</v>
      </c>
      <c r="B9" s="920">
        <v>1499653</v>
      </c>
      <c r="C9" s="921">
        <v>1579497</v>
      </c>
      <c r="D9" s="922">
        <v>1577694</v>
      </c>
      <c r="E9" s="920">
        <v>500566</v>
      </c>
      <c r="F9" s="921">
        <v>528367</v>
      </c>
      <c r="G9" s="922">
        <v>527754</v>
      </c>
      <c r="H9" s="920">
        <v>29435</v>
      </c>
      <c r="I9" s="921">
        <v>31010</v>
      </c>
      <c r="J9" s="922">
        <v>30974</v>
      </c>
      <c r="K9" s="920">
        <v>317136</v>
      </c>
      <c r="L9" s="921">
        <v>330117</v>
      </c>
      <c r="M9" s="923">
        <v>331122.75129000004</v>
      </c>
      <c r="N9" s="924">
        <v>61081</v>
      </c>
      <c r="O9" s="925">
        <v>122038</v>
      </c>
      <c r="P9" s="926">
        <v>86805.86700000001</v>
      </c>
      <c r="Q9" s="924">
        <v>0</v>
      </c>
      <c r="R9" s="925">
        <v>0</v>
      </c>
      <c r="S9" s="927">
        <v>0</v>
      </c>
      <c r="T9" s="928">
        <f aca="true" t="shared" si="0" ref="T9:V15">B9+E9+H9+K9+N9+Q9</f>
        <v>2407871</v>
      </c>
      <c r="U9" s="925">
        <f t="shared" si="0"/>
        <v>2591029</v>
      </c>
      <c r="V9" s="923">
        <f t="shared" si="0"/>
        <v>2554350.61829</v>
      </c>
    </row>
    <row r="10" spans="1:22" ht="33" customHeight="1">
      <c r="A10" s="958" t="s">
        <v>899</v>
      </c>
      <c r="B10" s="920">
        <v>1090271</v>
      </c>
      <c r="C10" s="921">
        <v>1075669</v>
      </c>
      <c r="D10" s="922">
        <v>1074463.947</v>
      </c>
      <c r="E10" s="920">
        <v>364276</v>
      </c>
      <c r="F10" s="921">
        <v>359575</v>
      </c>
      <c r="G10" s="922">
        <v>358752.4</v>
      </c>
      <c r="H10" s="920">
        <v>21424</v>
      </c>
      <c r="I10" s="921">
        <v>21140</v>
      </c>
      <c r="J10" s="922">
        <v>21116</v>
      </c>
      <c r="K10" s="920">
        <v>202670</v>
      </c>
      <c r="L10" s="921">
        <v>213564</v>
      </c>
      <c r="M10" s="922">
        <v>214361.46912999987</v>
      </c>
      <c r="N10" s="924">
        <v>16614</v>
      </c>
      <c r="O10" s="925">
        <v>74069</v>
      </c>
      <c r="P10" s="926">
        <v>30717.25955</v>
      </c>
      <c r="Q10" s="929">
        <v>0</v>
      </c>
      <c r="R10" s="930">
        <v>0</v>
      </c>
      <c r="S10" s="931">
        <v>0</v>
      </c>
      <c r="T10" s="928">
        <f t="shared" si="0"/>
        <v>1695255</v>
      </c>
      <c r="U10" s="925">
        <f t="shared" si="0"/>
        <v>1744017</v>
      </c>
      <c r="V10" s="931">
        <f t="shared" si="0"/>
        <v>1699411.07568</v>
      </c>
    </row>
    <row r="11" spans="1:22" ht="33" customHeight="1">
      <c r="A11" s="958" t="s">
        <v>900</v>
      </c>
      <c r="B11" s="920">
        <v>1626604</v>
      </c>
      <c r="C11" s="921">
        <v>1637677</v>
      </c>
      <c r="D11" s="922">
        <v>1636411</v>
      </c>
      <c r="E11" s="920">
        <v>542543</v>
      </c>
      <c r="F11" s="921">
        <v>547436</v>
      </c>
      <c r="G11" s="922">
        <v>546491</v>
      </c>
      <c r="H11" s="920">
        <v>31893</v>
      </c>
      <c r="I11" s="921">
        <v>32123</v>
      </c>
      <c r="J11" s="922">
        <v>32098</v>
      </c>
      <c r="K11" s="920">
        <v>339838</v>
      </c>
      <c r="L11" s="921">
        <v>322885</v>
      </c>
      <c r="M11" s="922">
        <v>327089.38573</v>
      </c>
      <c r="N11" s="924">
        <v>41874</v>
      </c>
      <c r="O11" s="925">
        <v>127239</v>
      </c>
      <c r="P11" s="926">
        <v>100019.58635999999</v>
      </c>
      <c r="Q11" s="924">
        <v>0</v>
      </c>
      <c r="R11" s="925">
        <v>0</v>
      </c>
      <c r="S11" s="927">
        <v>0</v>
      </c>
      <c r="T11" s="928">
        <f t="shared" si="0"/>
        <v>2582752</v>
      </c>
      <c r="U11" s="925">
        <f t="shared" si="0"/>
        <v>2667360</v>
      </c>
      <c r="V11" s="923">
        <f t="shared" si="0"/>
        <v>2642108.9720900003</v>
      </c>
    </row>
    <row r="12" spans="1:22" ht="33" customHeight="1">
      <c r="A12" s="958" t="s">
        <v>901</v>
      </c>
      <c r="B12" s="920">
        <v>2062572</v>
      </c>
      <c r="C12" s="921">
        <v>2055441</v>
      </c>
      <c r="D12" s="922">
        <v>2054004</v>
      </c>
      <c r="E12" s="920">
        <v>688979</v>
      </c>
      <c r="F12" s="921">
        <v>687328</v>
      </c>
      <c r="G12" s="922">
        <v>686839</v>
      </c>
      <c r="H12" s="920">
        <v>40525</v>
      </c>
      <c r="I12" s="921">
        <v>40399</v>
      </c>
      <c r="J12" s="922">
        <v>40370</v>
      </c>
      <c r="K12" s="920">
        <v>393141</v>
      </c>
      <c r="L12" s="921">
        <v>385037</v>
      </c>
      <c r="M12" s="922">
        <v>389580.0773100001</v>
      </c>
      <c r="N12" s="924">
        <v>51309</v>
      </c>
      <c r="O12" s="925">
        <v>154484</v>
      </c>
      <c r="P12" s="926">
        <v>139158.70679000003</v>
      </c>
      <c r="Q12" s="929">
        <v>0</v>
      </c>
      <c r="R12" s="930">
        <v>0</v>
      </c>
      <c r="S12" s="931">
        <v>0</v>
      </c>
      <c r="T12" s="928">
        <f t="shared" si="0"/>
        <v>3236526</v>
      </c>
      <c r="U12" s="925">
        <f t="shared" si="0"/>
        <v>3322689</v>
      </c>
      <c r="V12" s="931">
        <f t="shared" si="0"/>
        <v>3309951.7841000003</v>
      </c>
    </row>
    <row r="13" spans="1:22" ht="33" customHeight="1">
      <c r="A13" s="958" t="s">
        <v>902</v>
      </c>
      <c r="B13" s="920">
        <v>1412440</v>
      </c>
      <c r="C13" s="921">
        <v>1402088</v>
      </c>
      <c r="D13" s="922">
        <v>1400493</v>
      </c>
      <c r="E13" s="920">
        <v>470631</v>
      </c>
      <c r="F13" s="921">
        <v>468470</v>
      </c>
      <c r="G13" s="922">
        <v>467853</v>
      </c>
      <c r="H13" s="920">
        <v>27659</v>
      </c>
      <c r="I13" s="921">
        <v>27465</v>
      </c>
      <c r="J13" s="922">
        <v>27433</v>
      </c>
      <c r="K13" s="920">
        <v>244193</v>
      </c>
      <c r="L13" s="921">
        <v>248703</v>
      </c>
      <c r="M13" s="922">
        <v>249889.80142999996</v>
      </c>
      <c r="N13" s="924">
        <v>35251</v>
      </c>
      <c r="O13" s="925">
        <v>95514</v>
      </c>
      <c r="P13" s="926">
        <v>67553.9367</v>
      </c>
      <c r="Q13" s="924">
        <v>0</v>
      </c>
      <c r="R13" s="925">
        <v>0</v>
      </c>
      <c r="S13" s="927">
        <v>0</v>
      </c>
      <c r="T13" s="928">
        <f t="shared" si="0"/>
        <v>2190174</v>
      </c>
      <c r="U13" s="925">
        <f t="shared" si="0"/>
        <v>2242240</v>
      </c>
      <c r="V13" s="923">
        <f t="shared" si="0"/>
        <v>2213222.73813</v>
      </c>
    </row>
    <row r="14" spans="1:22" ht="33" customHeight="1">
      <c r="A14" s="958" t="s">
        <v>903</v>
      </c>
      <c r="B14" s="920">
        <v>2594645</v>
      </c>
      <c r="C14" s="921">
        <v>2623837</v>
      </c>
      <c r="D14" s="922">
        <v>2620997</v>
      </c>
      <c r="E14" s="920">
        <v>863179</v>
      </c>
      <c r="F14" s="921">
        <v>875567</v>
      </c>
      <c r="G14" s="922">
        <v>874601</v>
      </c>
      <c r="H14" s="920">
        <v>50712</v>
      </c>
      <c r="I14" s="921">
        <v>51310</v>
      </c>
      <c r="J14" s="922">
        <v>51253</v>
      </c>
      <c r="K14" s="920">
        <v>458543</v>
      </c>
      <c r="L14" s="921">
        <v>414153</v>
      </c>
      <c r="M14" s="922">
        <v>423315.7890799999</v>
      </c>
      <c r="N14" s="924">
        <v>79994</v>
      </c>
      <c r="O14" s="925">
        <v>341833</v>
      </c>
      <c r="P14" s="926">
        <v>319153.58552</v>
      </c>
      <c r="Q14" s="929">
        <v>0</v>
      </c>
      <c r="R14" s="930">
        <v>0</v>
      </c>
      <c r="S14" s="931">
        <v>0</v>
      </c>
      <c r="T14" s="928">
        <f t="shared" si="0"/>
        <v>4047073</v>
      </c>
      <c r="U14" s="925">
        <f t="shared" si="0"/>
        <v>4306700</v>
      </c>
      <c r="V14" s="931">
        <f t="shared" si="0"/>
        <v>4289320.3746</v>
      </c>
    </row>
    <row r="15" spans="1:22" ht="33" customHeight="1">
      <c r="A15" s="959" t="s">
        <v>904</v>
      </c>
      <c r="B15" s="920">
        <v>2616723</v>
      </c>
      <c r="C15" s="921">
        <v>2599499</v>
      </c>
      <c r="D15" s="922">
        <v>2597368.9615000007</v>
      </c>
      <c r="E15" s="920">
        <v>872613</v>
      </c>
      <c r="F15" s="921">
        <v>867723</v>
      </c>
      <c r="G15" s="922">
        <v>866008.0775</v>
      </c>
      <c r="H15" s="920">
        <v>51304</v>
      </c>
      <c r="I15" s="921">
        <v>50983</v>
      </c>
      <c r="J15" s="922">
        <v>50944</v>
      </c>
      <c r="K15" s="920">
        <v>487044</v>
      </c>
      <c r="L15" s="921">
        <v>484054</v>
      </c>
      <c r="M15" s="922">
        <v>486340.0015499999</v>
      </c>
      <c r="N15" s="924">
        <v>62383</v>
      </c>
      <c r="O15" s="925">
        <v>115793</v>
      </c>
      <c r="P15" s="926">
        <v>104363.71695</v>
      </c>
      <c r="Q15" s="924">
        <v>0</v>
      </c>
      <c r="R15" s="925">
        <v>0</v>
      </c>
      <c r="S15" s="927">
        <v>0</v>
      </c>
      <c r="T15" s="928">
        <f t="shared" si="0"/>
        <v>4090067</v>
      </c>
      <c r="U15" s="925">
        <f t="shared" si="0"/>
        <v>4118052</v>
      </c>
      <c r="V15" s="923">
        <f t="shared" si="0"/>
        <v>4105024.7575000008</v>
      </c>
    </row>
    <row r="16" spans="1:22" ht="33" customHeight="1">
      <c r="A16" s="961" t="s">
        <v>905</v>
      </c>
      <c r="B16" s="932">
        <f>SUM(B8:B15)</f>
        <v>15695559</v>
      </c>
      <c r="C16" s="933">
        <f aca="true" t="shared" si="1" ref="C16:M16">SUM(C8:C15)</f>
        <v>15973100</v>
      </c>
      <c r="D16" s="934">
        <f t="shared" si="1"/>
        <v>15959843.9085</v>
      </c>
      <c r="E16" s="932">
        <f t="shared" si="1"/>
        <v>5235236</v>
      </c>
      <c r="F16" s="933">
        <f t="shared" si="1"/>
        <v>5338730</v>
      </c>
      <c r="G16" s="934">
        <f t="shared" si="1"/>
        <v>5332229.47698</v>
      </c>
      <c r="H16" s="932">
        <f t="shared" si="1"/>
        <v>307788</v>
      </c>
      <c r="I16" s="933">
        <f t="shared" si="1"/>
        <v>313349</v>
      </c>
      <c r="J16" s="934">
        <f t="shared" si="1"/>
        <v>313087</v>
      </c>
      <c r="K16" s="932">
        <f t="shared" si="1"/>
        <v>2999099</v>
      </c>
      <c r="L16" s="933">
        <f t="shared" si="1"/>
        <v>2914349</v>
      </c>
      <c r="M16" s="934">
        <f t="shared" si="1"/>
        <v>2937576.3411</v>
      </c>
      <c r="N16" s="935">
        <f aca="true" t="shared" si="2" ref="N16:V16">SUM(N8:N15)</f>
        <v>392577</v>
      </c>
      <c r="O16" s="936">
        <f t="shared" si="2"/>
        <v>1136743</v>
      </c>
      <c r="P16" s="937">
        <f t="shared" si="2"/>
        <v>935866.2754600001</v>
      </c>
      <c r="Q16" s="935">
        <f t="shared" si="2"/>
        <v>0</v>
      </c>
      <c r="R16" s="936">
        <f t="shared" si="2"/>
        <v>0</v>
      </c>
      <c r="S16" s="938">
        <f t="shared" si="2"/>
        <v>0</v>
      </c>
      <c r="T16" s="939">
        <f t="shared" si="2"/>
        <v>24630259</v>
      </c>
      <c r="U16" s="936">
        <f t="shared" si="2"/>
        <v>25676271</v>
      </c>
      <c r="V16" s="940">
        <f t="shared" si="2"/>
        <v>25478603.002040002</v>
      </c>
    </row>
    <row r="17" spans="1:22" ht="33" customHeight="1" thickBot="1">
      <c r="A17" s="960" t="s">
        <v>906</v>
      </c>
      <c r="B17" s="920">
        <v>4615139</v>
      </c>
      <c r="C17" s="921">
        <v>4285142</v>
      </c>
      <c r="D17" s="922">
        <v>4277127.034</v>
      </c>
      <c r="E17" s="920">
        <v>1541794</v>
      </c>
      <c r="F17" s="921">
        <v>1415505</v>
      </c>
      <c r="G17" s="922">
        <v>1414859</v>
      </c>
      <c r="H17" s="920">
        <v>90250</v>
      </c>
      <c r="I17" s="921">
        <v>83112</v>
      </c>
      <c r="J17" s="922">
        <v>83071.83752</v>
      </c>
      <c r="K17" s="920">
        <f>1124665+676752+7718</f>
        <v>1809135</v>
      </c>
      <c r="L17" s="921">
        <f>1597891+794471+16694</f>
        <v>2409056</v>
      </c>
      <c r="M17" s="922">
        <f>1622936.80059+818373+16694</f>
        <v>2458003.80059</v>
      </c>
      <c r="N17" s="924">
        <v>1013246</v>
      </c>
      <c r="O17" s="925">
        <v>597935</v>
      </c>
      <c r="P17" s="926">
        <v>641585.4299200001</v>
      </c>
      <c r="Q17" s="941">
        <v>7750</v>
      </c>
      <c r="R17" s="942">
        <v>9282</v>
      </c>
      <c r="S17" s="943">
        <v>9693.30177</v>
      </c>
      <c r="T17" s="928">
        <f>B17+E17+H17+K17+N17+Q17</f>
        <v>9077314</v>
      </c>
      <c r="U17" s="925">
        <f>C17+F17+I17+L17+O17+R17</f>
        <v>8800032</v>
      </c>
      <c r="V17" s="923">
        <f>D17+G17+J17+M17+P17+S17</f>
        <v>8884340.4038</v>
      </c>
    </row>
    <row r="18" spans="1:22" s="944" customFormat="1" ht="33" customHeight="1" thickBot="1">
      <c r="A18" s="962" t="s">
        <v>2281</v>
      </c>
      <c r="B18" s="945">
        <f>SUM(B16:B17)</f>
        <v>20310698</v>
      </c>
      <c r="C18" s="946">
        <f aca="true" t="shared" si="3" ref="C18:M18">SUM(C16:C17)</f>
        <v>20258242</v>
      </c>
      <c r="D18" s="947">
        <f t="shared" si="3"/>
        <v>20236970.942500003</v>
      </c>
      <c r="E18" s="945">
        <f t="shared" si="3"/>
        <v>6777030</v>
      </c>
      <c r="F18" s="946">
        <f t="shared" si="3"/>
        <v>6754235</v>
      </c>
      <c r="G18" s="947">
        <f t="shared" si="3"/>
        <v>6747088.47698</v>
      </c>
      <c r="H18" s="945">
        <f t="shared" si="3"/>
        <v>398038</v>
      </c>
      <c r="I18" s="946">
        <f t="shared" si="3"/>
        <v>396461</v>
      </c>
      <c r="J18" s="947">
        <f t="shared" si="3"/>
        <v>396158.83752</v>
      </c>
      <c r="K18" s="945">
        <f t="shared" si="3"/>
        <v>4808234</v>
      </c>
      <c r="L18" s="946">
        <f t="shared" si="3"/>
        <v>5323405</v>
      </c>
      <c r="M18" s="947">
        <f t="shared" si="3"/>
        <v>5395580.14169</v>
      </c>
      <c r="N18" s="945">
        <f aca="true" t="shared" si="4" ref="N18:V18">SUM(N16:N17)</f>
        <v>1405823</v>
      </c>
      <c r="O18" s="946">
        <f t="shared" si="4"/>
        <v>1734678</v>
      </c>
      <c r="P18" s="995">
        <f t="shared" si="4"/>
        <v>1577451.7053800002</v>
      </c>
      <c r="Q18" s="948">
        <f t="shared" si="4"/>
        <v>7750</v>
      </c>
      <c r="R18" s="946">
        <f t="shared" si="4"/>
        <v>9282</v>
      </c>
      <c r="S18" s="994">
        <f t="shared" si="4"/>
        <v>9693.30177</v>
      </c>
      <c r="T18" s="948">
        <f t="shared" si="4"/>
        <v>33707573</v>
      </c>
      <c r="U18" s="946">
        <f t="shared" si="4"/>
        <v>34476303</v>
      </c>
      <c r="V18" s="947">
        <f t="shared" si="4"/>
        <v>34362943.40584</v>
      </c>
    </row>
    <row r="19" spans="1:16" ht="11.25" customHeight="1">
      <c r="A19" s="949"/>
      <c r="B19" s="950"/>
      <c r="C19" s="950"/>
      <c r="D19" s="950"/>
      <c r="E19" s="950"/>
      <c r="F19" s="950"/>
      <c r="G19" s="950"/>
      <c r="H19" s="950"/>
      <c r="I19" s="950"/>
      <c r="J19" s="950"/>
      <c r="K19" s="950"/>
      <c r="L19" s="950"/>
      <c r="M19" s="950"/>
      <c r="N19" s="950"/>
      <c r="O19" s="950"/>
      <c r="P19" s="950"/>
    </row>
    <row r="20" spans="1:9" s="429" customFormat="1" ht="17.25" customHeight="1">
      <c r="A20" s="1060" t="s">
        <v>4</v>
      </c>
      <c r="B20" s="1060"/>
      <c r="C20" s="1060"/>
      <c r="D20" s="1060"/>
      <c r="E20" s="1060"/>
      <c r="F20" s="1060"/>
      <c r="G20" s="1060"/>
      <c r="H20" s="1060"/>
      <c r="I20" s="1060"/>
    </row>
    <row r="21" spans="19:22" s="951" customFormat="1" ht="23.25" customHeight="1">
      <c r="S21" s="952"/>
      <c r="V21" s="953"/>
    </row>
    <row r="22" spans="1:22" s="969" customFormat="1" ht="20.25" customHeight="1">
      <c r="A22" s="969" t="s">
        <v>907</v>
      </c>
      <c r="H22" s="970" t="s">
        <v>2136</v>
      </c>
      <c r="I22" s="970"/>
      <c r="J22" s="970"/>
      <c r="K22" s="970"/>
      <c r="L22" s="970"/>
      <c r="M22" s="970"/>
      <c r="N22" s="970"/>
      <c r="O22" s="970"/>
      <c r="P22" s="970"/>
      <c r="Q22" s="970"/>
      <c r="R22" s="970"/>
      <c r="S22" s="970"/>
      <c r="T22" s="1061" t="s">
        <v>2137</v>
      </c>
      <c r="U22" s="1061"/>
      <c r="V22" s="1061"/>
    </row>
    <row r="23" spans="12:16" ht="11.25" customHeight="1">
      <c r="L23" s="955"/>
      <c r="N23" s="955"/>
      <c r="O23" s="955"/>
      <c r="P23" s="955"/>
    </row>
    <row r="24" spans="1:16" ht="20.25" customHeight="1">
      <c r="A24" s="650"/>
      <c r="B24" s="954"/>
      <c r="C24" s="954"/>
      <c r="L24" s="955"/>
      <c r="N24" s="955"/>
      <c r="O24" s="955"/>
      <c r="P24" s="955"/>
    </row>
    <row r="25" spans="12:16" ht="12.75">
      <c r="L25" s="955"/>
      <c r="N25" s="955"/>
      <c r="O25" s="955"/>
      <c r="P25" s="955"/>
    </row>
    <row r="26" spans="12:16" ht="12.75">
      <c r="L26" s="955"/>
      <c r="N26" s="955"/>
      <c r="O26" s="955"/>
      <c r="P26" s="955"/>
    </row>
    <row r="27" spans="12:16" ht="12.75">
      <c r="L27" s="955"/>
      <c r="M27" s="956"/>
      <c r="N27" s="955"/>
      <c r="O27" s="955"/>
      <c r="P27" s="955"/>
    </row>
    <row r="28" spans="12:16" ht="12.75">
      <c r="L28" s="955"/>
      <c r="N28" s="955"/>
      <c r="O28" s="955"/>
      <c r="P28" s="955"/>
    </row>
  </sheetData>
  <mergeCells count="10">
    <mergeCell ref="T22:V22"/>
    <mergeCell ref="U2:V2"/>
    <mergeCell ref="A4:V4"/>
    <mergeCell ref="A6:A7"/>
    <mergeCell ref="B6:D6"/>
    <mergeCell ref="E6:G6"/>
    <mergeCell ref="N6:P6"/>
    <mergeCell ref="Q6:S6"/>
    <mergeCell ref="T6:V6"/>
    <mergeCell ref="A20:I20"/>
  </mergeCells>
  <printOptions horizontalCentered="1"/>
  <pageMargins left="0.3937007874015748" right="0.3937007874015748" top="0.984251968503937" bottom="0.984251968503937" header="0.7086614173228347" footer="0.5118110236220472"/>
  <pageSetup fitToHeight="1" fitToWidth="1" horizontalDpi="600" verticalDpi="600" orientation="landscape" paperSize="9" scale="44" r:id="rId1"/>
  <headerFooter alignWithMargins="0">
    <oddFooter>&amp;C&amp;18&amp;P+158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"/>
  <sheetViews>
    <sheetView zoomScale="75" zoomScaleNormal="75" workbookViewId="0" topLeftCell="A1">
      <selection activeCell="H21" sqref="H21"/>
    </sheetView>
  </sheetViews>
  <sheetFormatPr defaultColWidth="9.00390625" defaultRowHeight="19.5" customHeight="1"/>
  <cols>
    <col min="1" max="1" width="28.75390625" style="743" customWidth="1"/>
    <col min="2" max="4" width="9.75390625" style="743" hidden="1" customWidth="1"/>
    <col min="5" max="15" width="9.75390625" style="743" customWidth="1"/>
    <col min="16" max="16" width="10.375" style="743" bestFit="1" customWidth="1"/>
    <col min="17" max="19" width="12.25390625" style="743" customWidth="1"/>
    <col min="20" max="22" width="9.75390625" style="743" customWidth="1"/>
    <col min="23" max="23" width="11.625" style="743" hidden="1" customWidth="1"/>
    <col min="24" max="26" width="12.375" style="743" customWidth="1"/>
    <col min="27" max="27" width="3.625" style="743" customWidth="1"/>
    <col min="28" max="28" width="14.875" style="743" customWidth="1"/>
    <col min="29" max="29" width="11.75390625" style="743" customWidth="1"/>
    <col min="30" max="30" width="13.125" style="743" customWidth="1"/>
    <col min="31" max="31" width="12.125" style="743" customWidth="1"/>
    <col min="32" max="16384" width="9.125" style="743" customWidth="1"/>
  </cols>
  <sheetData>
    <row r="1" spans="1:26" s="744" customFormat="1" ht="19.5" customHeight="1">
      <c r="A1" s="744" t="s">
        <v>2422</v>
      </c>
      <c r="Y1" s="1074" t="s">
        <v>2423</v>
      </c>
      <c r="Z1" s="1074"/>
    </row>
    <row r="2" spans="25:26" s="744" customFormat="1" ht="19.5" customHeight="1">
      <c r="Y2" s="804"/>
      <c r="Z2" s="804"/>
    </row>
    <row r="3" spans="1:26" ht="19.5" customHeight="1">
      <c r="A3" s="1075" t="s">
        <v>2414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1075"/>
      <c r="Q3" s="1075"/>
      <c r="R3" s="1075"/>
      <c r="S3" s="1075"/>
      <c r="T3" s="1075"/>
      <c r="U3" s="1075"/>
      <c r="V3" s="1075"/>
      <c r="W3" s="1075"/>
      <c r="X3" s="1075"/>
      <c r="Y3" s="1075"/>
      <c r="Z3" s="1075"/>
    </row>
    <row r="5" spans="1:31" ht="19.5" customHeight="1" thickBot="1">
      <c r="A5" s="744"/>
      <c r="B5" s="744"/>
      <c r="C5" s="744"/>
      <c r="D5" s="744"/>
      <c r="Q5" s="745"/>
      <c r="R5" s="745"/>
      <c r="S5" s="745"/>
      <c r="T5" s="745"/>
      <c r="U5" s="745"/>
      <c r="V5" s="746"/>
      <c r="W5" s="746"/>
      <c r="X5" s="745"/>
      <c r="Y5" s="745"/>
      <c r="Z5" s="746" t="s">
        <v>2109</v>
      </c>
      <c r="AA5" s="745"/>
      <c r="AB5" s="745"/>
      <c r="AC5" s="745"/>
      <c r="AD5" s="745"/>
      <c r="AE5" s="745"/>
    </row>
    <row r="6" spans="1:31" ht="24.75" customHeight="1" thickBot="1">
      <c r="A6" s="747"/>
      <c r="B6" s="1076" t="s">
        <v>2415</v>
      </c>
      <c r="C6" s="1077"/>
      <c r="D6" s="1078"/>
      <c r="E6" s="1079" t="s">
        <v>2416</v>
      </c>
      <c r="F6" s="1080"/>
      <c r="G6" s="1081"/>
      <c r="H6" s="750"/>
      <c r="I6" s="751" t="s">
        <v>2417</v>
      </c>
      <c r="J6" s="752"/>
      <c r="K6" s="750"/>
      <c r="L6" s="749" t="s">
        <v>2112</v>
      </c>
      <c r="M6" s="752"/>
      <c r="N6" s="750"/>
      <c r="O6" s="749" t="s">
        <v>2113</v>
      </c>
      <c r="P6" s="752"/>
      <c r="Q6" s="1079" t="s">
        <v>2114</v>
      </c>
      <c r="R6" s="1080"/>
      <c r="S6" s="1081"/>
      <c r="T6" s="1079" t="s">
        <v>2115</v>
      </c>
      <c r="U6" s="1080"/>
      <c r="V6" s="1081"/>
      <c r="W6" s="751" t="s">
        <v>2116</v>
      </c>
      <c r="X6" s="748"/>
      <c r="Y6" s="749" t="s">
        <v>2117</v>
      </c>
      <c r="Z6" s="753"/>
      <c r="AA6" s="754"/>
      <c r="AB6" s="745"/>
      <c r="AC6" s="745"/>
      <c r="AD6" s="745"/>
      <c r="AE6" s="745"/>
    </row>
    <row r="7" spans="1:31" ht="24.75" customHeight="1" thickBot="1">
      <c r="A7" s="755" t="s">
        <v>2118</v>
      </c>
      <c r="B7" s="755" t="s">
        <v>2119</v>
      </c>
      <c r="C7" s="756" t="s">
        <v>2120</v>
      </c>
      <c r="D7" s="757" t="s">
        <v>2121</v>
      </c>
      <c r="E7" s="755" t="s">
        <v>2119</v>
      </c>
      <c r="F7" s="756" t="s">
        <v>2120</v>
      </c>
      <c r="G7" s="758" t="s">
        <v>2121</v>
      </c>
      <c r="H7" s="755" t="s">
        <v>2119</v>
      </c>
      <c r="I7" s="756" t="s">
        <v>2120</v>
      </c>
      <c r="J7" s="758" t="s">
        <v>2121</v>
      </c>
      <c r="K7" s="755" t="s">
        <v>2119</v>
      </c>
      <c r="L7" s="756" t="s">
        <v>2120</v>
      </c>
      <c r="M7" s="758" t="s">
        <v>2121</v>
      </c>
      <c r="N7" s="755" t="s">
        <v>2119</v>
      </c>
      <c r="O7" s="756" t="s">
        <v>2120</v>
      </c>
      <c r="P7" s="758" t="s">
        <v>2121</v>
      </c>
      <c r="Q7" s="755" t="s">
        <v>2119</v>
      </c>
      <c r="R7" s="756" t="s">
        <v>2120</v>
      </c>
      <c r="S7" s="758" t="s">
        <v>2121</v>
      </c>
      <c r="T7" s="759" t="s">
        <v>2119</v>
      </c>
      <c r="U7" s="760" t="s">
        <v>2120</v>
      </c>
      <c r="V7" s="758" t="s">
        <v>2121</v>
      </c>
      <c r="W7" s="761" t="s">
        <v>2122</v>
      </c>
      <c r="X7" s="759" t="s">
        <v>2119</v>
      </c>
      <c r="Y7" s="760" t="s">
        <v>2120</v>
      </c>
      <c r="Z7" s="758" t="s">
        <v>2121</v>
      </c>
      <c r="AA7" s="754"/>
      <c r="AB7" s="754"/>
      <c r="AC7" s="754"/>
      <c r="AD7" s="754"/>
      <c r="AE7" s="754"/>
    </row>
    <row r="8" spans="1:33" ht="22.5" customHeight="1">
      <c r="A8" s="762" t="s">
        <v>2159</v>
      </c>
      <c r="B8" s="763">
        <v>850</v>
      </c>
      <c r="C8" s="764">
        <v>1449</v>
      </c>
      <c r="D8" s="765">
        <v>1464.529</v>
      </c>
      <c r="E8" s="747">
        <f>124199+1220</f>
        <v>125419</v>
      </c>
      <c r="F8" s="766">
        <f>122959+1479</f>
        <v>124438</v>
      </c>
      <c r="G8" s="753">
        <f>122958.5+1471.614</f>
        <v>124430.114</v>
      </c>
      <c r="H8" s="747">
        <v>42228</v>
      </c>
      <c r="I8" s="767">
        <v>41821</v>
      </c>
      <c r="J8" s="753">
        <v>41819.707</v>
      </c>
      <c r="K8" s="768">
        <v>2485</v>
      </c>
      <c r="L8" s="769">
        <v>2461</v>
      </c>
      <c r="M8" s="770">
        <v>2459.17</v>
      </c>
      <c r="N8" s="768">
        <v>61916</v>
      </c>
      <c r="O8" s="770">
        <f>70673-56</f>
        <v>70617</v>
      </c>
      <c r="P8" s="771">
        <f>70669.2-56</f>
        <v>70613.2</v>
      </c>
      <c r="Q8" s="770">
        <v>3949</v>
      </c>
      <c r="R8" s="766">
        <v>3549</v>
      </c>
      <c r="S8" s="753">
        <v>3539.039</v>
      </c>
      <c r="T8" s="772"/>
      <c r="U8" s="773"/>
      <c r="V8" s="774"/>
      <c r="W8" s="775"/>
      <c r="X8" s="776">
        <f aca="true" t="shared" si="0" ref="X8:Y13">T8+Q8+N8+K8+H8+E8</f>
        <v>235997</v>
      </c>
      <c r="Y8" s="777">
        <f t="shared" si="0"/>
        <v>242886</v>
      </c>
      <c r="Z8" s="778">
        <f aca="true" t="shared" si="1" ref="Z8:Z13">G8+J8+M8+P8+S8+V8+W8</f>
        <v>242861.22999999998</v>
      </c>
      <c r="AA8" s="745"/>
      <c r="AB8" s="745"/>
      <c r="AC8" s="745"/>
      <c r="AD8" s="745"/>
      <c r="AE8" s="745"/>
      <c r="AF8" s="745"/>
      <c r="AG8" s="745"/>
    </row>
    <row r="9" spans="1:33" ht="22.5" customHeight="1">
      <c r="A9" s="762" t="s">
        <v>2160</v>
      </c>
      <c r="B9" s="762">
        <v>1150</v>
      </c>
      <c r="C9" s="767">
        <v>1150</v>
      </c>
      <c r="D9" s="779">
        <v>670.15</v>
      </c>
      <c r="E9" s="780">
        <f>86144+2196</f>
        <v>88340</v>
      </c>
      <c r="F9" s="781">
        <f>86473+2196</f>
        <v>88669</v>
      </c>
      <c r="G9" s="782">
        <f>86467.239+1948.65</f>
        <v>88415.889</v>
      </c>
      <c r="H9" s="783">
        <v>29288</v>
      </c>
      <c r="I9" s="784">
        <v>29880</v>
      </c>
      <c r="J9" s="785">
        <v>29728.969</v>
      </c>
      <c r="K9" s="783">
        <v>1723</v>
      </c>
      <c r="L9" s="786">
        <v>1730</v>
      </c>
      <c r="M9" s="787">
        <v>1728.282</v>
      </c>
      <c r="N9" s="783">
        <v>41526</v>
      </c>
      <c r="O9" s="788">
        <v>43015</v>
      </c>
      <c r="P9" s="785">
        <v>43057.827</v>
      </c>
      <c r="Q9" s="788">
        <f>17835</f>
        <v>17835</v>
      </c>
      <c r="R9" s="781">
        <v>21430</v>
      </c>
      <c r="S9" s="782">
        <v>6900.229</v>
      </c>
      <c r="T9" s="783"/>
      <c r="U9" s="786"/>
      <c r="V9" s="782"/>
      <c r="W9" s="789"/>
      <c r="X9" s="783">
        <f t="shared" si="0"/>
        <v>178712</v>
      </c>
      <c r="Y9" s="786">
        <f t="shared" si="0"/>
        <v>184724</v>
      </c>
      <c r="Z9" s="785">
        <f t="shared" si="1"/>
        <v>169831.196</v>
      </c>
      <c r="AA9" s="745"/>
      <c r="AB9" s="745"/>
      <c r="AC9" s="745"/>
      <c r="AD9" s="745"/>
      <c r="AE9" s="745"/>
      <c r="AF9" s="745"/>
      <c r="AG9" s="745"/>
    </row>
    <row r="10" spans="1:33" ht="22.5" customHeight="1">
      <c r="A10" s="780" t="s">
        <v>2161</v>
      </c>
      <c r="B10" s="790">
        <v>2360</v>
      </c>
      <c r="C10" s="791">
        <v>2360</v>
      </c>
      <c r="D10" s="774">
        <v>2022.921</v>
      </c>
      <c r="E10" s="790">
        <f>106002+2159</f>
        <v>108161</v>
      </c>
      <c r="F10" s="791">
        <f>106002+2169</f>
        <v>108171</v>
      </c>
      <c r="G10" s="774">
        <f>106001.835+2161.527</f>
        <v>108163.36200000001</v>
      </c>
      <c r="H10" s="783">
        <v>36040</v>
      </c>
      <c r="I10" s="745">
        <v>36458</v>
      </c>
      <c r="J10" s="785">
        <v>36447.326</v>
      </c>
      <c r="K10" s="783">
        <v>2120</v>
      </c>
      <c r="L10" s="773">
        <v>2120</v>
      </c>
      <c r="M10" s="745">
        <v>2120</v>
      </c>
      <c r="N10" s="772">
        <v>50528</v>
      </c>
      <c r="O10" s="773">
        <v>59713</v>
      </c>
      <c r="P10" s="774">
        <v>61104.4</v>
      </c>
      <c r="Q10" s="788">
        <v>60075</v>
      </c>
      <c r="R10" s="791">
        <v>88449</v>
      </c>
      <c r="S10" s="774">
        <v>45319.306</v>
      </c>
      <c r="T10" s="783"/>
      <c r="U10" s="773"/>
      <c r="V10" s="774"/>
      <c r="W10" s="792"/>
      <c r="X10" s="783">
        <f t="shared" si="0"/>
        <v>256924</v>
      </c>
      <c r="Y10" s="786">
        <f t="shared" si="0"/>
        <v>294911</v>
      </c>
      <c r="Z10" s="785">
        <f t="shared" si="1"/>
        <v>253154.39400000003</v>
      </c>
      <c r="AA10" s="745"/>
      <c r="AB10" s="745"/>
      <c r="AC10" s="745"/>
      <c r="AD10" s="745"/>
      <c r="AE10" s="745"/>
      <c r="AF10" s="745"/>
      <c r="AG10" s="745"/>
    </row>
    <row r="11" spans="1:33" ht="22.5" customHeight="1">
      <c r="A11" s="780" t="s">
        <v>2162</v>
      </c>
      <c r="B11" s="780">
        <v>303</v>
      </c>
      <c r="C11" s="781">
        <v>333</v>
      </c>
      <c r="D11" s="782">
        <v>58.233</v>
      </c>
      <c r="E11" s="780">
        <f>32157+421</f>
        <v>32578</v>
      </c>
      <c r="F11" s="781">
        <f>33236+451</f>
        <v>33687</v>
      </c>
      <c r="G11" s="782">
        <f>33236+451</f>
        <v>33687</v>
      </c>
      <c r="H11" s="783">
        <v>10933</v>
      </c>
      <c r="I11" s="788">
        <v>11342</v>
      </c>
      <c r="J11" s="785">
        <v>11342</v>
      </c>
      <c r="K11" s="783">
        <v>644</v>
      </c>
      <c r="L11" s="786">
        <v>665</v>
      </c>
      <c r="M11" s="787">
        <v>664.6</v>
      </c>
      <c r="N11" s="783">
        <v>17516</v>
      </c>
      <c r="O11" s="788">
        <v>17663</v>
      </c>
      <c r="P11" s="785">
        <v>17664.579</v>
      </c>
      <c r="Q11" s="788">
        <v>9180</v>
      </c>
      <c r="R11" s="781">
        <v>2296</v>
      </c>
      <c r="S11" s="782">
        <v>2293.968</v>
      </c>
      <c r="T11" s="783"/>
      <c r="U11" s="786"/>
      <c r="V11" s="782"/>
      <c r="W11" s="789"/>
      <c r="X11" s="783">
        <f t="shared" si="0"/>
        <v>70851</v>
      </c>
      <c r="Y11" s="786">
        <f t="shared" si="0"/>
        <v>65653</v>
      </c>
      <c r="Z11" s="785">
        <f t="shared" si="1"/>
        <v>65652.147</v>
      </c>
      <c r="AA11" s="745"/>
      <c r="AB11" s="745"/>
      <c r="AC11" s="745"/>
      <c r="AD11" s="745"/>
      <c r="AE11" s="745"/>
      <c r="AF11" s="745"/>
      <c r="AG11" s="745"/>
    </row>
    <row r="12" spans="1:33" ht="22.5" customHeight="1">
      <c r="A12" s="780" t="s">
        <v>2163</v>
      </c>
      <c r="B12" s="790">
        <v>415</v>
      </c>
      <c r="C12" s="791">
        <v>1008</v>
      </c>
      <c r="D12" s="774">
        <v>999.08</v>
      </c>
      <c r="E12" s="790">
        <f>35997+577</f>
        <v>36574</v>
      </c>
      <c r="F12" s="791">
        <f>34944+577</f>
        <v>35521</v>
      </c>
      <c r="G12" s="774">
        <f>34932.136+577</f>
        <v>35509.136</v>
      </c>
      <c r="H12" s="783">
        <v>12238</v>
      </c>
      <c r="I12" s="745">
        <v>11958</v>
      </c>
      <c r="J12" s="785">
        <v>11953.109</v>
      </c>
      <c r="K12" s="783">
        <v>720</v>
      </c>
      <c r="L12" s="773">
        <v>699</v>
      </c>
      <c r="M12" s="745">
        <v>698.643</v>
      </c>
      <c r="N12" s="783">
        <v>17455</v>
      </c>
      <c r="O12" s="781">
        <v>16356</v>
      </c>
      <c r="P12" s="785">
        <v>16736.7</v>
      </c>
      <c r="Q12" s="788">
        <v>9662</v>
      </c>
      <c r="R12" s="791">
        <v>2345</v>
      </c>
      <c r="S12" s="774">
        <v>2341.509</v>
      </c>
      <c r="T12" s="783"/>
      <c r="U12" s="773"/>
      <c r="V12" s="774"/>
      <c r="W12" s="792"/>
      <c r="X12" s="783">
        <f t="shared" si="0"/>
        <v>76649</v>
      </c>
      <c r="Y12" s="786">
        <f t="shared" si="0"/>
        <v>66879</v>
      </c>
      <c r="Z12" s="785">
        <f t="shared" si="1"/>
        <v>67239.097</v>
      </c>
      <c r="AA12" s="745"/>
      <c r="AB12" s="745"/>
      <c r="AC12" s="745"/>
      <c r="AD12" s="745"/>
      <c r="AE12" s="745"/>
      <c r="AF12" s="745"/>
      <c r="AG12" s="745"/>
    </row>
    <row r="13" spans="1:33" ht="22.5" customHeight="1">
      <c r="A13" s="780" t="s">
        <v>2418</v>
      </c>
      <c r="B13" s="780"/>
      <c r="C13" s="781">
        <v>144</v>
      </c>
      <c r="D13" s="782">
        <v>153.806</v>
      </c>
      <c r="E13" s="780">
        <f>15035+220</f>
        <v>15255</v>
      </c>
      <c r="F13" s="781">
        <f>15430+231</f>
        <v>15661</v>
      </c>
      <c r="G13" s="782">
        <f>15429.458+230.27</f>
        <v>15659.728000000001</v>
      </c>
      <c r="H13" s="783">
        <v>5112</v>
      </c>
      <c r="I13" s="788">
        <v>5284</v>
      </c>
      <c r="J13" s="785">
        <v>5275.453</v>
      </c>
      <c r="K13" s="783">
        <v>301</v>
      </c>
      <c r="L13" s="786">
        <v>309</v>
      </c>
      <c r="M13" s="787">
        <v>309</v>
      </c>
      <c r="N13" s="783">
        <v>3489</v>
      </c>
      <c r="O13" s="781">
        <v>4033</v>
      </c>
      <c r="P13" s="785">
        <v>4032.976</v>
      </c>
      <c r="Q13" s="788">
        <v>1396</v>
      </c>
      <c r="R13" s="781">
        <v>1152</v>
      </c>
      <c r="S13" s="782">
        <v>1145.576</v>
      </c>
      <c r="T13" s="783"/>
      <c r="U13" s="786"/>
      <c r="V13" s="782"/>
      <c r="W13" s="789"/>
      <c r="X13" s="783">
        <f t="shared" si="0"/>
        <v>25553</v>
      </c>
      <c r="Y13" s="786">
        <f t="shared" si="0"/>
        <v>26439</v>
      </c>
      <c r="Z13" s="785">
        <f t="shared" si="1"/>
        <v>26422.733</v>
      </c>
      <c r="AA13" s="745"/>
      <c r="AB13" s="745"/>
      <c r="AC13" s="745"/>
      <c r="AD13" s="745"/>
      <c r="AE13" s="745"/>
      <c r="AF13" s="745"/>
      <c r="AG13" s="745"/>
    </row>
    <row r="14" spans="1:33" ht="22.5" customHeight="1" thickBot="1">
      <c r="A14" s="780" t="s">
        <v>2093</v>
      </c>
      <c r="B14" s="780">
        <v>500</v>
      </c>
      <c r="C14" s="781">
        <v>958</v>
      </c>
      <c r="D14" s="782">
        <v>870.916</v>
      </c>
      <c r="E14" s="780">
        <f>139281+2763</f>
        <v>142044</v>
      </c>
      <c r="F14" s="781">
        <f>138851+3828</f>
        <v>142679</v>
      </c>
      <c r="G14" s="782">
        <f>138640+3001.457</f>
        <v>141641.457</v>
      </c>
      <c r="H14" s="783">
        <v>47356</v>
      </c>
      <c r="I14" s="788">
        <v>47296</v>
      </c>
      <c r="J14" s="785">
        <v>47218.221</v>
      </c>
      <c r="K14" s="783">
        <v>2786</v>
      </c>
      <c r="L14" s="786">
        <v>2777</v>
      </c>
      <c r="M14" s="788">
        <v>2771.958</v>
      </c>
      <c r="N14" s="793">
        <f>70658-1750</f>
        <v>68908</v>
      </c>
      <c r="O14" s="794">
        <f>69502-800-130</f>
        <v>68572</v>
      </c>
      <c r="P14" s="795">
        <f>69036.5-130</f>
        <v>68906.5</v>
      </c>
      <c r="Q14" s="788">
        <v>4500</v>
      </c>
      <c r="R14" s="781">
        <f>2957-50</f>
        <v>2907</v>
      </c>
      <c r="S14" s="782">
        <f>2922.355-49.618</f>
        <v>2872.737</v>
      </c>
      <c r="T14" s="783">
        <v>3300</v>
      </c>
      <c r="U14" s="786">
        <v>3300</v>
      </c>
      <c r="V14" s="782">
        <v>3275.78</v>
      </c>
      <c r="W14" s="789"/>
      <c r="X14" s="783">
        <f>T14+Q14+N14+K14+H14+E14</f>
        <v>268894</v>
      </c>
      <c r="Y14" s="786">
        <f>U14+R14+O14+L14+I14+F14-900-220</f>
        <v>266411</v>
      </c>
      <c r="Z14" s="785">
        <f>G14+J14+M14+P14+S14+V14+W14-831-210</f>
        <v>265645.65300000005</v>
      </c>
      <c r="AA14" s="745"/>
      <c r="AB14" s="745"/>
      <c r="AC14" s="745"/>
      <c r="AD14" s="745"/>
      <c r="AE14" s="745"/>
      <c r="AF14" s="745"/>
      <c r="AG14" s="745"/>
    </row>
    <row r="15" spans="1:31" ht="22.5" customHeight="1" thickBot="1">
      <c r="A15" s="796" t="s">
        <v>2419</v>
      </c>
      <c r="B15" s="797">
        <f aca="true" t="shared" si="2" ref="B15:Z15">SUM(B8:B14)</f>
        <v>5578</v>
      </c>
      <c r="C15" s="798">
        <f t="shared" si="2"/>
        <v>7402</v>
      </c>
      <c r="D15" s="799">
        <f t="shared" si="2"/>
        <v>6239.635</v>
      </c>
      <c r="E15" s="797">
        <f t="shared" si="2"/>
        <v>548371</v>
      </c>
      <c r="F15" s="798">
        <f t="shared" si="2"/>
        <v>548826</v>
      </c>
      <c r="G15" s="799">
        <f t="shared" si="2"/>
        <v>547506.686</v>
      </c>
      <c r="H15" s="797">
        <f t="shared" si="2"/>
        <v>183195</v>
      </c>
      <c r="I15" s="798">
        <f t="shared" si="2"/>
        <v>184039</v>
      </c>
      <c r="J15" s="799">
        <f t="shared" si="2"/>
        <v>183784.785</v>
      </c>
      <c r="K15" s="797">
        <f t="shared" si="2"/>
        <v>10779</v>
      </c>
      <c r="L15" s="798">
        <f t="shared" si="2"/>
        <v>10761</v>
      </c>
      <c r="M15" s="799">
        <f t="shared" si="2"/>
        <v>10751.653</v>
      </c>
      <c r="N15" s="797">
        <f t="shared" si="2"/>
        <v>261338</v>
      </c>
      <c r="O15" s="798">
        <f t="shared" si="2"/>
        <v>279969</v>
      </c>
      <c r="P15" s="799">
        <f t="shared" si="2"/>
        <v>282116.18200000003</v>
      </c>
      <c r="Q15" s="797">
        <f t="shared" si="2"/>
        <v>106597</v>
      </c>
      <c r="R15" s="798">
        <f t="shared" si="2"/>
        <v>122128</v>
      </c>
      <c r="S15" s="799">
        <f t="shared" si="2"/>
        <v>64412.363999999994</v>
      </c>
      <c r="T15" s="797">
        <f t="shared" si="2"/>
        <v>3300</v>
      </c>
      <c r="U15" s="798">
        <f t="shared" si="2"/>
        <v>3300</v>
      </c>
      <c r="V15" s="799">
        <f t="shared" si="2"/>
        <v>3275.78</v>
      </c>
      <c r="W15" s="800">
        <f t="shared" si="2"/>
        <v>0</v>
      </c>
      <c r="X15" s="797">
        <f t="shared" si="2"/>
        <v>1113580</v>
      </c>
      <c r="Y15" s="798">
        <f t="shared" si="2"/>
        <v>1147903</v>
      </c>
      <c r="Z15" s="799">
        <f t="shared" si="2"/>
        <v>1090806.4500000002</v>
      </c>
      <c r="AA15" s="801"/>
      <c r="AB15" s="801"/>
      <c r="AC15" s="801"/>
      <c r="AD15" s="801"/>
      <c r="AE15" s="801"/>
    </row>
    <row r="16" spans="1:31" ht="22.5" customHeight="1" thickBot="1">
      <c r="A16" s="802" t="s">
        <v>2420</v>
      </c>
      <c r="B16" s="768"/>
      <c r="C16" s="766"/>
      <c r="D16" s="771"/>
      <c r="E16" s="768">
        <f>7542+112</f>
        <v>7654</v>
      </c>
      <c r="F16" s="766">
        <f>7622+112</f>
        <v>7734</v>
      </c>
      <c r="G16" s="771">
        <f>7620.476+112</f>
        <v>7732.476</v>
      </c>
      <c r="H16" s="768">
        <v>2564</v>
      </c>
      <c r="I16" s="766">
        <v>2591</v>
      </c>
      <c r="J16" s="771">
        <v>2590.979</v>
      </c>
      <c r="K16" s="768">
        <v>151</v>
      </c>
      <c r="L16" s="766">
        <v>153</v>
      </c>
      <c r="M16" s="771">
        <v>153</v>
      </c>
      <c r="N16" s="768">
        <v>6559</v>
      </c>
      <c r="O16" s="766">
        <v>6506</v>
      </c>
      <c r="P16" s="771">
        <v>6508.617</v>
      </c>
      <c r="Q16" s="768">
        <v>1800</v>
      </c>
      <c r="R16" s="766">
        <v>4094</v>
      </c>
      <c r="S16" s="771">
        <v>4141.07</v>
      </c>
      <c r="T16" s="768"/>
      <c r="U16" s="766"/>
      <c r="V16" s="771"/>
      <c r="W16" s="775"/>
      <c r="X16" s="768">
        <f>T16+Q16+N16+K16+H16+E16</f>
        <v>18728</v>
      </c>
      <c r="Y16" s="766">
        <f>U16+R16+O16+L16+I16+F16</f>
        <v>21078</v>
      </c>
      <c r="Z16" s="771">
        <f>G16+J16+M16+P16+S16+V16+W16</f>
        <v>21126.142</v>
      </c>
      <c r="AA16" s="745"/>
      <c r="AB16" s="745"/>
      <c r="AC16" s="745"/>
      <c r="AD16" s="745"/>
      <c r="AE16" s="745"/>
    </row>
    <row r="17" spans="1:31" ht="22.5" customHeight="1" thickBot="1">
      <c r="A17" s="790" t="s">
        <v>2280</v>
      </c>
      <c r="B17" s="768"/>
      <c r="C17" s="766"/>
      <c r="D17" s="771"/>
      <c r="E17" s="768">
        <v>1854</v>
      </c>
      <c r="F17" s="766"/>
      <c r="G17" s="771"/>
      <c r="H17" s="768">
        <v>401</v>
      </c>
      <c r="I17" s="766"/>
      <c r="J17" s="771"/>
      <c r="K17" s="768">
        <v>23</v>
      </c>
      <c r="L17" s="766"/>
      <c r="M17" s="771"/>
      <c r="N17" s="768"/>
      <c r="O17" s="766"/>
      <c r="P17" s="771"/>
      <c r="Q17" s="768"/>
      <c r="R17" s="766"/>
      <c r="S17" s="771"/>
      <c r="T17" s="768"/>
      <c r="U17" s="766"/>
      <c r="V17" s="771"/>
      <c r="W17" s="775"/>
      <c r="X17" s="768">
        <f>E17+H17+K17+N17+Q17+T17</f>
        <v>2278</v>
      </c>
      <c r="Y17" s="766"/>
      <c r="Z17" s="771"/>
      <c r="AA17" s="745"/>
      <c r="AB17" s="745"/>
      <c r="AC17" s="745"/>
      <c r="AD17" s="745"/>
      <c r="AE17" s="745"/>
    </row>
    <row r="18" spans="1:31" ht="27.75" customHeight="1" thickBot="1">
      <c r="A18" s="796" t="s">
        <v>2281</v>
      </c>
      <c r="B18" s="797">
        <f>SUM(B15:B16)</f>
        <v>5578</v>
      </c>
      <c r="C18" s="798">
        <f>SUM(C15:C16)</f>
        <v>7402</v>
      </c>
      <c r="D18" s="799">
        <f>SUM(D15:D16)</f>
        <v>6239.635</v>
      </c>
      <c r="E18" s="797">
        <f aca="true" t="shared" si="3" ref="E18:Y18">SUM(E15:E17)</f>
        <v>557879</v>
      </c>
      <c r="F18" s="797">
        <f t="shared" si="3"/>
        <v>556560</v>
      </c>
      <c r="G18" s="797">
        <f t="shared" si="3"/>
        <v>555239.162</v>
      </c>
      <c r="H18" s="797">
        <f t="shared" si="3"/>
        <v>186160</v>
      </c>
      <c r="I18" s="797">
        <f t="shared" si="3"/>
        <v>186630</v>
      </c>
      <c r="J18" s="797">
        <f t="shared" si="3"/>
        <v>186375.764</v>
      </c>
      <c r="K18" s="797">
        <f t="shared" si="3"/>
        <v>10953</v>
      </c>
      <c r="L18" s="797">
        <f t="shared" si="3"/>
        <v>10914</v>
      </c>
      <c r="M18" s="797">
        <f t="shared" si="3"/>
        <v>10904.653</v>
      </c>
      <c r="N18" s="797">
        <f t="shared" si="3"/>
        <v>267897</v>
      </c>
      <c r="O18" s="797">
        <f t="shared" si="3"/>
        <v>286475</v>
      </c>
      <c r="P18" s="797">
        <f t="shared" si="3"/>
        <v>288624.79900000006</v>
      </c>
      <c r="Q18" s="797">
        <f t="shared" si="3"/>
        <v>108397</v>
      </c>
      <c r="R18" s="797">
        <f t="shared" si="3"/>
        <v>126222</v>
      </c>
      <c r="S18" s="797">
        <f t="shared" si="3"/>
        <v>68553.434</v>
      </c>
      <c r="T18" s="797">
        <f t="shared" si="3"/>
        <v>3300</v>
      </c>
      <c r="U18" s="797">
        <f t="shared" si="3"/>
        <v>3300</v>
      </c>
      <c r="V18" s="797">
        <f t="shared" si="3"/>
        <v>3275.78</v>
      </c>
      <c r="W18" s="797">
        <f t="shared" si="3"/>
        <v>0</v>
      </c>
      <c r="X18" s="797">
        <f t="shared" si="3"/>
        <v>1134586</v>
      </c>
      <c r="Y18" s="797">
        <f t="shared" si="3"/>
        <v>1168981</v>
      </c>
      <c r="Z18" s="797">
        <f>SUM(Z15:Z17)-0.5</f>
        <v>1111932.0920000002</v>
      </c>
      <c r="AA18" s="801"/>
      <c r="AB18" s="801"/>
      <c r="AC18" s="801"/>
      <c r="AD18" s="801"/>
      <c r="AE18" s="801"/>
    </row>
    <row r="21" spans="1:26" ht="19.5" customHeight="1">
      <c r="A21" s="743" t="s">
        <v>2421</v>
      </c>
      <c r="N21" s="743" t="s">
        <v>2136</v>
      </c>
      <c r="X21" s="1073" t="s">
        <v>2137</v>
      </c>
      <c r="Y21" s="1073"/>
      <c r="Z21" s="1073"/>
    </row>
    <row r="22" ht="19.5" customHeight="1">
      <c r="O22" s="745"/>
    </row>
    <row r="24" ht="19.5" customHeight="1">
      <c r="G24" s="803"/>
    </row>
    <row r="29" ht="19.5" customHeight="1">
      <c r="S29" s="803"/>
    </row>
    <row r="31" ht="19.5" customHeight="1">
      <c r="S31" s="803"/>
    </row>
  </sheetData>
  <mergeCells count="7">
    <mergeCell ref="X21:Z21"/>
    <mergeCell ref="Y1:Z1"/>
    <mergeCell ref="A3:Z3"/>
    <mergeCell ref="B6:D6"/>
    <mergeCell ref="E6:G6"/>
    <mergeCell ref="Q6:S6"/>
    <mergeCell ref="T6:V6"/>
  </mergeCells>
  <printOptions horizontalCentered="1"/>
  <pageMargins left="0.3937007874015748" right="0.3937007874015748" top="0.984251968503937" bottom="0.7874015748031497" header="0.7086614173228347" footer="0.31496062992125984"/>
  <pageSetup fitToHeight="1" fitToWidth="1" horizontalDpi="600" verticalDpi="600" orientation="landscape" paperSize="9" scale="56" r:id="rId3"/>
  <headerFooter alignWithMargins="0">
    <oddFooter>&amp;C&amp;16&amp;P+159
&amp;18
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X32"/>
  <sheetViews>
    <sheetView workbookViewId="0" topLeftCell="A1">
      <selection activeCell="K8" sqref="K8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1.375" style="0" customWidth="1"/>
    <col min="4" max="4" width="11.75390625" style="0" customWidth="1"/>
    <col min="5" max="5" width="8.75390625" style="0" customWidth="1"/>
    <col min="6" max="6" width="7.25390625" style="0" customWidth="1"/>
    <col min="8" max="8" width="7.75390625" style="0" customWidth="1"/>
    <col min="9" max="9" width="7.625" style="0" customWidth="1"/>
    <col min="10" max="10" width="8.75390625" style="0" customWidth="1"/>
    <col min="11" max="11" width="8.375" style="0" customWidth="1"/>
    <col min="12" max="12" width="8.25390625" style="0" customWidth="1"/>
    <col min="13" max="14" width="11.125" style="0" customWidth="1"/>
    <col min="15" max="15" width="9.75390625" style="0" customWidth="1"/>
    <col min="16" max="16" width="11.75390625" style="0" customWidth="1"/>
    <col min="17" max="18" width="7.25390625" style="0" customWidth="1"/>
    <col min="19" max="19" width="8.375" style="0" customWidth="1"/>
    <col min="20" max="20" width="10.125" style="0" hidden="1" customWidth="1"/>
    <col min="23" max="23" width="11.375" style="0" customWidth="1"/>
  </cols>
  <sheetData>
    <row r="4" spans="1:23" ht="12.75">
      <c r="A4" s="154" t="s">
        <v>2106</v>
      </c>
      <c r="V4" s="1083" t="s">
        <v>2107</v>
      </c>
      <c r="W4" s="1083"/>
    </row>
    <row r="5" spans="1:24" ht="18">
      <c r="A5" s="62"/>
      <c r="B5" s="62"/>
      <c r="C5" s="62"/>
      <c r="D5" s="62"/>
      <c r="E5" s="62"/>
      <c r="F5" s="62"/>
      <c r="G5" s="62"/>
      <c r="H5" s="155" t="s">
        <v>2108</v>
      </c>
      <c r="I5" s="156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20"/>
    </row>
    <row r="6" spans="1:24" ht="12.7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20"/>
    </row>
    <row r="7" spans="1:24" ht="13.5" thickBot="1">
      <c r="A7" s="154"/>
      <c r="B7" s="62"/>
      <c r="C7" s="62"/>
      <c r="D7" s="62"/>
      <c r="E7" s="62"/>
      <c r="F7" s="62"/>
      <c r="G7" s="62"/>
      <c r="H7" s="62"/>
      <c r="I7" s="157"/>
      <c r="J7" s="62"/>
      <c r="K7" s="62"/>
      <c r="L7" s="62"/>
      <c r="M7" s="62"/>
      <c r="N7" s="158"/>
      <c r="O7" s="158"/>
      <c r="P7" s="158"/>
      <c r="Q7" s="158"/>
      <c r="R7" s="158"/>
      <c r="S7" s="159"/>
      <c r="T7" s="159"/>
      <c r="U7" s="158"/>
      <c r="V7" s="158"/>
      <c r="W7" s="159" t="s">
        <v>2109</v>
      </c>
      <c r="X7" s="160"/>
    </row>
    <row r="8" spans="1:24" ht="18" customHeight="1" thickBot="1">
      <c r="A8" s="161"/>
      <c r="B8" s="162" t="s">
        <v>2110</v>
      </c>
      <c r="C8" s="163"/>
      <c r="D8" s="164"/>
      <c r="E8" s="165"/>
      <c r="F8" s="163" t="s">
        <v>2111</v>
      </c>
      <c r="G8" s="166"/>
      <c r="H8" s="165"/>
      <c r="I8" s="163" t="s">
        <v>2112</v>
      </c>
      <c r="J8" s="167"/>
      <c r="K8" s="166"/>
      <c r="L8" s="163" t="s">
        <v>2113</v>
      </c>
      <c r="M8" s="167"/>
      <c r="N8" s="165"/>
      <c r="O8" s="163" t="s">
        <v>2114</v>
      </c>
      <c r="P8" s="167"/>
      <c r="Q8" s="165"/>
      <c r="R8" s="163" t="s">
        <v>2115</v>
      </c>
      <c r="S8" s="167"/>
      <c r="T8" s="168" t="s">
        <v>2116</v>
      </c>
      <c r="U8" s="169"/>
      <c r="V8" s="163" t="s">
        <v>2117</v>
      </c>
      <c r="W8" s="170"/>
      <c r="X8" s="171"/>
    </row>
    <row r="9" spans="1:24" ht="20.25" customHeight="1">
      <c r="A9" s="172" t="s">
        <v>2118</v>
      </c>
      <c r="B9" s="173" t="s">
        <v>2119</v>
      </c>
      <c r="C9" s="174" t="s">
        <v>2120</v>
      </c>
      <c r="D9" s="175" t="s">
        <v>2121</v>
      </c>
      <c r="E9" s="173" t="s">
        <v>2119</v>
      </c>
      <c r="F9" s="176" t="s">
        <v>2120</v>
      </c>
      <c r="G9" s="175" t="s">
        <v>2121</v>
      </c>
      <c r="H9" s="173" t="s">
        <v>2119</v>
      </c>
      <c r="I9" s="176" t="s">
        <v>2120</v>
      </c>
      <c r="J9" s="175" t="s">
        <v>2121</v>
      </c>
      <c r="K9" s="173" t="s">
        <v>2119</v>
      </c>
      <c r="L9" s="176" t="s">
        <v>2120</v>
      </c>
      <c r="M9" s="175" t="s">
        <v>2121</v>
      </c>
      <c r="N9" s="173" t="s">
        <v>2119</v>
      </c>
      <c r="O9" s="174" t="s">
        <v>2120</v>
      </c>
      <c r="P9" s="177" t="s">
        <v>2121</v>
      </c>
      <c r="Q9" s="178" t="s">
        <v>2119</v>
      </c>
      <c r="R9" s="179" t="s">
        <v>2120</v>
      </c>
      <c r="S9" s="175" t="s">
        <v>2121</v>
      </c>
      <c r="T9" s="172" t="s">
        <v>2122</v>
      </c>
      <c r="U9" s="178" t="s">
        <v>2119</v>
      </c>
      <c r="V9" s="179" t="s">
        <v>2120</v>
      </c>
      <c r="W9" s="175" t="s">
        <v>2121</v>
      </c>
      <c r="X9" s="171"/>
    </row>
    <row r="10" spans="1:24" ht="4.5" customHeight="1" thickBot="1">
      <c r="A10" s="180"/>
      <c r="B10" s="181"/>
      <c r="C10" s="182"/>
      <c r="D10" s="183"/>
      <c r="E10" s="184"/>
      <c r="F10" s="185"/>
      <c r="G10" s="186"/>
      <c r="H10" s="187"/>
      <c r="I10" s="188"/>
      <c r="J10" s="189"/>
      <c r="K10" s="184"/>
      <c r="L10" s="188"/>
      <c r="M10" s="189"/>
      <c r="N10" s="188"/>
      <c r="O10" s="190"/>
      <c r="P10" s="191"/>
      <c r="Q10" s="187"/>
      <c r="R10" s="184"/>
      <c r="S10" s="183"/>
      <c r="T10" s="192"/>
      <c r="U10" s="193"/>
      <c r="V10" s="194"/>
      <c r="W10" s="183"/>
      <c r="X10" s="195"/>
    </row>
    <row r="11" spans="1:24" ht="19.5" customHeight="1">
      <c r="A11" s="196" t="s">
        <v>2090</v>
      </c>
      <c r="B11" s="197">
        <v>42101</v>
      </c>
      <c r="C11" s="198">
        <f>43664+460</f>
        <v>44124</v>
      </c>
      <c r="D11" s="199">
        <f>30872+347+4387+4180+2563.183+20+1844.628+67</f>
        <v>44280.810999999994</v>
      </c>
      <c r="E11" s="200">
        <v>13961</v>
      </c>
      <c r="F11" s="201">
        <f>14502+23</f>
        <v>14525</v>
      </c>
      <c r="G11" s="202">
        <f>10709.745+3855.438</f>
        <v>14565.183</v>
      </c>
      <c r="H11" s="203">
        <v>821</v>
      </c>
      <c r="I11" s="204">
        <v>845</v>
      </c>
      <c r="J11" s="199">
        <v>847.364</v>
      </c>
      <c r="K11" s="200">
        <v>40686</v>
      </c>
      <c r="L11" s="201">
        <v>46169</v>
      </c>
      <c r="M11" s="205">
        <f>56.035+47.179+508.882+24.8+22.485+4.99+191.742+43.907+37.355+784.636+6.617+122.37+8.071+910.078+1.36+417.855+548.224+391.688+5.714+552.319+3616.6+9099.482+128.798+2.58+105.834+248.872+10.521+22.421+53.32+119.195+81.039+1.725+3.415+3.29+922.182+13.788+31.15+1717.908+1405.817+22.005+7889.366+83.587+5833.533+1.87+43.861+142.9+43.148+94.535+50.46+4996.705+4924.08+195.76+130.278+531.275+10.039+31.44+99.15+3.6+6.26+62.132-891</f>
        <v>46579.22800000002</v>
      </c>
      <c r="N11" s="201">
        <v>0</v>
      </c>
      <c r="O11" s="198">
        <v>400</v>
      </c>
      <c r="P11" s="201">
        <f>398.288+2134.86-2134.86</f>
        <v>398.288</v>
      </c>
      <c r="Q11" s="203">
        <v>900</v>
      </c>
      <c r="R11" s="200">
        <v>1398</v>
      </c>
      <c r="S11" s="199">
        <v>1373.78</v>
      </c>
      <c r="T11" s="206"/>
      <c r="U11" s="200">
        <f>B11+E11+H11+K11+N11+Q11</f>
        <v>98469</v>
      </c>
      <c r="V11" s="198">
        <f>C11+F11+I11+L11+O11+R11-460-23</f>
        <v>106978</v>
      </c>
      <c r="W11" s="199">
        <f>D11+G11+J11+M11+P11+S11+T11-230-163-67-23</f>
        <v>107561.65400000001</v>
      </c>
      <c r="X11" s="207"/>
    </row>
    <row r="12" spans="1:24" ht="19.5" customHeight="1">
      <c r="A12" s="196" t="s">
        <v>2123</v>
      </c>
      <c r="B12" s="208">
        <v>41764</v>
      </c>
      <c r="C12" s="209">
        <v>41911</v>
      </c>
      <c r="D12" s="210">
        <f>29109.699+582.3+3733.02+2.841+4160.09+2785.05+1538</f>
        <v>41911</v>
      </c>
      <c r="E12" s="211">
        <v>13682</v>
      </c>
      <c r="F12" s="212">
        <v>14220</v>
      </c>
      <c r="G12" s="213">
        <f>10460+3760</f>
        <v>14220</v>
      </c>
      <c r="H12" s="214">
        <v>805</v>
      </c>
      <c r="I12" s="211">
        <v>808</v>
      </c>
      <c r="J12" s="215">
        <v>808</v>
      </c>
      <c r="K12" s="211">
        <v>23335</v>
      </c>
      <c r="L12" s="212">
        <v>27119</v>
      </c>
      <c r="M12" s="215">
        <f>20+98.323+10.672+665.083+146.445+6.129+4.3+10.263+798.619+35.406+1120.051+1.201+2.542+2.9+75.01+2.179+1615.502+5.396+413.543+46.963+159.486+0.853+0.608+5.64+4.435+220.597+625.18+2096.993+3709.987+350.953+1.849+7.016+138.121+11.293+1055.723+6.09+69.851+405.421+306.805+41.069+28.14+228.929+2.333+7.603+57.043+1037.847+1402.455+99.523+1661.315+865.41+831.912+461.788+39.539+1852.415+647.397+158.27+15.03+122.1+11.491+140.692+6.807+2.9+56.753+1625.626+1055.417+40.711+151.427+73.678+40.461+22.522+64.922+15.95+0.5+1.75+58.598</f>
        <v>27187.751000000004</v>
      </c>
      <c r="N12" s="212">
        <v>300</v>
      </c>
      <c r="O12" s="209">
        <v>2671</v>
      </c>
      <c r="P12" s="212">
        <v>2667.975</v>
      </c>
      <c r="Q12" s="214"/>
      <c r="R12" s="211"/>
      <c r="S12" s="210"/>
      <c r="T12" s="216"/>
      <c r="U12" s="211">
        <f aca="true" t="shared" si="0" ref="U12:V17">B12+E12+H12+K12+N12+Q12</f>
        <v>79886</v>
      </c>
      <c r="V12" s="209">
        <f t="shared" si="0"/>
        <v>86729</v>
      </c>
      <c r="W12" s="210">
        <f>D12+G12+J12+M12+P12+S12+T12</f>
        <v>86794.72600000001</v>
      </c>
      <c r="X12" s="207"/>
    </row>
    <row r="13" spans="1:24" ht="19.5" customHeight="1">
      <c r="A13" s="217" t="s">
        <v>2124</v>
      </c>
      <c r="B13" s="218">
        <v>31532</v>
      </c>
      <c r="C13" s="198">
        <f>31942+157+51</f>
        <v>32150</v>
      </c>
      <c r="D13" s="199">
        <f>22333.2+420.9+2613.6+3336.8+2913.5+55+477</f>
        <v>32150</v>
      </c>
      <c r="E13" s="211">
        <v>10576</v>
      </c>
      <c r="F13" s="201">
        <f>10759+73</f>
        <v>10832</v>
      </c>
      <c r="G13" s="213">
        <f>7962+2867.721</f>
        <v>10829.721</v>
      </c>
      <c r="H13" s="214">
        <v>622</v>
      </c>
      <c r="I13" s="200">
        <f>630+4</f>
        <v>634</v>
      </c>
      <c r="J13" s="199">
        <v>633.14</v>
      </c>
      <c r="K13" s="200">
        <v>13600</v>
      </c>
      <c r="L13" s="201">
        <v>15610</v>
      </c>
      <c r="M13" s="205">
        <f>55.836+3.522+433.982+46.307+9.928+222.301+277.449+48.376+661.85+70.188+3.889+13.645+11.774+11.751+0.09+608.036+11.983+0.137+228.833+167.958+172.732+248.585+621.658+645.9+3245.664+186.708+0.235+126.482+713.248+6.772+52.246+82.4+416.5+40.958+164.324+18.876+2.425+1.785+252.662+746.122+769.352+49.14+8.067+951.123+70.438+546.25+26.313+0.698+14.28+37.879+0.7819+15.428+9.252+882.568+27.484+1890.822+132.169+257.09+190.111+69.926+20.562+11+11.005+16.939+0.15+1.5+5.37+6.915+54.295-58</f>
        <v>16653.0249</v>
      </c>
      <c r="N13" s="212">
        <v>730</v>
      </c>
      <c r="O13" s="198">
        <v>29564</v>
      </c>
      <c r="P13" s="201">
        <v>29552.728</v>
      </c>
      <c r="Q13" s="214">
        <v>0</v>
      </c>
      <c r="R13" s="200">
        <v>343</v>
      </c>
      <c r="S13" s="199">
        <v>339.861</v>
      </c>
      <c r="T13" s="219"/>
      <c r="U13" s="211">
        <f t="shared" si="0"/>
        <v>57060</v>
      </c>
      <c r="V13" s="209">
        <f>C13+F13+I13+L13+O13+R13-157-51-73-4</f>
        <v>88848</v>
      </c>
      <c r="W13" s="210">
        <f>D13+G13+J13+M13+P13+S13+T13-281.861</f>
        <v>89876.6139</v>
      </c>
      <c r="X13" s="207"/>
    </row>
    <row r="14" spans="1:24" ht="19.5" customHeight="1">
      <c r="A14" s="217" t="s">
        <v>2125</v>
      </c>
      <c r="B14" s="208">
        <v>34059</v>
      </c>
      <c r="C14" s="209">
        <v>34841</v>
      </c>
      <c r="D14" s="210">
        <f>23128.18+543.42+4170.75+3463.6+2005.05+30+1499.926</f>
        <v>34840.926</v>
      </c>
      <c r="E14" s="211">
        <v>11165</v>
      </c>
      <c r="F14" s="212">
        <v>11637</v>
      </c>
      <c r="G14" s="213">
        <f>8550.87+3079.62</f>
        <v>11630.490000000002</v>
      </c>
      <c r="H14" s="214">
        <v>656</v>
      </c>
      <c r="I14" s="211">
        <v>666</v>
      </c>
      <c r="J14" s="215">
        <v>666</v>
      </c>
      <c r="K14" s="211">
        <v>16829</v>
      </c>
      <c r="L14" s="212">
        <v>16759</v>
      </c>
      <c r="M14" s="215">
        <f>0.09+137.714+6.517+568.23+25.908+9.163+53.722+10.002+286.949+44.857+685.285+22.857+0.52+12.759+28.025+23.223+0.095+1119.744+13.983+0.399+450.34+12.377+236.544+289.299+305.574+2000.944+1856.455+330.186+1.365+0.862+88.548+910.273+9.874+43.676+706.744+4.264+35.5+14+30.791+0.85+15.274+4.129+0.887+35.438+296.234+15.709+25.179+3.224+1604.915+119.571+459.674+762.92+30.375+12.967+111.616+24.159+800.966+1.478+7.823+43.476+17.07+7.772+183.956+1081.647+587.44+76.788+1196.956+198.908+29.301+14.954+21.7+94.448+41.472+11+57.838-603.191</f>
        <v>17772.581000000002</v>
      </c>
      <c r="N14" s="212">
        <v>900</v>
      </c>
      <c r="O14" s="209">
        <v>2900</v>
      </c>
      <c r="P14" s="212">
        <f>2884.193</f>
        <v>2884.193</v>
      </c>
      <c r="Q14" s="214"/>
      <c r="R14" s="211"/>
      <c r="S14" s="210"/>
      <c r="T14" s="216"/>
      <c r="U14" s="211">
        <f t="shared" si="0"/>
        <v>63609</v>
      </c>
      <c r="V14" s="209">
        <f t="shared" si="0"/>
        <v>66803</v>
      </c>
      <c r="W14" s="210">
        <f>D14+G14+J14+M14+P14+S14+T14</f>
        <v>67794.19</v>
      </c>
      <c r="X14" s="207"/>
    </row>
    <row r="15" spans="1:24" ht="19.5" customHeight="1">
      <c r="A15" s="217" t="s">
        <v>2126</v>
      </c>
      <c r="B15" s="218">
        <v>32435</v>
      </c>
      <c r="C15" s="198">
        <v>32735</v>
      </c>
      <c r="D15" s="199">
        <f>22746.889+453.141+3037.351+0.891+0.024+0.871+3353.927+1663.86+45+1432.992</f>
        <v>32734.945999999996</v>
      </c>
      <c r="E15" s="211">
        <v>10541</v>
      </c>
      <c r="F15" s="201">
        <v>11082</v>
      </c>
      <c r="G15" s="213">
        <f>8131.519+2950.48</f>
        <v>11081.999</v>
      </c>
      <c r="H15" s="214">
        <v>621</v>
      </c>
      <c r="I15" s="200">
        <v>627</v>
      </c>
      <c r="J15" s="199">
        <v>626.039</v>
      </c>
      <c r="K15" s="200">
        <v>17587</v>
      </c>
      <c r="L15" s="201">
        <v>18146</v>
      </c>
      <c r="M15" s="205">
        <f>69.99+59.395+4.797+608.368+15.3+4.391+28.212+7.893+243.24+112.732+492.857+17.731+43.419+2.48+13.179+4.573+43.985+1386.829+2.764+439.726+114.999+212.506+9.287+0.327+1.782+239.002+1373.658+1683.962+2002.128+195.294+2.905+5.225+100.479+0.256+797.624+14.819+78.072+642.908+3.094+58.091+15.373+5.522+46.433+257.628+220.492+84.682+634.223+268.214+398.102+617.736+40.292+39.96+1389.192+243.503+435.805+2.679+2.424+43.24+8.146+24.461+18.383+1.298+31.192+250.817+22.844+1141.452+162.898+203.403+146.265+137.42+30.965+23.4+16.3+10.722+2.818+15.6+119.215+46.251-159.887</f>
        <v>18137.742</v>
      </c>
      <c r="N15" s="212">
        <v>1100</v>
      </c>
      <c r="O15" s="198">
        <v>15936</v>
      </c>
      <c r="P15" s="201">
        <v>15952.248</v>
      </c>
      <c r="Q15" s="214">
        <v>0</v>
      </c>
      <c r="R15" s="200">
        <v>0</v>
      </c>
      <c r="S15" s="199">
        <v>159.887</v>
      </c>
      <c r="T15" s="219"/>
      <c r="U15" s="211">
        <f t="shared" si="0"/>
        <v>62284</v>
      </c>
      <c r="V15" s="209">
        <f>C15+F15+I15+L15+O15+R15</f>
        <v>78526</v>
      </c>
      <c r="W15" s="210">
        <f>D15+G15+J15+M15+P15+S15+T15</f>
        <v>78692.86099999999</v>
      </c>
      <c r="X15" s="207"/>
    </row>
    <row r="16" spans="1:24" ht="19.5" customHeight="1">
      <c r="A16" s="217" t="s">
        <v>2127</v>
      </c>
      <c r="B16" s="208">
        <v>36429</v>
      </c>
      <c r="C16" s="209">
        <v>36429</v>
      </c>
      <c r="D16" s="210">
        <f>26674.702+473.655+3658.002+3509.237+1051.3+1061.321</f>
        <v>36428.217000000004</v>
      </c>
      <c r="E16" s="211">
        <v>12025</v>
      </c>
      <c r="F16" s="212">
        <v>12400</v>
      </c>
      <c r="G16" s="213">
        <f>9114.786+3281.278</f>
        <v>12396.064</v>
      </c>
      <c r="H16" s="214">
        <v>707</v>
      </c>
      <c r="I16" s="211">
        <v>707</v>
      </c>
      <c r="J16" s="215">
        <v>707</v>
      </c>
      <c r="K16" s="211">
        <v>17322</v>
      </c>
      <c r="L16" s="212">
        <v>21742</v>
      </c>
      <c r="M16" s="215">
        <f>48.081+7.019+432.142+137.5+1633.963+27.226+452.452+59.35+5.601+68.069+47.017+1260.825+375.234+67.499+267.669+10.044+43.444+372.791+563.191+722.243+4943.862+283.547+106.508+268.94+1290.975+11.606+77.251+1313.778+5.713+23.879+1.32+218.962+25.739+26.838+168.138+208.713+927.899+625.215+34.29+189.75+219.235+196.666+663.338+8.057+110.693+5.063+35.669+60.217+49.414+88.809+664.27+2010.305+41.242+145.646+21.445+60.857+24.4+25.62+0.102+5.02+29.975</f>
        <v>21820.326000000005</v>
      </c>
      <c r="N16" s="212">
        <v>1050</v>
      </c>
      <c r="O16" s="209">
        <v>700</v>
      </c>
      <c r="P16" s="212">
        <f>1548.972</f>
        <v>1548.972</v>
      </c>
      <c r="Q16" s="214"/>
      <c r="R16" s="211"/>
      <c r="S16" s="210"/>
      <c r="T16" s="216"/>
      <c r="U16" s="211">
        <f t="shared" si="0"/>
        <v>67533</v>
      </c>
      <c r="V16" s="209">
        <f>C16+F16+I16+L16+O16+R16</f>
        <v>71978</v>
      </c>
      <c r="W16" s="210">
        <f>D16+G16+J16+M16+P16+S16+T16</f>
        <v>72900.579</v>
      </c>
      <c r="X16" s="207"/>
    </row>
    <row r="17" spans="1:24" ht="19.5" customHeight="1">
      <c r="A17" s="217" t="s">
        <v>2128</v>
      </c>
      <c r="B17" s="208">
        <v>56520</v>
      </c>
      <c r="C17" s="209">
        <v>56516</v>
      </c>
      <c r="D17" s="210">
        <f>39960.906+700.261+5640.248+26.515+6.139+2.253+5714.278+3782.7+75+404.46+203.54</f>
        <v>56516.299999999996</v>
      </c>
      <c r="E17" s="211">
        <v>19044</v>
      </c>
      <c r="F17" s="212">
        <v>19044</v>
      </c>
      <c r="G17" s="213">
        <f>13988+5056</f>
        <v>19044</v>
      </c>
      <c r="H17" s="214">
        <v>1120</v>
      </c>
      <c r="I17" s="211">
        <v>1118</v>
      </c>
      <c r="J17" s="210">
        <v>1118</v>
      </c>
      <c r="K17" s="211">
        <v>48865</v>
      </c>
      <c r="L17" s="212">
        <v>53207</v>
      </c>
      <c r="M17" s="215">
        <f>51+54.319+5.569+674.901+17.096+21.182+49.261+36.999+303.098+89.22+0.12+19.203+6.156+9.436+0.169+1973.938+6.435+261.135+369.801+227.016+31.889+1.679+709.856+565.976+6058.231+8275.889+373.817+15.811+0.654+127.494+2208.305+11.116+166.73+2548.75+13.617+159.054+4.76+0.42+59.488+12.897+39.991+32.735+135.988+1631.608+2476.538+1795.337+1635.146+52.38+2330.534+72.284+13542.912+12.309+9.601+190.058+74.989+147.969+10.752+30.763+189.435+993.381+448.993+234.271+163.113+70.852+55.709+49.71+68.807+848.427+0.291+24+0.1+1.5+171.44</f>
        <v>53064.41</v>
      </c>
      <c r="N17" s="212">
        <v>151846</v>
      </c>
      <c r="O17" s="209">
        <v>134313</v>
      </c>
      <c r="P17" s="212">
        <f>132555.625+801.786+1048.481</f>
        <v>134405.892</v>
      </c>
      <c r="Q17" s="214"/>
      <c r="R17" s="211"/>
      <c r="S17" s="210"/>
      <c r="T17" s="216"/>
      <c r="U17" s="211">
        <f t="shared" si="0"/>
        <v>277395</v>
      </c>
      <c r="V17" s="209">
        <f>C17+F17+I17+L17+O17+R17</f>
        <v>264198</v>
      </c>
      <c r="W17" s="210">
        <f>D17+G17+J17+M17+P17+S17+T17</f>
        <v>264148.60199999996</v>
      </c>
      <c r="X17" s="207"/>
    </row>
    <row r="18" spans="1:24" ht="19.5" customHeight="1">
      <c r="A18" s="217" t="s">
        <v>2129</v>
      </c>
      <c r="B18" s="218">
        <v>46180</v>
      </c>
      <c r="C18" s="198">
        <v>46180</v>
      </c>
      <c r="D18" s="199">
        <f>32201.499+519.347+4612.72+139.971+6.92+7.758+0.104+5005.281+2824.4+50+812</f>
        <v>46180</v>
      </c>
      <c r="E18" s="200">
        <v>15425</v>
      </c>
      <c r="F18" s="201">
        <v>15660</v>
      </c>
      <c r="G18" s="202">
        <f>11514.85+4145.15</f>
        <v>15660</v>
      </c>
      <c r="H18" s="203">
        <v>907</v>
      </c>
      <c r="I18" s="200">
        <v>907</v>
      </c>
      <c r="J18" s="199">
        <v>907</v>
      </c>
      <c r="K18" s="200">
        <v>32668</v>
      </c>
      <c r="L18" s="201">
        <v>37080</v>
      </c>
      <c r="M18" s="205">
        <f>19.419+2.315+421.896+17.98+14.079+5.649+60.588+42.211+906.819+61.101+411.283+4.931+351.368+3.253+7.794+6.37+55.644+1.237+1468.73+7.978+223.009+5.798+196.212+383.773+1336.004+1831.516+7368.118+567.496+3.091+86.531+26.989+944.395+9.313+77.643+2659.89+278.291+81.999+97.529+43.275+3.529+15.859+180.83+0.12+491.801+3.761+1676.227+202.663+841.541+756.408+80.73+3381.176+317.358+121.404+3220.964+11.063+11.986+7.551+311.521+116.97+0.357+81.506+44.332+103.143+2635.57+2012.468+0.905+231.603+63.92+37.45+54.12+16.6+0.9+2.955+56.384+54.69</f>
        <v>37241.882</v>
      </c>
      <c r="N18" s="201">
        <v>5020</v>
      </c>
      <c r="O18" s="198">
        <v>5804</v>
      </c>
      <c r="P18" s="201">
        <v>5800.978</v>
      </c>
      <c r="Q18" s="203"/>
      <c r="R18" s="200"/>
      <c r="S18" s="199"/>
      <c r="T18" s="219"/>
      <c r="U18" s="200">
        <f>B18+E18+H18+K18+N18</f>
        <v>100200</v>
      </c>
      <c r="V18" s="220">
        <f>C18+F18+I18+L18+O18</f>
        <v>105631</v>
      </c>
      <c r="W18" s="199">
        <f>D18+G18+J18+M18+P18+S18+T18</f>
        <v>105789.86</v>
      </c>
      <c r="X18" s="207"/>
    </row>
    <row r="19" spans="1:24" ht="19.5" customHeight="1" thickBot="1">
      <c r="A19" s="221" t="s">
        <v>2130</v>
      </c>
      <c r="B19" s="222">
        <v>275</v>
      </c>
      <c r="C19" s="223">
        <v>0</v>
      </c>
      <c r="D19" s="224"/>
      <c r="E19" s="225"/>
      <c r="F19" s="226"/>
      <c r="G19" s="227"/>
      <c r="H19" s="228"/>
      <c r="I19" s="225"/>
      <c r="J19" s="224"/>
      <c r="K19" s="225"/>
      <c r="L19" s="226"/>
      <c r="M19" s="229"/>
      <c r="N19" s="226"/>
      <c r="O19" s="223"/>
      <c r="P19" s="226"/>
      <c r="Q19" s="228"/>
      <c r="R19" s="225"/>
      <c r="S19" s="224"/>
      <c r="T19" s="230"/>
      <c r="U19" s="226">
        <f>B19+E19+H19</f>
        <v>275</v>
      </c>
      <c r="V19" s="223"/>
      <c r="W19" s="224"/>
      <c r="X19" s="207"/>
    </row>
    <row r="20" spans="1:24" ht="19.5" customHeight="1" thickBot="1">
      <c r="A20" s="231" t="s">
        <v>2131</v>
      </c>
      <c r="B20" s="232">
        <f>SUM(B11:B19)</f>
        <v>321295</v>
      </c>
      <c r="C20" s="233">
        <f>SUM(C11:C19)</f>
        <v>324886</v>
      </c>
      <c r="D20" s="234">
        <f aca="true" t="shared" si="1" ref="D20:M20">SUM(D11:D18)</f>
        <v>325042.2</v>
      </c>
      <c r="E20" s="235">
        <f>SUM(E11:E19)</f>
        <v>106419</v>
      </c>
      <c r="F20" s="235">
        <f t="shared" si="1"/>
        <v>109400</v>
      </c>
      <c r="G20" s="234">
        <f t="shared" si="1"/>
        <v>109427.457</v>
      </c>
      <c r="H20" s="236">
        <f>SUM(H11:H19)</f>
        <v>6259</v>
      </c>
      <c r="I20" s="235">
        <f t="shared" si="1"/>
        <v>6312</v>
      </c>
      <c r="J20" s="234">
        <f>SUM(J11:J18)-1</f>
        <v>6311.543</v>
      </c>
      <c r="K20" s="235">
        <f t="shared" si="1"/>
        <v>210892</v>
      </c>
      <c r="L20" s="237">
        <f t="shared" si="1"/>
        <v>235832</v>
      </c>
      <c r="M20" s="234">
        <f t="shared" si="1"/>
        <v>238456.94490000006</v>
      </c>
      <c r="N20" s="237">
        <f>SUM(N11:N18)</f>
        <v>160946</v>
      </c>
      <c r="O20" s="233">
        <f>SUM(O11:O18)</f>
        <v>192288</v>
      </c>
      <c r="P20" s="237">
        <f>SUM(P11:P18)</f>
        <v>193211.274</v>
      </c>
      <c r="Q20" s="236">
        <f>SUM(Q11:Q19)</f>
        <v>900</v>
      </c>
      <c r="R20" s="235">
        <f>SUM(R11:R19)</f>
        <v>1741</v>
      </c>
      <c r="S20" s="238">
        <f>SUM(S11:S18)</f>
        <v>1873.528</v>
      </c>
      <c r="T20" s="239">
        <f>SUM(T11:T18)</f>
        <v>0</v>
      </c>
      <c r="U20" s="237">
        <f>SUM(U11:U19)</f>
        <v>806711</v>
      </c>
      <c r="V20" s="233">
        <f>SUM(V11:V18)</f>
        <v>869691</v>
      </c>
      <c r="W20" s="238">
        <f>SUM(W11:W18)</f>
        <v>873559.0859</v>
      </c>
      <c r="X20" s="240"/>
    </row>
    <row r="21" spans="1:24" ht="16.5" customHeight="1">
      <c r="A21" s="241"/>
      <c r="B21" s="242"/>
      <c r="C21" s="242"/>
      <c r="D21" s="242"/>
      <c r="E21" s="242"/>
      <c r="F21" s="242"/>
      <c r="G21" s="243"/>
      <c r="H21" s="242"/>
      <c r="I21" s="242"/>
      <c r="J21" s="242"/>
      <c r="K21" s="242"/>
      <c r="L21" s="242"/>
      <c r="M21" s="242"/>
      <c r="N21" s="242"/>
      <c r="O21" s="242"/>
      <c r="P21" s="243"/>
      <c r="Q21" s="242"/>
      <c r="R21" s="242"/>
      <c r="S21" s="242"/>
      <c r="T21" s="242"/>
      <c r="U21" s="242"/>
      <c r="V21" s="244"/>
      <c r="W21" s="242"/>
      <c r="X21" s="240"/>
    </row>
    <row r="22" spans="1:24" ht="12.7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20"/>
    </row>
    <row r="23" spans="1:23" ht="12.75">
      <c r="A23" s="245" t="s">
        <v>2132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</row>
    <row r="24" spans="1:23" ht="12.75">
      <c r="A24" s="157" t="s">
        <v>2133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</row>
    <row r="25" spans="1:23" ht="12.75">
      <c r="A25" s="157" t="s">
        <v>2134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</row>
    <row r="26" spans="1:23" ht="12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</row>
    <row r="27" spans="1:23" ht="12.75">
      <c r="A27" s="62" t="s">
        <v>2135</v>
      </c>
      <c r="B27" s="62"/>
      <c r="D27" s="62"/>
      <c r="E27" s="62"/>
      <c r="G27" s="62"/>
      <c r="H27" s="62"/>
      <c r="I27" s="62" t="s">
        <v>2136</v>
      </c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1082" t="s">
        <v>2137</v>
      </c>
      <c r="V27" s="1082"/>
      <c r="W27" s="1082"/>
    </row>
    <row r="28" spans="1:23" ht="12.7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</row>
    <row r="29" spans="1:23" ht="12.7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</row>
    <row r="30" spans="1:23" ht="12.7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</row>
    <row r="31" spans="1:7" ht="12.75">
      <c r="A31" s="20"/>
      <c r="B31" s="20"/>
      <c r="C31" s="20"/>
      <c r="D31" s="20"/>
      <c r="E31" s="20"/>
      <c r="F31" s="20"/>
      <c r="G31" s="20"/>
    </row>
    <row r="32" spans="1:7" ht="12.75">
      <c r="A32" s="20"/>
      <c r="B32" s="20"/>
      <c r="C32" s="20"/>
      <c r="D32" s="20"/>
      <c r="E32" s="20"/>
      <c r="F32" s="20"/>
      <c r="G32" s="20"/>
    </row>
  </sheetData>
  <mergeCells count="2">
    <mergeCell ref="U27:W27"/>
    <mergeCell ref="V4:W4"/>
  </mergeCells>
  <printOptions/>
  <pageMargins left="0.3937007874015748" right="0.3937007874015748" top="0.984251968503937" bottom="0.7874015748031497" header="0.7086614173228347" footer="0.31496062992125984"/>
  <pageSetup fitToHeight="1" fitToWidth="1" horizontalDpi="600" verticalDpi="600" orientation="landscape" paperSize="9" scale="63" r:id="rId3"/>
  <headerFooter alignWithMargins="0">
    <oddFooter>&amp;C&amp;14&amp;P+160
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="80" zoomScaleNormal="80" workbookViewId="0" topLeftCell="L1">
      <selection activeCell="R23" sqref="R23"/>
    </sheetView>
  </sheetViews>
  <sheetFormatPr defaultColWidth="9.00390625" defaultRowHeight="12.75"/>
  <cols>
    <col min="1" max="1" width="59.25390625" style="61" customWidth="1"/>
    <col min="2" max="11" width="11.75390625" style="61" hidden="1" customWidth="1"/>
    <col min="12" max="18" width="17.00390625" style="61" customWidth="1"/>
    <col min="19" max="19" width="16.75390625" style="61" customWidth="1"/>
    <col min="20" max="16384" width="9.125" style="61" customWidth="1"/>
  </cols>
  <sheetData>
    <row r="1" spans="1:19" s="741" customFormat="1" ht="15">
      <c r="A1" s="741" t="s">
        <v>2106</v>
      </c>
      <c r="S1" s="742" t="s">
        <v>2413</v>
      </c>
    </row>
    <row r="3" spans="1:19" ht="15.75">
      <c r="A3" s="1086" t="s">
        <v>2356</v>
      </c>
      <c r="B3" s="1086"/>
      <c r="C3" s="1086"/>
      <c r="D3" s="1086"/>
      <c r="E3" s="1086"/>
      <c r="F3" s="1086"/>
      <c r="G3" s="1086"/>
      <c r="H3" s="1086"/>
      <c r="I3" s="1086"/>
      <c r="J3" s="1086"/>
      <c r="K3" s="1086"/>
      <c r="L3" s="1086"/>
      <c r="M3" s="1086"/>
      <c r="N3" s="1086"/>
      <c r="O3" s="1086"/>
      <c r="P3" s="1086"/>
      <c r="Q3" s="1086"/>
      <c r="R3" s="1086"/>
      <c r="S3" s="1086"/>
    </row>
    <row r="4" spans="1:19" ht="13.5" thickBot="1">
      <c r="A4" s="660"/>
      <c r="B4" s="660"/>
      <c r="C4" s="660"/>
      <c r="D4" s="660"/>
      <c r="E4" s="660"/>
      <c r="F4" s="660"/>
      <c r="G4" s="660"/>
      <c r="H4" s="660"/>
      <c r="I4" s="660"/>
      <c r="J4" s="660"/>
      <c r="K4" s="661"/>
      <c r="L4" s="661"/>
      <c r="N4" s="662"/>
      <c r="O4" s="662"/>
      <c r="P4" s="662"/>
      <c r="Q4" s="662"/>
      <c r="R4" s="662"/>
      <c r="S4" s="662" t="s">
        <v>2109</v>
      </c>
    </row>
    <row r="5" spans="1:19" ht="39.75" customHeight="1" thickBot="1">
      <c r="A5" s="663" t="s">
        <v>2357</v>
      </c>
      <c r="B5" s="664" t="s">
        <v>2358</v>
      </c>
      <c r="C5" s="664" t="s">
        <v>2359</v>
      </c>
      <c r="D5" s="664" t="s">
        <v>2360</v>
      </c>
      <c r="E5" s="664" t="s">
        <v>2361</v>
      </c>
      <c r="F5" s="664" t="s">
        <v>2362</v>
      </c>
      <c r="G5" s="664" t="s">
        <v>2363</v>
      </c>
      <c r="H5" s="664" t="s">
        <v>2364</v>
      </c>
      <c r="I5" s="664" t="s">
        <v>2365</v>
      </c>
      <c r="J5" s="664" t="s">
        <v>2366</v>
      </c>
      <c r="K5" s="664" t="s">
        <v>2367</v>
      </c>
      <c r="L5" s="665" t="s">
        <v>2368</v>
      </c>
      <c r="M5" s="665" t="s">
        <v>2369</v>
      </c>
      <c r="N5" s="666" t="s">
        <v>2370</v>
      </c>
      <c r="O5" s="666" t="s">
        <v>2371</v>
      </c>
      <c r="P5" s="667" t="s">
        <v>2372</v>
      </c>
      <c r="Q5" s="667" t="s">
        <v>2373</v>
      </c>
      <c r="R5" s="667" t="s">
        <v>2374</v>
      </c>
      <c r="S5" s="668" t="s">
        <v>2009</v>
      </c>
    </row>
    <row r="6" spans="1:19" ht="14.25">
      <c r="A6" s="669"/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1"/>
      <c r="M6" s="672"/>
      <c r="N6" s="673"/>
      <c r="O6" s="673"/>
      <c r="P6" s="672"/>
      <c r="Q6" s="674"/>
      <c r="R6" s="674"/>
      <c r="S6" s="675"/>
    </row>
    <row r="7" spans="1:19" ht="15">
      <c r="A7" s="676" t="s">
        <v>2144</v>
      </c>
      <c r="B7" s="677">
        <v>2184630</v>
      </c>
      <c r="C7" s="677">
        <v>2599678</v>
      </c>
      <c r="D7" s="677">
        <v>3381679</v>
      </c>
      <c r="E7" s="677">
        <v>3676044</v>
      </c>
      <c r="F7" s="677">
        <v>3849359</v>
      </c>
      <c r="G7" s="677">
        <v>3540245</v>
      </c>
      <c r="H7" s="677">
        <v>3722534</v>
      </c>
      <c r="I7" s="677">
        <v>3811742</v>
      </c>
      <c r="J7" s="677">
        <v>4880203</v>
      </c>
      <c r="K7" s="677">
        <v>5766027</v>
      </c>
      <c r="L7" s="678">
        <v>6420538</v>
      </c>
      <c r="M7" s="679">
        <f>M8+M10</f>
        <v>6945471</v>
      </c>
      <c r="N7" s="680">
        <f>SUM(N8+N10)</f>
        <v>8041294</v>
      </c>
      <c r="O7" s="681">
        <f>SUM(O8+O10)</f>
        <v>10777246</v>
      </c>
      <c r="P7" s="679">
        <f>SUM(P8+P10)</f>
        <v>9129596.52</v>
      </c>
      <c r="Q7" s="679">
        <f>SUM(Q8+Q10)</f>
        <v>9248632</v>
      </c>
      <c r="R7" s="679">
        <f>SUM(R8+R10+R11)</f>
        <v>8258297</v>
      </c>
      <c r="S7" s="682">
        <f>SUM(S8+S10+S11)</f>
        <v>10206788</v>
      </c>
    </row>
    <row r="8" spans="1:19" ht="14.25">
      <c r="A8" s="683" t="s">
        <v>2375</v>
      </c>
      <c r="B8" s="684">
        <v>1861383</v>
      </c>
      <c r="C8" s="684">
        <v>2270532</v>
      </c>
      <c r="D8" s="684">
        <v>2826957</v>
      </c>
      <c r="E8" s="684">
        <v>3119388</v>
      </c>
      <c r="F8" s="684">
        <v>3006009</v>
      </c>
      <c r="G8" s="684">
        <v>3104569</v>
      </c>
      <c r="H8" s="684">
        <v>3398643</v>
      </c>
      <c r="I8" s="684">
        <v>3485784</v>
      </c>
      <c r="J8" s="684">
        <v>4417989</v>
      </c>
      <c r="K8" s="684">
        <v>4960978</v>
      </c>
      <c r="L8" s="685">
        <v>5454470</v>
      </c>
      <c r="M8" s="686">
        <v>5713826</v>
      </c>
      <c r="N8" s="687">
        <v>6398546</v>
      </c>
      <c r="O8" s="687">
        <v>6551027</v>
      </c>
      <c r="P8" s="686">
        <v>7003512.33</v>
      </c>
      <c r="Q8" s="686">
        <v>7023345</v>
      </c>
      <c r="R8" s="686">
        <v>6824105</v>
      </c>
      <c r="S8" s="688">
        <v>6534492</v>
      </c>
    </row>
    <row r="9" spans="1:19" ht="14.25">
      <c r="A9" s="683" t="s">
        <v>2376</v>
      </c>
      <c r="B9" s="684"/>
      <c r="C9" s="684"/>
      <c r="D9" s="684"/>
      <c r="E9" s="684"/>
      <c r="F9" s="684">
        <v>2299176</v>
      </c>
      <c r="G9" s="684">
        <v>2374086</v>
      </c>
      <c r="H9" s="684">
        <v>2598970</v>
      </c>
      <c r="I9" s="684">
        <v>2665607</v>
      </c>
      <c r="J9" s="684">
        <v>3378372</v>
      </c>
      <c r="K9" s="684">
        <v>3793638</v>
      </c>
      <c r="L9" s="685">
        <v>4170967</v>
      </c>
      <c r="M9" s="686">
        <v>4677966</v>
      </c>
      <c r="N9" s="687">
        <v>5268749</v>
      </c>
      <c r="O9" s="687">
        <v>5394329</v>
      </c>
      <c r="P9" s="686">
        <v>5766971</v>
      </c>
      <c r="Q9" s="686">
        <v>5783329</v>
      </c>
      <c r="R9" s="686">
        <v>6026512</v>
      </c>
      <c r="S9" s="688">
        <v>5844665</v>
      </c>
    </row>
    <row r="10" spans="1:19" ht="14.25">
      <c r="A10" s="683" t="s">
        <v>2377</v>
      </c>
      <c r="B10" s="684">
        <v>323247</v>
      </c>
      <c r="C10" s="684">
        <v>329146</v>
      </c>
      <c r="D10" s="684">
        <v>554722</v>
      </c>
      <c r="E10" s="684">
        <v>556656</v>
      </c>
      <c r="F10" s="684">
        <v>843350</v>
      </c>
      <c r="G10" s="684">
        <v>435676</v>
      </c>
      <c r="H10" s="684">
        <v>323891</v>
      </c>
      <c r="I10" s="684">
        <v>325958</v>
      </c>
      <c r="J10" s="684">
        <v>462214</v>
      </c>
      <c r="K10" s="684">
        <v>805049</v>
      </c>
      <c r="L10" s="685">
        <v>966068</v>
      </c>
      <c r="M10" s="686">
        <v>1231645</v>
      </c>
      <c r="N10" s="687">
        <v>1642748</v>
      </c>
      <c r="O10" s="687">
        <v>4226219</v>
      </c>
      <c r="P10" s="686">
        <f>439331.74+149813.32+1536939.13</f>
        <v>2126084.19</v>
      </c>
      <c r="Q10" s="686">
        <v>2225287</v>
      </c>
      <c r="R10" s="686">
        <v>1423259</v>
      </c>
      <c r="S10" s="688">
        <v>3652396</v>
      </c>
    </row>
    <row r="11" spans="1:19" ht="14.25">
      <c r="A11" s="683" t="s">
        <v>2378</v>
      </c>
      <c r="B11" s="684"/>
      <c r="C11" s="684"/>
      <c r="D11" s="684"/>
      <c r="E11" s="684"/>
      <c r="F11" s="684"/>
      <c r="G11" s="684"/>
      <c r="H11" s="684"/>
      <c r="I11" s="684"/>
      <c r="J11" s="684"/>
      <c r="K11" s="684"/>
      <c r="L11" s="689" t="s">
        <v>2238</v>
      </c>
      <c r="M11" s="689" t="s">
        <v>2238</v>
      </c>
      <c r="N11" s="690" t="s">
        <v>2238</v>
      </c>
      <c r="O11" s="690" t="s">
        <v>2238</v>
      </c>
      <c r="P11" s="691" t="s">
        <v>2238</v>
      </c>
      <c r="Q11" s="691" t="s">
        <v>2238</v>
      </c>
      <c r="R11" s="686">
        <v>10933</v>
      </c>
      <c r="S11" s="688">
        <v>19900</v>
      </c>
    </row>
    <row r="12" spans="1:19" ht="14.25">
      <c r="A12" s="683"/>
      <c r="B12" s="692"/>
      <c r="C12" s="692"/>
      <c r="D12" s="692"/>
      <c r="E12" s="692"/>
      <c r="F12" s="692"/>
      <c r="G12" s="692"/>
      <c r="H12" s="692"/>
      <c r="I12" s="692"/>
      <c r="J12" s="692"/>
      <c r="K12" s="692"/>
      <c r="L12" s="693"/>
      <c r="M12" s="694"/>
      <c r="N12" s="695"/>
      <c r="O12" s="696"/>
      <c r="P12" s="697"/>
      <c r="Q12" s="697"/>
      <c r="R12" s="697"/>
      <c r="S12" s="698"/>
    </row>
    <row r="13" spans="1:19" ht="15">
      <c r="A13" s="676" t="s">
        <v>2379</v>
      </c>
      <c r="B13" s="677">
        <v>16540704</v>
      </c>
      <c r="C13" s="677">
        <v>19962546</v>
      </c>
      <c r="D13" s="677">
        <v>22262993</v>
      </c>
      <c r="E13" s="677">
        <v>26614103</v>
      </c>
      <c r="F13" s="677">
        <v>26285720</v>
      </c>
      <c r="G13" s="677">
        <v>27161846</v>
      </c>
      <c r="H13" s="677">
        <v>28965733</v>
      </c>
      <c r="I13" s="677">
        <v>32702908</v>
      </c>
      <c r="J13" s="677">
        <v>36903150</v>
      </c>
      <c r="K13" s="677">
        <v>40969999</v>
      </c>
      <c r="L13" s="678">
        <f>SUM(L14:L17)-884</f>
        <v>45006355</v>
      </c>
      <c r="M13" s="678">
        <f>SUM(M14:M17)-598</f>
        <v>47669199</v>
      </c>
      <c r="N13" s="680">
        <f>SUM(N14:N17)-996</f>
        <v>51516745</v>
      </c>
      <c r="O13" s="681">
        <f>SUM(O14:O17)-1040</f>
        <v>55610478</v>
      </c>
      <c r="P13" s="679">
        <f>SUM(P14:P17)-2132</f>
        <v>58233846.388</v>
      </c>
      <c r="Q13" s="679">
        <f>SUM(Q14:Q17)-2709</f>
        <v>59828400.815</v>
      </c>
      <c r="R13" s="679">
        <f>SUM(R14:R17)-3517</f>
        <v>59756108.569999985</v>
      </c>
      <c r="S13" s="682">
        <f>SUM(S14:S17)</f>
        <v>61270573</v>
      </c>
    </row>
    <row r="14" spans="1:19" ht="15">
      <c r="A14" s="676" t="s">
        <v>2380</v>
      </c>
      <c r="B14" s="677">
        <v>893335</v>
      </c>
      <c r="C14" s="677">
        <v>1369069</v>
      </c>
      <c r="D14" s="677">
        <v>2463595</v>
      </c>
      <c r="E14" s="677">
        <v>3655657</v>
      </c>
      <c r="F14" s="677">
        <v>3160778</v>
      </c>
      <c r="G14" s="677">
        <v>3114618</v>
      </c>
      <c r="H14" s="677">
        <v>2880670</v>
      </c>
      <c r="I14" s="677">
        <v>5350844</v>
      </c>
      <c r="J14" s="677">
        <v>2939061</v>
      </c>
      <c r="K14" s="677">
        <v>3523235</v>
      </c>
      <c r="L14" s="678">
        <v>3709460</v>
      </c>
      <c r="M14" s="679">
        <v>3999177</v>
      </c>
      <c r="N14" s="680">
        <v>5304676</v>
      </c>
      <c r="O14" s="681">
        <v>7704261</v>
      </c>
      <c r="P14" s="679">
        <f>8532553.46-890573.85-270508.64</f>
        <v>7371470.970000002</v>
      </c>
      <c r="Q14" s="679">
        <v>8083325.01</v>
      </c>
      <c r="R14" s="679">
        <v>3805282.19</v>
      </c>
      <c r="S14" s="682">
        <v>4872116</v>
      </c>
    </row>
    <row r="15" spans="1:19" s="699" customFormat="1" ht="17.25">
      <c r="A15" s="676" t="s">
        <v>2381</v>
      </c>
      <c r="B15" s="677"/>
      <c r="C15" s="677"/>
      <c r="D15" s="677"/>
      <c r="E15" s="677">
        <v>24802</v>
      </c>
      <c r="F15" s="677">
        <v>18148</v>
      </c>
      <c r="G15" s="677">
        <v>17940</v>
      </c>
      <c r="H15" s="677">
        <v>10040</v>
      </c>
      <c r="I15" s="677">
        <v>18795</v>
      </c>
      <c r="J15" s="677">
        <v>21217</v>
      </c>
      <c r="K15" s="677">
        <v>19819</v>
      </c>
      <c r="L15" s="678">
        <v>19679</v>
      </c>
      <c r="M15" s="679">
        <v>19728</v>
      </c>
      <c r="N15" s="680">
        <v>22603</v>
      </c>
      <c r="O15" s="681">
        <v>29568</v>
      </c>
      <c r="P15" s="679">
        <f>79841.18-2967.2-69.45</f>
        <v>76804.53</v>
      </c>
      <c r="Q15" s="679">
        <v>45316.73</v>
      </c>
      <c r="R15" s="679">
        <v>53390.32</v>
      </c>
      <c r="S15" s="682">
        <v>368797</v>
      </c>
    </row>
    <row r="16" spans="1:19" s="699" customFormat="1" ht="15">
      <c r="A16" s="676" t="s">
        <v>2382</v>
      </c>
      <c r="B16" s="677"/>
      <c r="C16" s="677"/>
      <c r="D16" s="677"/>
      <c r="E16" s="677"/>
      <c r="F16" s="677"/>
      <c r="G16" s="677"/>
      <c r="H16" s="677"/>
      <c r="I16" s="677"/>
      <c r="J16" s="677"/>
      <c r="K16" s="677"/>
      <c r="L16" s="678">
        <v>884129</v>
      </c>
      <c r="M16" s="679">
        <v>1386188</v>
      </c>
      <c r="N16" s="680">
        <v>3027140</v>
      </c>
      <c r="O16" s="681">
        <v>2066692</v>
      </c>
      <c r="P16" s="700">
        <v>1786112.54</v>
      </c>
      <c r="Q16" s="701" t="s">
        <v>2238</v>
      </c>
      <c r="R16" s="701" t="s">
        <v>2238</v>
      </c>
      <c r="S16" s="702" t="s">
        <v>2238</v>
      </c>
    </row>
    <row r="17" spans="1:19" ht="15">
      <c r="A17" s="676" t="s">
        <v>2383</v>
      </c>
      <c r="B17" s="677">
        <v>15647369</v>
      </c>
      <c r="C17" s="677">
        <v>18593477</v>
      </c>
      <c r="D17" s="677">
        <v>19799398</v>
      </c>
      <c r="E17" s="677">
        <v>22933644</v>
      </c>
      <c r="F17" s="677">
        <v>23106794</v>
      </c>
      <c r="G17" s="677">
        <v>24029288</v>
      </c>
      <c r="H17" s="677">
        <v>26075023</v>
      </c>
      <c r="I17" s="677">
        <v>27333269</v>
      </c>
      <c r="J17" s="677">
        <v>33942872</v>
      </c>
      <c r="K17" s="677">
        <v>37426945</v>
      </c>
      <c r="L17" s="678">
        <f aca="true" t="shared" si="0" ref="L17:R17">SUM(L19:L24)</f>
        <v>40393971</v>
      </c>
      <c r="M17" s="678">
        <f t="shared" si="0"/>
        <v>42264704</v>
      </c>
      <c r="N17" s="680">
        <f t="shared" si="0"/>
        <v>43163322</v>
      </c>
      <c r="O17" s="681">
        <f t="shared" si="0"/>
        <v>45810997</v>
      </c>
      <c r="P17" s="679">
        <f t="shared" si="0"/>
        <v>49001590.348</v>
      </c>
      <c r="Q17" s="679">
        <f t="shared" si="0"/>
        <v>51702468.074999996</v>
      </c>
      <c r="R17" s="679">
        <f t="shared" si="0"/>
        <v>55900953.05999999</v>
      </c>
      <c r="S17" s="682">
        <f>SUM(S19:S24)</f>
        <v>56029660</v>
      </c>
    </row>
    <row r="18" spans="1:19" ht="14.25">
      <c r="A18" s="683" t="s">
        <v>2384</v>
      </c>
      <c r="B18" s="684"/>
      <c r="C18" s="684"/>
      <c r="D18" s="684"/>
      <c r="E18" s="684"/>
      <c r="F18" s="692"/>
      <c r="G18" s="692"/>
      <c r="H18" s="692"/>
      <c r="I18" s="692"/>
      <c r="J18" s="692"/>
      <c r="K18" s="692"/>
      <c r="L18" s="693"/>
      <c r="M18" s="694"/>
      <c r="N18" s="695"/>
      <c r="O18" s="696"/>
      <c r="P18" s="697"/>
      <c r="Q18" s="697"/>
      <c r="R18" s="697"/>
      <c r="S18" s="698"/>
    </row>
    <row r="19" spans="1:19" ht="16.5">
      <c r="A19" s="683" t="s">
        <v>2385</v>
      </c>
      <c r="B19" s="684">
        <v>6171043</v>
      </c>
      <c r="C19" s="684">
        <v>7872043</v>
      </c>
      <c r="D19" s="684">
        <v>10072856</v>
      </c>
      <c r="E19" s="684">
        <v>10907304</v>
      </c>
      <c r="F19" s="684">
        <v>11747617</v>
      </c>
      <c r="G19" s="684">
        <v>11647992</v>
      </c>
      <c r="H19" s="684">
        <v>12903293</v>
      </c>
      <c r="I19" s="684">
        <v>13152476</v>
      </c>
      <c r="J19" s="684">
        <v>16478311</v>
      </c>
      <c r="K19" s="684">
        <v>18375403</v>
      </c>
      <c r="L19" s="685">
        <v>20127308</v>
      </c>
      <c r="M19" s="686">
        <v>21240215</v>
      </c>
      <c r="N19" s="687">
        <v>23220063</v>
      </c>
      <c r="O19" s="687">
        <v>23930626</v>
      </c>
      <c r="P19" s="686">
        <v>25677160.83</v>
      </c>
      <c r="Q19" s="686">
        <v>25774833</v>
      </c>
      <c r="R19" s="686">
        <f>26170558.71+617240.31</f>
        <v>26787799.02</v>
      </c>
      <c r="S19" s="688">
        <v>26662451</v>
      </c>
    </row>
    <row r="20" spans="1:19" ht="14.25">
      <c r="A20" s="683" t="s">
        <v>2386</v>
      </c>
      <c r="B20" s="684">
        <v>2074597</v>
      </c>
      <c r="C20" s="684">
        <v>2672123</v>
      </c>
      <c r="D20" s="684">
        <v>3255184</v>
      </c>
      <c r="E20" s="684">
        <v>4218593</v>
      </c>
      <c r="F20" s="684">
        <v>4077869</v>
      </c>
      <c r="G20" s="684">
        <v>4168996</v>
      </c>
      <c r="H20" s="684">
        <v>4682757</v>
      </c>
      <c r="I20" s="684">
        <v>4762695</v>
      </c>
      <c r="J20" s="684">
        <v>5971350</v>
      </c>
      <c r="K20" s="684">
        <v>6650119</v>
      </c>
      <c r="L20" s="685">
        <v>7294162</v>
      </c>
      <c r="M20" s="685">
        <v>7724405</v>
      </c>
      <c r="N20" s="687">
        <v>8441378</v>
      </c>
      <c r="O20" s="687">
        <f>8231991+468415</f>
        <v>8700406</v>
      </c>
      <c r="P20" s="686">
        <f>8824344.73+501914.64</f>
        <v>9326259.370000001</v>
      </c>
      <c r="Q20" s="686">
        <f>8853854.65+503771.35</f>
        <v>9357626</v>
      </c>
      <c r="R20" s="686">
        <f>8933685.6+523393.62</f>
        <v>9457079.219999999</v>
      </c>
      <c r="S20" s="688">
        <f>8897661+521467</f>
        <v>9419128</v>
      </c>
    </row>
    <row r="21" spans="1:19" ht="14.25">
      <c r="A21" s="683" t="s">
        <v>2387</v>
      </c>
      <c r="B21" s="684">
        <v>1523017</v>
      </c>
      <c r="C21" s="684">
        <v>1682398</v>
      </c>
      <c r="D21" s="684">
        <v>1981775</v>
      </c>
      <c r="E21" s="684">
        <v>2220806</v>
      </c>
      <c r="F21" s="684">
        <v>2451248</v>
      </c>
      <c r="G21" s="684">
        <v>2760686</v>
      </c>
      <c r="H21" s="684">
        <v>3062731</v>
      </c>
      <c r="I21" s="684">
        <v>3205198</v>
      </c>
      <c r="J21" s="684">
        <v>3518349</v>
      </c>
      <c r="K21" s="684">
        <v>3827208</v>
      </c>
      <c r="L21" s="685">
        <v>3949884</v>
      </c>
      <c r="M21" s="686">
        <v>4112755</v>
      </c>
      <c r="N21" s="687">
        <v>4875183</v>
      </c>
      <c r="O21" s="687">
        <f>2999454+2261590</f>
        <v>5261044</v>
      </c>
      <c r="P21" s="686">
        <f>3337271.37-587.26+3004503.56-72546.62</f>
        <v>6268641.05</v>
      </c>
      <c r="Q21" s="686">
        <f>3566076.65+3951395.5</f>
        <v>7517472.15</v>
      </c>
      <c r="R21" s="686">
        <f>3863476.7+3591362.1</f>
        <v>7454838.800000001</v>
      </c>
      <c r="S21" s="688">
        <f>4174901+4092366</f>
        <v>8267267</v>
      </c>
    </row>
    <row r="22" spans="1:19" ht="14.25">
      <c r="A22" s="683" t="s">
        <v>2388</v>
      </c>
      <c r="B22" s="684">
        <v>1395251</v>
      </c>
      <c r="C22" s="684">
        <v>55957</v>
      </c>
      <c r="D22" s="684">
        <v>85103</v>
      </c>
      <c r="E22" s="684">
        <v>122713</v>
      </c>
      <c r="F22" s="684">
        <v>111525</v>
      </c>
      <c r="G22" s="684">
        <v>159435</v>
      </c>
      <c r="H22" s="684">
        <v>281209</v>
      </c>
      <c r="I22" s="684">
        <v>379624</v>
      </c>
      <c r="J22" s="684">
        <v>492871</v>
      </c>
      <c r="K22" s="684">
        <v>521497</v>
      </c>
      <c r="L22" s="685">
        <v>575133</v>
      </c>
      <c r="M22" s="686">
        <v>619167</v>
      </c>
      <c r="N22" s="687">
        <v>691130</v>
      </c>
      <c r="O22" s="687">
        <v>723725</v>
      </c>
      <c r="P22" s="686">
        <v>865918</v>
      </c>
      <c r="Q22" s="686">
        <v>993568.65</v>
      </c>
      <c r="R22" s="686">
        <v>974993.5</v>
      </c>
      <c r="S22" s="688">
        <v>833827</v>
      </c>
    </row>
    <row r="23" spans="1:19" ht="14.25">
      <c r="A23" s="683" t="s">
        <v>2389</v>
      </c>
      <c r="B23" s="684">
        <v>39000</v>
      </c>
      <c r="C23" s="684">
        <v>63500</v>
      </c>
      <c r="D23" s="684">
        <v>71711</v>
      </c>
      <c r="E23" s="684">
        <v>65868</v>
      </c>
      <c r="F23" s="684">
        <v>60300</v>
      </c>
      <c r="G23" s="684">
        <v>54543</v>
      </c>
      <c r="H23" s="684">
        <v>39211</v>
      </c>
      <c r="I23" s="684">
        <v>30050</v>
      </c>
      <c r="J23" s="684">
        <v>33030</v>
      </c>
      <c r="K23" s="684">
        <v>33943</v>
      </c>
      <c r="L23" s="685">
        <v>36454</v>
      </c>
      <c r="M23" s="686">
        <f>42572+110</f>
        <v>42682</v>
      </c>
      <c r="N23" s="687">
        <v>46856</v>
      </c>
      <c r="O23" s="687">
        <f>71465</f>
        <v>71465</v>
      </c>
      <c r="P23" s="686">
        <f>86294.94-50-12.302</f>
        <v>86232.638</v>
      </c>
      <c r="Q23" s="686">
        <v>86856.67</v>
      </c>
      <c r="R23" s="686">
        <v>83458.98</v>
      </c>
      <c r="S23" s="688">
        <v>50669</v>
      </c>
    </row>
    <row r="24" spans="1:19" ht="14.25">
      <c r="A24" s="683" t="s">
        <v>2390</v>
      </c>
      <c r="B24" s="684">
        <v>4444461</v>
      </c>
      <c r="C24" s="684">
        <v>6247456</v>
      </c>
      <c r="D24" s="684">
        <v>4332769</v>
      </c>
      <c r="E24" s="684">
        <v>5398360</v>
      </c>
      <c r="F24" s="684">
        <v>4658235</v>
      </c>
      <c r="G24" s="684">
        <v>5237636</v>
      </c>
      <c r="H24" s="684">
        <v>5105822</v>
      </c>
      <c r="I24" s="684">
        <v>5803226</v>
      </c>
      <c r="J24" s="684">
        <v>7448961</v>
      </c>
      <c r="K24" s="684">
        <v>8018775</v>
      </c>
      <c r="L24" s="685">
        <v>8411030</v>
      </c>
      <c r="M24" s="686">
        <v>8525480</v>
      </c>
      <c r="N24" s="703">
        <v>5888712</v>
      </c>
      <c r="O24" s="687">
        <f>7105580+18151</f>
        <v>7123731</v>
      </c>
      <c r="P24" s="686">
        <f>53413159.21-25096118.88-581041.96-8824344.75-86294.94-865918-501914.66-624960.6-6268641.06-3748421.98-40058-260+2132.08+50+12</f>
        <v>6777378.459999999</v>
      </c>
      <c r="Q24" s="686">
        <f>55229471.83-25774833.34-8853854.65-86856.67-993568.65-503771.36-7517472.17-3494739.71-32263.675</f>
        <v>7972111.604999997</v>
      </c>
      <c r="R24" s="686">
        <f>11139266.54+3517</f>
        <v>11142783.54</v>
      </c>
      <c r="S24" s="688">
        <v>10796318</v>
      </c>
    </row>
    <row r="25" spans="1:19" ht="14.25">
      <c r="A25" s="683"/>
      <c r="B25" s="684"/>
      <c r="C25" s="684"/>
      <c r="D25" s="684"/>
      <c r="E25" s="684"/>
      <c r="F25" s="684"/>
      <c r="G25" s="684"/>
      <c r="H25" s="684"/>
      <c r="I25" s="684"/>
      <c r="J25" s="684"/>
      <c r="K25" s="692"/>
      <c r="L25" s="693"/>
      <c r="M25" s="694"/>
      <c r="N25" s="695"/>
      <c r="O25" s="696"/>
      <c r="P25" s="697"/>
      <c r="Q25" s="697"/>
      <c r="R25" s="697"/>
      <c r="S25" s="698"/>
    </row>
    <row r="26" spans="1:19" ht="15">
      <c r="A26" s="676" t="s">
        <v>2391</v>
      </c>
      <c r="B26" s="677">
        <v>56259</v>
      </c>
      <c r="C26" s="677">
        <v>61856</v>
      </c>
      <c r="D26" s="677">
        <v>59353</v>
      </c>
      <c r="E26" s="677">
        <v>60542</v>
      </c>
      <c r="F26" s="677">
        <v>61174</v>
      </c>
      <c r="G26" s="677">
        <v>60689</v>
      </c>
      <c r="H26" s="677">
        <v>61888</v>
      </c>
      <c r="I26" s="677">
        <v>61879</v>
      </c>
      <c r="J26" s="677">
        <v>70457</v>
      </c>
      <c r="K26" s="677">
        <v>71818</v>
      </c>
      <c r="L26" s="678">
        <v>74214</v>
      </c>
      <c r="M26" s="679">
        <v>74400</v>
      </c>
      <c r="N26" s="680">
        <v>73324</v>
      </c>
      <c r="O26" s="681">
        <f>SUM(O27:O28)</f>
        <v>72474</v>
      </c>
      <c r="P26" s="679">
        <v>71395</v>
      </c>
      <c r="Q26" s="679">
        <f>SUM(Q27:Q28)</f>
        <v>68698</v>
      </c>
      <c r="R26" s="679">
        <f>SUM(R27:R28)</f>
        <v>69576</v>
      </c>
      <c r="S26" s="682">
        <f>SUM(S27:S28)</f>
        <v>70851</v>
      </c>
    </row>
    <row r="27" spans="1:19" ht="14.25">
      <c r="A27" s="683" t="s">
        <v>2392</v>
      </c>
      <c r="B27" s="684">
        <v>46779</v>
      </c>
      <c r="C27" s="684">
        <v>51845</v>
      </c>
      <c r="D27" s="684">
        <v>46748</v>
      </c>
      <c r="E27" s="684">
        <v>47160</v>
      </c>
      <c r="F27" s="684">
        <v>45056</v>
      </c>
      <c r="G27" s="684">
        <v>44711</v>
      </c>
      <c r="H27" s="684">
        <v>45094</v>
      </c>
      <c r="I27" s="684">
        <v>45083</v>
      </c>
      <c r="J27" s="684">
        <v>53660</v>
      </c>
      <c r="K27" s="684">
        <v>54733</v>
      </c>
      <c r="L27" s="685">
        <v>56453</v>
      </c>
      <c r="M27" s="685">
        <v>57018</v>
      </c>
      <c r="N27" s="703">
        <v>56360</v>
      </c>
      <c r="O27" s="687">
        <v>55168</v>
      </c>
      <c r="P27" s="686">
        <v>54267</v>
      </c>
      <c r="Q27" s="686">
        <v>52059</v>
      </c>
      <c r="R27" s="686">
        <v>53275</v>
      </c>
      <c r="S27" s="688">
        <v>54098</v>
      </c>
    </row>
    <row r="28" spans="1:19" ht="14.25">
      <c r="A28" s="683" t="s">
        <v>2393</v>
      </c>
      <c r="B28" s="684">
        <v>9480</v>
      </c>
      <c r="C28" s="684">
        <v>10011</v>
      </c>
      <c r="D28" s="684">
        <v>12605</v>
      </c>
      <c r="E28" s="684">
        <v>13382</v>
      </c>
      <c r="F28" s="684">
        <v>16118</v>
      </c>
      <c r="G28" s="684">
        <v>15978</v>
      </c>
      <c r="H28" s="684">
        <v>16794</v>
      </c>
      <c r="I28" s="684">
        <v>16796</v>
      </c>
      <c r="J28" s="684">
        <v>16797</v>
      </c>
      <c r="K28" s="684">
        <v>17085</v>
      </c>
      <c r="L28" s="685">
        <v>17761</v>
      </c>
      <c r="M28" s="685">
        <v>17382</v>
      </c>
      <c r="N28" s="703">
        <v>16964</v>
      </c>
      <c r="O28" s="687">
        <v>17306</v>
      </c>
      <c r="P28" s="686">
        <v>17128</v>
      </c>
      <c r="Q28" s="686">
        <v>16639</v>
      </c>
      <c r="R28" s="686">
        <v>16301</v>
      </c>
      <c r="S28" s="688">
        <v>16753</v>
      </c>
    </row>
    <row r="29" spans="1:19" ht="14.25">
      <c r="A29" s="683"/>
      <c r="B29" s="692"/>
      <c r="C29" s="692"/>
      <c r="D29" s="692"/>
      <c r="E29" s="692"/>
      <c r="F29" s="692"/>
      <c r="G29" s="692"/>
      <c r="H29" s="692"/>
      <c r="I29" s="692"/>
      <c r="J29" s="692"/>
      <c r="K29" s="692"/>
      <c r="L29" s="693"/>
      <c r="M29" s="704"/>
      <c r="N29" s="695"/>
      <c r="O29" s="696"/>
      <c r="P29" s="697"/>
      <c r="Q29" s="697"/>
      <c r="R29" s="697"/>
      <c r="S29" s="698"/>
    </row>
    <row r="30" spans="1:19" ht="15">
      <c r="A30" s="676" t="s">
        <v>2394</v>
      </c>
      <c r="B30" s="677">
        <v>8840</v>
      </c>
      <c r="C30" s="677">
        <v>10234</v>
      </c>
      <c r="D30" s="677">
        <v>13708</v>
      </c>
      <c r="E30" s="677">
        <v>14895</v>
      </c>
      <c r="F30" s="677">
        <v>15406</v>
      </c>
      <c r="G30" s="677">
        <v>15058</v>
      </c>
      <c r="H30" s="677">
        <v>17001</v>
      </c>
      <c r="I30" s="677">
        <v>17309</v>
      </c>
      <c r="J30" s="677">
        <v>19003</v>
      </c>
      <c r="K30" s="677">
        <v>20760</v>
      </c>
      <c r="L30" s="678">
        <v>22038</v>
      </c>
      <c r="M30" s="679">
        <v>23288</v>
      </c>
      <c r="N30" s="680">
        <v>25809</v>
      </c>
      <c r="O30" s="681">
        <v>26925</v>
      </c>
      <c r="P30" s="679">
        <v>29293</v>
      </c>
      <c r="Q30" s="679">
        <v>30555</v>
      </c>
      <c r="R30" s="679">
        <v>31345</v>
      </c>
      <c r="S30" s="682">
        <v>29442</v>
      </c>
    </row>
    <row r="31" spans="1:19" ht="14.25">
      <c r="A31" s="683" t="s">
        <v>2395</v>
      </c>
      <c r="B31" s="684">
        <v>9777</v>
      </c>
      <c r="C31" s="684">
        <v>12862</v>
      </c>
      <c r="D31" s="684">
        <v>14367</v>
      </c>
      <c r="E31" s="684">
        <v>16279</v>
      </c>
      <c r="F31" s="684">
        <v>16415</v>
      </c>
      <c r="G31" s="684">
        <v>16911</v>
      </c>
      <c r="H31" s="684">
        <v>18576</v>
      </c>
      <c r="I31" s="684">
        <v>18952</v>
      </c>
      <c r="J31" s="684">
        <v>20604</v>
      </c>
      <c r="K31" s="684">
        <v>22473</v>
      </c>
      <c r="L31" s="685">
        <v>23765</v>
      </c>
      <c r="M31" s="685">
        <v>24892</v>
      </c>
      <c r="N31" s="703">
        <v>27914</v>
      </c>
      <c r="O31" s="687">
        <v>29160</v>
      </c>
      <c r="P31" s="686">
        <v>31791</v>
      </c>
      <c r="Q31" s="686">
        <v>33122</v>
      </c>
      <c r="R31" s="686">
        <v>33708</v>
      </c>
      <c r="S31" s="688">
        <v>31887</v>
      </c>
    </row>
    <row r="32" spans="1:19" ht="14.25">
      <c r="A32" s="683" t="s">
        <v>2396</v>
      </c>
      <c r="B32" s="684">
        <v>6002</v>
      </c>
      <c r="C32" s="684">
        <v>6796</v>
      </c>
      <c r="D32" s="684">
        <v>9276</v>
      </c>
      <c r="E32" s="684">
        <v>10021</v>
      </c>
      <c r="F32" s="684">
        <v>10695</v>
      </c>
      <c r="G32" s="684">
        <v>11129</v>
      </c>
      <c r="H32" s="684">
        <v>12559</v>
      </c>
      <c r="I32" s="684">
        <v>12900</v>
      </c>
      <c r="J32" s="684">
        <v>13888</v>
      </c>
      <c r="K32" s="684">
        <v>15270</v>
      </c>
      <c r="L32" s="685">
        <v>16549</v>
      </c>
      <c r="M32" s="685">
        <v>18026</v>
      </c>
      <c r="N32" s="703">
        <v>18815</v>
      </c>
      <c r="O32" s="687">
        <v>19799</v>
      </c>
      <c r="P32" s="686">
        <v>21377</v>
      </c>
      <c r="Q32" s="686">
        <v>22527</v>
      </c>
      <c r="R32" s="686">
        <v>23623</v>
      </c>
      <c r="S32" s="688">
        <v>21546</v>
      </c>
    </row>
    <row r="33" spans="1:19" ht="14.25">
      <c r="A33" s="683"/>
      <c r="B33" s="692"/>
      <c r="C33" s="692"/>
      <c r="D33" s="692"/>
      <c r="E33" s="692"/>
      <c r="F33" s="692"/>
      <c r="G33" s="692"/>
      <c r="H33" s="692"/>
      <c r="I33" s="692"/>
      <c r="J33" s="692"/>
      <c r="K33" s="692"/>
      <c r="L33" s="692"/>
      <c r="M33" s="705"/>
      <c r="N33" s="706"/>
      <c r="O33" s="707"/>
      <c r="P33" s="708"/>
      <c r="Q33" s="708"/>
      <c r="R33" s="708"/>
      <c r="S33" s="709"/>
    </row>
    <row r="34" spans="1:19" ht="15">
      <c r="A34" s="676" t="s">
        <v>2397</v>
      </c>
      <c r="B34" s="692"/>
      <c r="C34" s="692"/>
      <c r="D34" s="692"/>
      <c r="E34" s="692"/>
      <c r="F34" s="692"/>
      <c r="G34" s="692"/>
      <c r="H34" s="692"/>
      <c r="I34" s="692"/>
      <c r="J34" s="692"/>
      <c r="K34" s="692"/>
      <c r="L34" s="692"/>
      <c r="M34" s="705"/>
      <c r="N34" s="706"/>
      <c r="O34" s="707"/>
      <c r="P34" s="708"/>
      <c r="Q34" s="708"/>
      <c r="R34" s="708"/>
      <c r="S34" s="709"/>
    </row>
    <row r="35" spans="1:19" ht="14.25">
      <c r="A35" s="683" t="s">
        <v>2398</v>
      </c>
      <c r="B35" s="710">
        <v>68.73</v>
      </c>
      <c r="C35" s="710">
        <v>66.18</v>
      </c>
      <c r="D35" s="710">
        <v>77.94</v>
      </c>
      <c r="E35" s="710">
        <v>76.27</v>
      </c>
      <c r="F35" s="710">
        <v>79.69</v>
      </c>
      <c r="G35" s="710">
        <v>78.01</v>
      </c>
      <c r="H35" s="710">
        <v>80.18</v>
      </c>
      <c r="I35" s="710">
        <v>78.45</v>
      </c>
      <c r="J35" s="710">
        <v>77.71</v>
      </c>
      <c r="K35" s="710">
        <v>78.25</v>
      </c>
      <c r="L35" s="711">
        <f aca="true" t="shared" si="1" ref="L35:R35">(L19+L20+L21)/L17*100</f>
        <v>77.6634562618268</v>
      </c>
      <c r="M35" s="711">
        <f t="shared" si="1"/>
        <v>78.26240780013507</v>
      </c>
      <c r="N35" s="711">
        <f t="shared" si="1"/>
        <v>84.64738650097414</v>
      </c>
      <c r="O35" s="712">
        <f t="shared" si="1"/>
        <v>82.7139300199033</v>
      </c>
      <c r="P35" s="713">
        <f t="shared" si="1"/>
        <v>84.22596278384773</v>
      </c>
      <c r="Q35" s="714">
        <f t="shared" si="1"/>
        <v>82.491093245552</v>
      </c>
      <c r="R35" s="713">
        <f t="shared" si="1"/>
        <v>78.17347406062275</v>
      </c>
      <c r="S35" s="715">
        <f>(S19+S20+S21)/S17*100</f>
        <v>79.1524453298485</v>
      </c>
    </row>
    <row r="36" spans="1:19" ht="14.25">
      <c r="A36" s="683" t="s">
        <v>2399</v>
      </c>
      <c r="B36" s="710">
        <v>31.27</v>
      </c>
      <c r="C36" s="710">
        <v>33.82</v>
      </c>
      <c r="D36" s="710">
        <v>22.06</v>
      </c>
      <c r="E36" s="710">
        <v>23.73</v>
      </c>
      <c r="F36" s="710">
        <v>20.31</v>
      </c>
      <c r="G36" s="710">
        <v>21.99</v>
      </c>
      <c r="H36" s="710">
        <v>19.82</v>
      </c>
      <c r="I36" s="710">
        <v>21.55</v>
      </c>
      <c r="J36" s="710">
        <v>22.29</v>
      </c>
      <c r="K36" s="710">
        <v>21.75</v>
      </c>
      <c r="L36" s="711">
        <f aca="true" t="shared" si="2" ref="L36:S36">100-L35</f>
        <v>22.336543738173205</v>
      </c>
      <c r="M36" s="711">
        <f t="shared" si="2"/>
        <v>21.737592199864935</v>
      </c>
      <c r="N36" s="711">
        <f t="shared" si="2"/>
        <v>15.352613499025864</v>
      </c>
      <c r="O36" s="712">
        <f t="shared" si="2"/>
        <v>17.2860699800967</v>
      </c>
      <c r="P36" s="713">
        <f t="shared" si="2"/>
        <v>15.774037216152266</v>
      </c>
      <c r="Q36" s="714">
        <f t="shared" si="2"/>
        <v>17.508906754448006</v>
      </c>
      <c r="R36" s="713">
        <f t="shared" si="2"/>
        <v>21.826525939377248</v>
      </c>
      <c r="S36" s="715">
        <f t="shared" si="2"/>
        <v>20.847554670151496</v>
      </c>
    </row>
    <row r="37" spans="1:19" ht="14.25">
      <c r="A37" s="683" t="s">
        <v>2400</v>
      </c>
      <c r="B37" s="710">
        <v>79</v>
      </c>
      <c r="C37" s="710">
        <v>101</v>
      </c>
      <c r="D37" s="710">
        <v>73</v>
      </c>
      <c r="E37" s="710">
        <v>89.17</v>
      </c>
      <c r="F37" s="710">
        <v>76.15</v>
      </c>
      <c r="G37" s="710">
        <v>86.3</v>
      </c>
      <c r="H37" s="710">
        <v>82.5</v>
      </c>
      <c r="I37" s="710">
        <v>93.78</v>
      </c>
      <c r="J37" s="710">
        <v>105.72</v>
      </c>
      <c r="K37" s="710">
        <v>111.65</v>
      </c>
      <c r="L37" s="711">
        <f aca="true" t="shared" si="3" ref="L37:R37">L24/L26</f>
        <v>113.3348155334573</v>
      </c>
      <c r="M37" s="711">
        <f t="shared" si="3"/>
        <v>114.58978494623656</v>
      </c>
      <c r="N37" s="711">
        <f t="shared" si="3"/>
        <v>80.31083956139872</v>
      </c>
      <c r="O37" s="716">
        <f t="shared" si="3"/>
        <v>98.29360874244557</v>
      </c>
      <c r="P37" s="714">
        <f t="shared" si="3"/>
        <v>94.92791455984312</v>
      </c>
      <c r="Q37" s="714">
        <f t="shared" si="3"/>
        <v>116.04575977466588</v>
      </c>
      <c r="R37" s="714">
        <f t="shared" si="3"/>
        <v>160.1526897205933</v>
      </c>
      <c r="S37" s="717">
        <f>S24/S26</f>
        <v>152.38060154408547</v>
      </c>
    </row>
    <row r="38" spans="1:19" ht="14.25">
      <c r="A38" s="683"/>
      <c r="B38" s="710"/>
      <c r="C38" s="710"/>
      <c r="D38" s="710"/>
      <c r="E38" s="710"/>
      <c r="F38" s="710"/>
      <c r="G38" s="710"/>
      <c r="H38" s="710"/>
      <c r="I38" s="710"/>
      <c r="J38" s="710"/>
      <c r="K38" s="710"/>
      <c r="L38" s="711"/>
      <c r="M38" s="711"/>
      <c r="N38" s="718"/>
      <c r="O38" s="716"/>
      <c r="P38" s="719"/>
      <c r="Q38" s="720"/>
      <c r="R38" s="719"/>
      <c r="S38" s="721"/>
    </row>
    <row r="39" spans="1:19" ht="14.25">
      <c r="A39" s="683" t="s">
        <v>2401</v>
      </c>
      <c r="B39" s="684">
        <v>5337796</v>
      </c>
      <c r="C39" s="684">
        <v>7616525</v>
      </c>
      <c r="D39" s="684">
        <v>6796364</v>
      </c>
      <c r="E39" s="684">
        <v>9054017</v>
      </c>
      <c r="F39" s="684">
        <v>7819013</v>
      </c>
      <c r="G39" s="684">
        <v>8352254</v>
      </c>
      <c r="H39" s="684">
        <v>7986492</v>
      </c>
      <c r="I39" s="684">
        <v>11154070</v>
      </c>
      <c r="J39" s="684">
        <v>10388022</v>
      </c>
      <c r="K39" s="684">
        <v>11542010</v>
      </c>
      <c r="L39" s="685">
        <f>L14+L24</f>
        <v>12120490</v>
      </c>
      <c r="M39" s="685">
        <f>M14+M24</f>
        <v>12524657</v>
      </c>
      <c r="N39" s="685">
        <f>N14+N24</f>
        <v>11193388</v>
      </c>
      <c r="O39" s="687">
        <f>O14+O24</f>
        <v>14827992</v>
      </c>
      <c r="P39" s="686">
        <f>SUM(P14+P24)</f>
        <v>14148849.43</v>
      </c>
      <c r="Q39" s="722">
        <f>SUM(Q14+Q24)</f>
        <v>16055436.614999996</v>
      </c>
      <c r="R39" s="686">
        <f>SUM(R14+R24)</f>
        <v>14948065.729999999</v>
      </c>
      <c r="S39" s="688">
        <f>SUM(S14+S24)</f>
        <v>15668434</v>
      </c>
    </row>
    <row r="40" spans="1:19" ht="14.25">
      <c r="A40" s="683" t="s">
        <v>2402</v>
      </c>
      <c r="B40" s="710">
        <v>94.88</v>
      </c>
      <c r="C40" s="710">
        <v>123.13</v>
      </c>
      <c r="D40" s="710">
        <v>114.51</v>
      </c>
      <c r="E40" s="710">
        <v>149.55</v>
      </c>
      <c r="F40" s="710">
        <v>127.82</v>
      </c>
      <c r="G40" s="710">
        <v>137.62</v>
      </c>
      <c r="H40" s="710">
        <v>129.05</v>
      </c>
      <c r="I40" s="710">
        <v>180.26</v>
      </c>
      <c r="J40" s="710">
        <v>147.44</v>
      </c>
      <c r="K40" s="710">
        <v>160.71</v>
      </c>
      <c r="L40" s="711">
        <f>L39/L26</f>
        <v>163.31810709569623</v>
      </c>
      <c r="M40" s="711">
        <f>M39/M26</f>
        <v>168.34216397849463</v>
      </c>
      <c r="N40" s="711">
        <f>N39/N26</f>
        <v>152.65653810484972</v>
      </c>
      <c r="O40" s="712">
        <f>SUM(O39/O26)</f>
        <v>204.59740044705688</v>
      </c>
      <c r="P40" s="713">
        <f>SUM(P39/P26)</f>
        <v>198.17703522655648</v>
      </c>
      <c r="Q40" s="714">
        <f>SUM(Q39/Q26)</f>
        <v>233.7103935340184</v>
      </c>
      <c r="R40" s="713">
        <f>SUM(R39/R26)</f>
        <v>214.8451438714499</v>
      </c>
      <c r="S40" s="715">
        <f>SUM(S39/S26)</f>
        <v>221.14626469633455</v>
      </c>
    </row>
    <row r="41" spans="1:19" ht="14.25">
      <c r="A41" s="683"/>
      <c r="B41" s="710"/>
      <c r="C41" s="710"/>
      <c r="D41" s="710"/>
      <c r="E41" s="710"/>
      <c r="F41" s="710"/>
      <c r="G41" s="710"/>
      <c r="H41" s="710"/>
      <c r="I41" s="710"/>
      <c r="J41" s="710"/>
      <c r="K41" s="710"/>
      <c r="L41" s="711"/>
      <c r="M41" s="711"/>
      <c r="N41" s="723"/>
      <c r="O41" s="712"/>
      <c r="P41" s="719"/>
      <c r="Q41" s="720"/>
      <c r="R41" s="719"/>
      <c r="S41" s="721"/>
    </row>
    <row r="42" spans="1:19" ht="14.25">
      <c r="A42" s="683" t="s">
        <v>2403</v>
      </c>
      <c r="B42" s="710"/>
      <c r="C42" s="710"/>
      <c r="D42" s="684">
        <v>1466681</v>
      </c>
      <c r="E42" s="684">
        <v>1660649</v>
      </c>
      <c r="F42" s="684">
        <v>1785131</v>
      </c>
      <c r="G42" s="684">
        <v>1962483</v>
      </c>
      <c r="H42" s="684">
        <v>2041353</v>
      </c>
      <c r="I42" s="684">
        <v>2150058</v>
      </c>
      <c r="J42" s="684">
        <v>2315255</v>
      </c>
      <c r="K42" s="684">
        <v>2414669</v>
      </c>
      <c r="L42" s="685">
        <v>2577000000</v>
      </c>
      <c r="M42" s="685">
        <v>2815000000</v>
      </c>
      <c r="N42" s="703">
        <v>2984000000</v>
      </c>
      <c r="O42" s="687">
        <v>3222000000</v>
      </c>
      <c r="P42" s="686">
        <v>3535000000</v>
      </c>
      <c r="Q42" s="686">
        <v>3689000000</v>
      </c>
      <c r="R42" s="686">
        <v>3649000000</v>
      </c>
      <c r="S42" s="688">
        <v>3718000000</v>
      </c>
    </row>
    <row r="43" spans="1:19" ht="15" thickBot="1">
      <c r="A43" s="724" t="s">
        <v>2404</v>
      </c>
      <c r="B43" s="725"/>
      <c r="C43" s="725"/>
      <c r="D43" s="725">
        <v>1.52</v>
      </c>
      <c r="E43" s="726">
        <v>1.6</v>
      </c>
      <c r="F43" s="725">
        <v>1.47</v>
      </c>
      <c r="G43" s="725">
        <v>1.38</v>
      </c>
      <c r="H43" s="725">
        <v>1.42</v>
      </c>
      <c r="I43" s="725">
        <v>1.52</v>
      </c>
      <c r="J43" s="725">
        <v>1.59</v>
      </c>
      <c r="K43" s="726">
        <v>1.7</v>
      </c>
      <c r="L43" s="727">
        <f aca="true" t="shared" si="4" ref="L43:S43">L13/L42*100</f>
        <v>1.746463135428793</v>
      </c>
      <c r="M43" s="727">
        <f t="shared" si="4"/>
        <v>1.6933996092362342</v>
      </c>
      <c r="N43" s="727">
        <f t="shared" si="4"/>
        <v>1.7264324731903486</v>
      </c>
      <c r="O43" s="728">
        <f t="shared" si="4"/>
        <v>1.7259614525139664</v>
      </c>
      <c r="P43" s="728">
        <f t="shared" si="4"/>
        <v>1.6473506757567185</v>
      </c>
      <c r="Q43" s="729">
        <f t="shared" si="4"/>
        <v>1.6218053894009217</v>
      </c>
      <c r="R43" s="728">
        <f t="shared" si="4"/>
        <v>1.6376023176212655</v>
      </c>
      <c r="S43" s="730">
        <f t="shared" si="4"/>
        <v>1.6479444055944055</v>
      </c>
    </row>
    <row r="44" spans="1:18" ht="7.5" customHeight="1">
      <c r="A44" s="731"/>
      <c r="B44" s="732"/>
      <c r="C44" s="732"/>
      <c r="D44" s="732"/>
      <c r="E44" s="733"/>
      <c r="F44" s="732"/>
      <c r="G44" s="732"/>
      <c r="H44" s="732"/>
      <c r="I44" s="732"/>
      <c r="J44" s="732"/>
      <c r="K44" s="733"/>
      <c r="L44" s="734"/>
      <c r="M44" s="734"/>
      <c r="N44" s="734"/>
      <c r="O44" s="735"/>
      <c r="P44" s="735"/>
      <c r="Q44" s="735"/>
      <c r="R44" s="735"/>
    </row>
    <row r="45" spans="1:15" ht="12.75">
      <c r="A45" s="732" t="s">
        <v>2405</v>
      </c>
      <c r="B45" s="732"/>
      <c r="C45" s="732"/>
      <c r="D45" s="732"/>
      <c r="E45" s="732"/>
      <c r="F45" s="732"/>
      <c r="G45" s="732"/>
      <c r="H45" s="732"/>
      <c r="I45" s="732"/>
      <c r="J45" s="732"/>
      <c r="K45" s="732"/>
      <c r="L45" s="732"/>
      <c r="M45" s="736"/>
      <c r="N45" s="736"/>
      <c r="O45" s="736"/>
    </row>
    <row r="46" spans="1:2" ht="12.75">
      <c r="A46" s="737" t="s">
        <v>2406</v>
      </c>
      <c r="B46" s="736"/>
    </row>
    <row r="47" s="660" customFormat="1" ht="11.25">
      <c r="A47" s="660" t="s">
        <v>2407</v>
      </c>
    </row>
    <row r="48" s="660" customFormat="1" ht="11.25">
      <c r="A48" s="660" t="s">
        <v>2408</v>
      </c>
    </row>
    <row r="49" s="660" customFormat="1" ht="11.25">
      <c r="A49" s="660" t="s">
        <v>2409</v>
      </c>
    </row>
    <row r="50" spans="1:18" ht="24.75" customHeight="1">
      <c r="A50" s="1084" t="s">
        <v>2410</v>
      </c>
      <c r="B50" s="1084"/>
      <c r="C50" s="1084"/>
      <c r="D50" s="1084"/>
      <c r="E50" s="1084"/>
      <c r="F50" s="1084"/>
      <c r="G50" s="1084"/>
      <c r="H50" s="1084"/>
      <c r="I50" s="1084"/>
      <c r="J50" s="1084"/>
      <c r="K50" s="1084"/>
      <c r="L50" s="1084"/>
      <c r="M50" s="1084"/>
      <c r="N50" s="1084"/>
      <c r="O50" s="1084"/>
      <c r="P50" s="1084"/>
      <c r="Q50" s="1084"/>
      <c r="R50" s="1084"/>
    </row>
    <row r="51" spans="10:13" ht="12.75">
      <c r="J51" s="738"/>
      <c r="M51" s="739"/>
    </row>
    <row r="52" spans="1:19" ht="12.75">
      <c r="A52" s="740" t="s">
        <v>2411</v>
      </c>
      <c r="J52" s="738"/>
      <c r="M52" s="739"/>
      <c r="N52" s="740" t="s">
        <v>2412</v>
      </c>
      <c r="R52" s="1085" t="s">
        <v>2137</v>
      </c>
      <c r="S52" s="1085"/>
    </row>
    <row r="53" spans="10:13" ht="12.75">
      <c r="J53" s="738"/>
      <c r="M53" s="739"/>
    </row>
  </sheetData>
  <mergeCells count="3">
    <mergeCell ref="A50:R50"/>
    <mergeCell ref="R52:S52"/>
    <mergeCell ref="A3:S3"/>
  </mergeCells>
  <printOptions horizontalCentered="1"/>
  <pageMargins left="0.7874015748031497" right="0.7874015748031497" top="0.984251968503937" bottom="0.5905511811023623" header="0.7086614173228347" footer="0.11811023622047245"/>
  <pageSetup fitToHeight="1" fitToWidth="1" horizontalDpi="600" verticalDpi="600" orientation="landscape" paperSize="9" scale="64" r:id="rId1"/>
  <headerFooter alignWithMargins="0">
    <oddFooter>&amp;C&amp;12&amp;P+161
&amp;11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zoomScale="75" zoomScaleNormal="75" workbookViewId="0" topLeftCell="B7">
      <selection activeCell="G28" sqref="G28"/>
    </sheetView>
  </sheetViews>
  <sheetFormatPr defaultColWidth="9.00390625" defaultRowHeight="12.75"/>
  <cols>
    <col min="1" max="1" width="1.875" style="3" customWidth="1"/>
    <col min="2" max="2" width="4.75390625" style="1" customWidth="1"/>
    <col min="3" max="3" width="2.00390625" style="3" customWidth="1"/>
    <col min="4" max="4" width="10.00390625" style="3" customWidth="1"/>
    <col min="5" max="5" width="8.125" style="3" customWidth="1"/>
    <col min="6" max="6" width="10.625" style="3" customWidth="1"/>
    <col min="7" max="7" width="8.75390625" style="3" customWidth="1"/>
    <col min="8" max="8" width="1.75390625" style="3" customWidth="1"/>
    <col min="9" max="9" width="3.75390625" style="3" customWidth="1"/>
    <col min="10" max="10" width="2.25390625" style="3" hidden="1" customWidth="1"/>
    <col min="11" max="11" width="17.00390625" style="3" customWidth="1"/>
    <col min="12" max="12" width="17.25390625" style="3" customWidth="1"/>
    <col min="13" max="13" width="2.125" style="3" customWidth="1"/>
    <col min="14" max="14" width="13.25390625" style="0" customWidth="1"/>
    <col min="15" max="15" width="13.875" style="3" customWidth="1"/>
    <col min="16" max="16" width="2.625" style="2" customWidth="1"/>
    <col min="17" max="17" width="12.75390625" style="3" customWidth="1"/>
    <col min="18" max="18" width="13.125" style="3" customWidth="1"/>
    <col min="19" max="19" width="2.875" style="3" customWidth="1"/>
    <col min="20" max="20" width="5.625" style="3" customWidth="1"/>
    <col min="21" max="21" width="8.25390625" style="3" customWidth="1"/>
    <col min="22" max="22" width="11.125" style="3" customWidth="1"/>
    <col min="23" max="23" width="12.25390625" style="3" customWidth="1"/>
    <col min="24" max="24" width="2.75390625" style="3" customWidth="1"/>
    <col min="25" max="25" width="8.25390625" style="85" customWidth="1"/>
    <col min="26" max="26" width="7.375" style="85" customWidth="1"/>
    <col min="27" max="27" width="8.375" style="85" customWidth="1"/>
    <col min="28" max="28" width="12.125" style="85" customWidth="1"/>
    <col min="29" max="29" width="4.00390625" style="3" customWidth="1"/>
    <col min="30" max="16384" width="9.125" style="3" customWidth="1"/>
  </cols>
  <sheetData>
    <row r="1" spans="2:29" s="70" customFormat="1" ht="52.5" customHeight="1">
      <c r="B1" s="1087" t="s">
        <v>2105</v>
      </c>
      <c r="C1" s="1087"/>
      <c r="D1" s="1087"/>
      <c r="E1" s="1087"/>
      <c r="F1" s="1087"/>
      <c r="G1" s="1087"/>
      <c r="H1" s="1087"/>
      <c r="I1" s="1087"/>
      <c r="J1" s="1087"/>
      <c r="K1" s="1087"/>
      <c r="L1" s="1087"/>
      <c r="M1" s="1087"/>
      <c r="N1" s="1087"/>
      <c r="O1" s="1087"/>
      <c r="P1" s="1087"/>
      <c r="Q1" s="1087"/>
      <c r="R1" s="1087"/>
      <c r="S1" s="1087"/>
      <c r="T1" s="1087"/>
      <c r="U1" s="1087"/>
      <c r="V1" s="1087"/>
      <c r="W1" s="1087"/>
      <c r="X1" s="1087"/>
      <c r="Y1" s="1087"/>
      <c r="Z1" s="1087"/>
      <c r="AA1" s="1087"/>
      <c r="AB1" s="1087"/>
      <c r="AC1" s="71"/>
    </row>
    <row r="2" spans="2:28" s="72" customFormat="1" ht="9.75" customHeight="1" thickBot="1">
      <c r="B2" s="73"/>
      <c r="E2" s="74"/>
      <c r="F2" s="75"/>
      <c r="G2" s="75"/>
      <c r="H2" s="75"/>
      <c r="I2" s="75"/>
      <c r="J2" s="75"/>
      <c r="K2" s="75"/>
      <c r="L2" s="75"/>
      <c r="M2" s="75"/>
      <c r="N2" s="76"/>
      <c r="O2" s="75"/>
      <c r="P2" s="77"/>
      <c r="Q2" s="75"/>
      <c r="R2" s="75"/>
      <c r="S2" s="75"/>
      <c r="T2" s="75"/>
      <c r="U2" s="75"/>
      <c r="V2" s="75"/>
      <c r="W2" s="75"/>
      <c r="X2" s="75"/>
      <c r="Y2" s="77"/>
      <c r="Z2" s="77"/>
      <c r="AA2" s="77"/>
      <c r="AB2" s="78"/>
    </row>
    <row r="3" spans="2:28" s="79" customFormat="1" ht="28.5" customHeight="1" hidden="1">
      <c r="B3" s="73"/>
      <c r="E3" s="80"/>
      <c r="F3" s="81"/>
      <c r="G3" s="81"/>
      <c r="H3" s="81"/>
      <c r="I3" s="81"/>
      <c r="J3" s="81"/>
      <c r="K3" s="81"/>
      <c r="L3" s="81"/>
      <c r="M3" s="81"/>
      <c r="N3" s="76"/>
      <c r="O3" s="81"/>
      <c r="P3" s="77"/>
      <c r="Q3" s="81"/>
      <c r="R3" s="81"/>
      <c r="S3" s="81"/>
      <c r="T3" s="81"/>
      <c r="U3" s="81"/>
      <c r="V3" s="81"/>
      <c r="W3" s="81"/>
      <c r="X3" s="81"/>
      <c r="Y3" s="77"/>
      <c r="Z3" s="77"/>
      <c r="AA3" s="77"/>
      <c r="AB3" s="78"/>
    </row>
    <row r="4" spans="8:25" ht="29.25" customHeight="1" thickBot="1">
      <c r="H4"/>
      <c r="I4"/>
      <c r="J4"/>
      <c r="K4"/>
      <c r="L4"/>
      <c r="M4"/>
      <c r="O4" s="82" t="s">
        <v>2019</v>
      </c>
      <c r="P4" s="83"/>
      <c r="Q4" s="83"/>
      <c r="R4" s="83"/>
      <c r="S4" s="83"/>
      <c r="T4" s="83"/>
      <c r="U4" s="84"/>
      <c r="V4"/>
      <c r="W4"/>
      <c r="X4"/>
      <c r="Y4" s="69"/>
    </row>
    <row r="5" spans="5:26" ht="9.75" customHeight="1" thickBot="1">
      <c r="E5" s="4"/>
      <c r="F5" s="5"/>
      <c r="G5" s="5"/>
      <c r="H5" s="5"/>
      <c r="I5" s="5"/>
      <c r="J5" s="5"/>
      <c r="K5" s="5"/>
      <c r="L5" s="5"/>
      <c r="M5" s="5"/>
      <c r="N5" s="5"/>
      <c r="O5" s="6"/>
      <c r="P5" s="5"/>
      <c r="Q5" s="7"/>
      <c r="R5" s="8"/>
      <c r="S5" s="8"/>
      <c r="T5" s="8"/>
      <c r="U5" s="8"/>
      <c r="V5" s="5"/>
      <c r="W5" s="8"/>
      <c r="X5" s="5"/>
      <c r="Y5" s="86"/>
      <c r="Z5" s="87"/>
    </row>
    <row r="6" spans="2:26" ht="17.25" customHeight="1" thickBot="1">
      <c r="B6" s="9"/>
      <c r="C6" s="10"/>
      <c r="D6" s="11"/>
      <c r="E6" s="12"/>
      <c r="F6" s="13"/>
      <c r="G6" s="13"/>
      <c r="H6" s="13"/>
      <c r="I6" s="13"/>
      <c r="J6" s="13"/>
      <c r="K6" s="14"/>
      <c r="L6" s="13"/>
      <c r="M6" s="13"/>
      <c r="N6" s="14"/>
      <c r="O6" s="13"/>
      <c r="P6" s="10"/>
      <c r="Q6" s="14"/>
      <c r="R6" s="13"/>
      <c r="S6" s="15"/>
      <c r="T6" s="15"/>
      <c r="U6" s="16"/>
      <c r="V6" s="15"/>
      <c r="W6"/>
      <c r="X6"/>
      <c r="Y6" s="69"/>
      <c r="Z6" s="88"/>
    </row>
    <row r="7" spans="2:28" s="21" customFormat="1" ht="26.25" customHeight="1">
      <c r="B7" s="9"/>
      <c r="C7" s="10"/>
      <c r="D7" s="1088" t="s">
        <v>2065</v>
      </c>
      <c r="E7" s="1089"/>
      <c r="F7" s="1089"/>
      <c r="G7" s="1090"/>
      <c r="H7" s="18" t="s">
        <v>2066</v>
      </c>
      <c r="I7" s="19"/>
      <c r="J7" s="19"/>
      <c r="K7" s="1091" t="s">
        <v>2020</v>
      </c>
      <c r="L7" s="1092"/>
      <c r="M7" s="19"/>
      <c r="N7" s="1091" t="s">
        <v>2067</v>
      </c>
      <c r="O7" s="1092"/>
      <c r="P7" s="10"/>
      <c r="Q7" s="1093" t="s">
        <v>2067</v>
      </c>
      <c r="R7" s="1090"/>
      <c r="S7"/>
      <c r="T7" s="1094" t="s">
        <v>2068</v>
      </c>
      <c r="U7" s="1095"/>
      <c r="V7" s="1095"/>
      <c r="W7" s="1096"/>
      <c r="X7" s="20"/>
      <c r="Y7" s="1097" t="s">
        <v>2069</v>
      </c>
      <c r="Z7" s="1098"/>
      <c r="AA7" s="1098"/>
      <c r="AB7" s="1099"/>
    </row>
    <row r="8" spans="2:28" ht="21" customHeight="1" thickBot="1">
      <c r="B8" s="9"/>
      <c r="C8" s="22"/>
      <c r="D8" s="1113" t="s">
        <v>2070</v>
      </c>
      <c r="E8" s="1114"/>
      <c r="F8" s="1114"/>
      <c r="G8" s="1115"/>
      <c r="H8" s="23"/>
      <c r="I8" s="19"/>
      <c r="J8" s="19"/>
      <c r="K8" s="1116" t="s">
        <v>2021</v>
      </c>
      <c r="L8" s="1117"/>
      <c r="M8" s="19"/>
      <c r="N8" s="1116" t="s">
        <v>2071</v>
      </c>
      <c r="O8" s="1117"/>
      <c r="P8" s="10"/>
      <c r="Q8" s="1118" t="s">
        <v>2072</v>
      </c>
      <c r="R8" s="1119"/>
      <c r="S8"/>
      <c r="T8" s="1100" t="s">
        <v>2073</v>
      </c>
      <c r="U8" s="1101"/>
      <c r="V8" s="1101"/>
      <c r="W8" s="1102"/>
      <c r="X8"/>
      <c r="Y8" s="1103" t="s">
        <v>2074</v>
      </c>
      <c r="Z8" s="1104"/>
      <c r="AA8" s="1104"/>
      <c r="AB8" s="1105"/>
    </row>
    <row r="9" spans="2:29" ht="14.25" customHeight="1" thickBot="1">
      <c r="B9" s="24"/>
      <c r="C9" s="25"/>
      <c r="D9" s="26"/>
      <c r="E9" s="27"/>
      <c r="F9" s="26"/>
      <c r="G9" s="26"/>
      <c r="H9" s="28"/>
      <c r="I9" s="29" t="s">
        <v>2075</v>
      </c>
      <c r="J9" s="29"/>
      <c r="K9" s="30"/>
      <c r="L9" s="31"/>
      <c r="M9" s="29"/>
      <c r="N9" s="30"/>
      <c r="O9" s="31"/>
      <c r="P9" s="10"/>
      <c r="Q9" s="32"/>
      <c r="R9" s="10"/>
      <c r="S9"/>
      <c r="T9"/>
      <c r="U9" s="17"/>
      <c r="V9"/>
      <c r="W9"/>
      <c r="X9"/>
      <c r="Y9" s="69"/>
      <c r="Z9" s="88"/>
      <c r="AA9" s="69"/>
      <c r="AB9" s="69"/>
      <c r="AC9"/>
    </row>
    <row r="10" spans="2:29" ht="35.25" customHeight="1" thickBot="1">
      <c r="B10" s="24" t="s">
        <v>2076</v>
      </c>
      <c r="C10" s="33"/>
      <c r="D10" s="1106" t="s">
        <v>2022</v>
      </c>
      <c r="E10" s="1107"/>
      <c r="F10" s="1107"/>
      <c r="G10" s="1108"/>
      <c r="H10" s="34"/>
      <c r="I10" s="19"/>
      <c r="J10" s="19"/>
      <c r="K10" s="1109" t="s">
        <v>2023</v>
      </c>
      <c r="L10" s="1110"/>
      <c r="M10" s="19"/>
      <c r="N10" s="1111" t="s">
        <v>2090</v>
      </c>
      <c r="O10" s="1112"/>
      <c r="P10" s="10"/>
      <c r="Q10" s="89" t="s">
        <v>2077</v>
      </c>
      <c r="R10" s="90"/>
      <c r="S10" s="69"/>
      <c r="T10" s="91" t="s">
        <v>2092</v>
      </c>
      <c r="U10" s="92"/>
      <c r="V10" s="92"/>
      <c r="W10" s="93"/>
      <c r="X10" s="69"/>
      <c r="Y10" s="69"/>
      <c r="Z10" s="88"/>
      <c r="AA10" s="69"/>
      <c r="AB10" s="69"/>
      <c r="AC10"/>
    </row>
    <row r="11" spans="2:29" ht="18.75" customHeight="1" thickBot="1">
      <c r="B11" s="24"/>
      <c r="C11" s="33"/>
      <c r="D11" s="94" t="s">
        <v>2078</v>
      </c>
      <c r="E11" s="95"/>
      <c r="F11" s="95"/>
      <c r="G11" s="96"/>
      <c r="H11" s="34"/>
      <c r="I11" s="19"/>
      <c r="J11" s="19"/>
      <c r="K11" s="30"/>
      <c r="L11" s="31"/>
      <c r="M11" s="19"/>
      <c r="N11" s="30"/>
      <c r="O11" s="31"/>
      <c r="P11" s="10"/>
      <c r="Q11" s="32"/>
      <c r="R11" s="97"/>
      <c r="S11" s="69"/>
      <c r="T11" s="85"/>
      <c r="U11" s="85"/>
      <c r="V11" s="98"/>
      <c r="W11" s="85"/>
      <c r="X11" s="99"/>
      <c r="Y11" s="99"/>
      <c r="Z11" s="100"/>
      <c r="AA11" s="99"/>
      <c r="AB11" s="99"/>
      <c r="AC11" s="20"/>
    </row>
    <row r="12" spans="2:29" ht="48.75" customHeight="1" thickBot="1">
      <c r="B12" s="24" t="s">
        <v>2079</v>
      </c>
      <c r="C12" s="33"/>
      <c r="D12" s="101"/>
      <c r="E12" s="102"/>
      <c r="F12" s="103"/>
      <c r="G12" s="103"/>
      <c r="H12" s="34"/>
      <c r="I12" s="10"/>
      <c r="J12" s="10"/>
      <c r="K12" s="1109" t="s">
        <v>2024</v>
      </c>
      <c r="L12" s="1110"/>
      <c r="M12" s="10"/>
      <c r="N12" s="1120" t="s">
        <v>2080</v>
      </c>
      <c r="O12" s="1121"/>
      <c r="P12" s="10"/>
      <c r="Q12" s="89" t="s">
        <v>2081</v>
      </c>
      <c r="R12" s="90"/>
      <c r="S12" s="69"/>
      <c r="T12" s="104" t="s">
        <v>2025</v>
      </c>
      <c r="U12" s="92"/>
      <c r="V12" s="92"/>
      <c r="W12" s="93"/>
      <c r="X12" s="99"/>
      <c r="Y12" s="99"/>
      <c r="Z12" s="100"/>
      <c r="AA12" s="99"/>
      <c r="AB12" s="99"/>
      <c r="AC12" s="20"/>
    </row>
    <row r="13" spans="2:29" ht="14.25" customHeight="1" thickBot="1">
      <c r="B13" s="24"/>
      <c r="C13" s="33"/>
      <c r="D13" s="40"/>
      <c r="E13" s="41"/>
      <c r="F13" s="40"/>
      <c r="G13" s="40"/>
      <c r="H13" s="34"/>
      <c r="I13" s="10"/>
      <c r="J13" s="10"/>
      <c r="K13" s="30"/>
      <c r="L13" s="31"/>
      <c r="M13" s="10"/>
      <c r="N13" s="30"/>
      <c r="O13" s="31"/>
      <c r="P13" s="10"/>
      <c r="Q13" s="32"/>
      <c r="R13" s="97"/>
      <c r="S13" s="69"/>
      <c r="T13" s="85"/>
      <c r="U13" s="85"/>
      <c r="V13" s="98"/>
      <c r="W13" s="85"/>
      <c r="X13" s="99"/>
      <c r="Y13" s="99"/>
      <c r="Z13" s="100"/>
      <c r="AA13" s="99"/>
      <c r="AB13" s="99"/>
      <c r="AC13" s="20"/>
    </row>
    <row r="14" spans="2:29" ht="43.5" customHeight="1" thickBot="1">
      <c r="B14" s="9" t="s">
        <v>2059</v>
      </c>
      <c r="C14" s="33"/>
      <c r="D14" s="42"/>
      <c r="E14" s="43"/>
      <c r="F14" s="44"/>
      <c r="G14" s="44"/>
      <c r="H14" s="34"/>
      <c r="I14" s="10"/>
      <c r="J14" s="10"/>
      <c r="K14" s="1109" t="s">
        <v>2026</v>
      </c>
      <c r="L14" s="1110"/>
      <c r="M14" s="10"/>
      <c r="N14" s="1120" t="s">
        <v>2060</v>
      </c>
      <c r="O14" s="1121"/>
      <c r="P14" s="10"/>
      <c r="Q14" s="89" t="s">
        <v>2061</v>
      </c>
      <c r="R14" s="90"/>
      <c r="S14" s="69"/>
      <c r="T14" s="91" t="s">
        <v>2094</v>
      </c>
      <c r="U14" s="92"/>
      <c r="V14" s="92"/>
      <c r="W14" s="93"/>
      <c r="X14" s="99"/>
      <c r="Y14" s="99"/>
      <c r="Z14" s="100"/>
      <c r="AA14" s="99"/>
      <c r="AB14" s="99"/>
      <c r="AC14" s="20"/>
    </row>
    <row r="15" spans="2:29" ht="15.75" customHeight="1" thickBot="1">
      <c r="B15" s="24"/>
      <c r="C15" s="33"/>
      <c r="D15" s="105" t="s">
        <v>2027</v>
      </c>
      <c r="E15" s="45"/>
      <c r="F15" s="45"/>
      <c r="G15" s="46"/>
      <c r="H15" s="34"/>
      <c r="I15" s="19"/>
      <c r="J15" s="19"/>
      <c r="K15" s="30"/>
      <c r="L15" s="31"/>
      <c r="M15" s="19"/>
      <c r="N15" s="30"/>
      <c r="O15" s="31"/>
      <c r="P15" s="10"/>
      <c r="Q15" s="32"/>
      <c r="R15" s="97"/>
      <c r="S15" s="69"/>
      <c r="T15" s="85"/>
      <c r="U15" s="85"/>
      <c r="V15" s="98"/>
      <c r="W15" s="85"/>
      <c r="X15" s="99"/>
      <c r="Y15" s="99"/>
      <c r="Z15" s="100"/>
      <c r="AA15" s="99"/>
      <c r="AB15" s="99"/>
      <c r="AC15" s="20"/>
    </row>
    <row r="16" spans="2:29" ht="45.75" customHeight="1" thickBot="1">
      <c r="B16" s="24" t="s">
        <v>2079</v>
      </c>
      <c r="C16" s="33"/>
      <c r="D16" s="36" t="s">
        <v>2078</v>
      </c>
      <c r="E16" s="37"/>
      <c r="F16" s="37"/>
      <c r="G16" s="38"/>
      <c r="H16" s="34"/>
      <c r="I16" s="19"/>
      <c r="J16" s="19"/>
      <c r="K16" s="1109" t="s">
        <v>2028</v>
      </c>
      <c r="L16" s="1110"/>
      <c r="M16" s="19"/>
      <c r="N16" s="1120" t="s">
        <v>2062</v>
      </c>
      <c r="O16" s="1121"/>
      <c r="P16" s="10"/>
      <c r="Q16" s="89" t="s">
        <v>2053</v>
      </c>
      <c r="R16" s="90"/>
      <c r="S16" s="69"/>
      <c r="T16" s="1122" t="s">
        <v>2029</v>
      </c>
      <c r="U16" s="1123"/>
      <c r="V16" s="1123"/>
      <c r="W16" s="1124"/>
      <c r="X16" s="99"/>
      <c r="Y16" s="99"/>
      <c r="Z16" s="100"/>
      <c r="AA16" s="99"/>
      <c r="AB16" s="99"/>
      <c r="AC16" s="20"/>
    </row>
    <row r="17" spans="2:29" ht="21.75" customHeight="1" thickBot="1">
      <c r="B17" s="24"/>
      <c r="C17" s="33"/>
      <c r="D17" s="39" t="s">
        <v>2030</v>
      </c>
      <c r="E17" s="47"/>
      <c r="F17" s="47"/>
      <c r="G17" s="48"/>
      <c r="H17" s="34"/>
      <c r="I17" s="19"/>
      <c r="J17" s="19"/>
      <c r="K17" s="30"/>
      <c r="L17" s="31"/>
      <c r="M17" s="19"/>
      <c r="N17" s="30"/>
      <c r="O17" s="31"/>
      <c r="P17" s="10"/>
      <c r="Q17" s="32"/>
      <c r="R17" s="97"/>
      <c r="S17" s="69"/>
      <c r="T17" s="85"/>
      <c r="U17" s="85"/>
      <c r="V17" s="98"/>
      <c r="W17" s="85"/>
      <c r="X17" s="99"/>
      <c r="Y17" s="99"/>
      <c r="Z17" s="100"/>
      <c r="AA17" s="99"/>
      <c r="AB17" s="99"/>
      <c r="AC17" s="20"/>
    </row>
    <row r="18" spans="2:29" ht="44.25" customHeight="1" thickBot="1">
      <c r="B18" s="24" t="s">
        <v>2054</v>
      </c>
      <c r="C18" s="33"/>
      <c r="D18" s="49"/>
      <c r="E18" s="50"/>
      <c r="F18" s="49"/>
      <c r="G18" s="49"/>
      <c r="H18" s="51"/>
      <c r="I18" s="52"/>
      <c r="J18" s="52"/>
      <c r="K18" s="1109" t="s">
        <v>2031</v>
      </c>
      <c r="L18" s="1110"/>
      <c r="M18" s="52"/>
      <c r="N18" s="1120" t="s">
        <v>2055</v>
      </c>
      <c r="O18" s="1121"/>
      <c r="P18" s="10"/>
      <c r="Q18" s="89" t="s">
        <v>2096</v>
      </c>
      <c r="R18" s="90"/>
      <c r="S18" s="69"/>
      <c r="T18" s="91" t="s">
        <v>2032</v>
      </c>
      <c r="U18" s="92"/>
      <c r="V18" s="92"/>
      <c r="W18" s="93"/>
      <c r="X18" s="99"/>
      <c r="Y18" s="99"/>
      <c r="Z18" s="100"/>
      <c r="AA18" s="99"/>
      <c r="AB18" s="99"/>
      <c r="AC18" s="20"/>
    </row>
    <row r="19" spans="2:29" ht="15.75" customHeight="1" thickBot="1">
      <c r="B19" s="24"/>
      <c r="C19" s="33"/>
      <c r="D19" s="106"/>
      <c r="E19" s="107"/>
      <c r="F19" s="107"/>
      <c r="G19" s="108"/>
      <c r="H19" s="51"/>
      <c r="I19" s="53"/>
      <c r="J19" s="10"/>
      <c r="K19" s="30"/>
      <c r="L19" s="31"/>
      <c r="M19" s="10"/>
      <c r="N19" s="30"/>
      <c r="O19" s="31"/>
      <c r="P19" s="10"/>
      <c r="Q19" s="32"/>
      <c r="R19" s="97"/>
      <c r="S19" s="69"/>
      <c r="T19" s="85"/>
      <c r="U19" s="85"/>
      <c r="V19" s="98"/>
      <c r="W19" s="85"/>
      <c r="X19" s="99"/>
      <c r="Y19" s="99"/>
      <c r="Z19" s="100"/>
      <c r="AA19" s="99"/>
      <c r="AB19" s="99"/>
      <c r="AC19" s="20"/>
    </row>
    <row r="20" spans="2:29" ht="44.25" customHeight="1" thickBot="1">
      <c r="B20" s="24" t="s">
        <v>2097</v>
      </c>
      <c r="C20" s="33"/>
      <c r="D20" s="1125" t="s">
        <v>2033</v>
      </c>
      <c r="E20" s="1126"/>
      <c r="F20" s="1126"/>
      <c r="G20" s="109"/>
      <c r="H20" s="51"/>
      <c r="I20" s="53"/>
      <c r="J20" s="10"/>
      <c r="K20" s="1109" t="s">
        <v>2034</v>
      </c>
      <c r="L20" s="1110"/>
      <c r="M20" s="10"/>
      <c r="N20" s="1120" t="s">
        <v>2098</v>
      </c>
      <c r="O20" s="1121"/>
      <c r="P20" s="10"/>
      <c r="Q20" s="89" t="s">
        <v>2099</v>
      </c>
      <c r="R20" s="90"/>
      <c r="S20" s="69"/>
      <c r="T20" s="91" t="s">
        <v>2095</v>
      </c>
      <c r="U20" s="92"/>
      <c r="V20" s="92"/>
      <c r="W20" s="93"/>
      <c r="X20" s="99"/>
      <c r="Y20" s="99"/>
      <c r="Z20" s="100"/>
      <c r="AA20" s="99"/>
      <c r="AB20" s="99"/>
      <c r="AC20" s="20"/>
    </row>
    <row r="21" spans="2:29" ht="18.75" customHeight="1" thickBot="1">
      <c r="B21" s="24"/>
      <c r="C21" s="33"/>
      <c r="D21" s="110" t="s">
        <v>2035</v>
      </c>
      <c r="E21" s="111"/>
      <c r="F21" s="111"/>
      <c r="G21" s="112"/>
      <c r="H21" s="51"/>
      <c r="I21" s="53"/>
      <c r="J21" s="10"/>
      <c r="K21" s="30"/>
      <c r="L21" s="31"/>
      <c r="M21" s="10"/>
      <c r="N21" s="30"/>
      <c r="O21" s="31"/>
      <c r="P21" s="10"/>
      <c r="Q21" s="32"/>
      <c r="R21" s="97"/>
      <c r="S21" s="69"/>
      <c r="T21" s="85"/>
      <c r="U21" s="85"/>
      <c r="V21" s="98"/>
      <c r="W21" s="85"/>
      <c r="X21" s="99"/>
      <c r="Y21" s="99"/>
      <c r="Z21" s="100"/>
      <c r="AA21" s="99"/>
      <c r="AB21" s="99"/>
      <c r="AC21" s="20"/>
    </row>
    <row r="22" spans="2:29" ht="44.25" customHeight="1" thickBot="1">
      <c r="B22" s="24"/>
      <c r="C22" s="33"/>
      <c r="D22" s="113"/>
      <c r="E22" s="114"/>
      <c r="F22" s="114"/>
      <c r="G22" s="114"/>
      <c r="H22" s="51"/>
      <c r="I22" s="53"/>
      <c r="J22" s="10"/>
      <c r="K22" s="1109" t="s">
        <v>2036</v>
      </c>
      <c r="L22" s="1110"/>
      <c r="M22" s="10"/>
      <c r="N22" s="1120" t="s">
        <v>2100</v>
      </c>
      <c r="O22" s="1121"/>
      <c r="P22" s="10"/>
      <c r="Q22" s="89" t="s">
        <v>2101</v>
      </c>
      <c r="R22" s="90"/>
      <c r="S22" s="69"/>
      <c r="T22" s="115" t="s">
        <v>2093</v>
      </c>
      <c r="U22" s="116"/>
      <c r="V22" s="116"/>
      <c r="W22" s="117"/>
      <c r="X22" s="99"/>
      <c r="Y22" s="118" t="s">
        <v>2037</v>
      </c>
      <c r="Z22" s="119"/>
      <c r="AA22" s="119"/>
      <c r="AB22" s="120"/>
      <c r="AC22" s="54" t="s">
        <v>2102</v>
      </c>
    </row>
    <row r="23" spans="2:27" ht="13.5" customHeight="1" thickBot="1">
      <c r="B23" s="24"/>
      <c r="C23" s="33"/>
      <c r="D23" s="121"/>
      <c r="E23" s="122"/>
      <c r="F23" s="123"/>
      <c r="G23" s="123"/>
      <c r="H23" s="51"/>
      <c r="I23" s="124"/>
      <c r="J23" s="10"/>
      <c r="K23" s="30"/>
      <c r="L23" s="31"/>
      <c r="M23" s="10"/>
      <c r="N23" s="30"/>
      <c r="O23" s="31"/>
      <c r="P23" s="10"/>
      <c r="Q23" s="32"/>
      <c r="R23" s="97"/>
      <c r="S23" s="69"/>
      <c r="T23" s="85"/>
      <c r="U23" s="85"/>
      <c r="V23" s="125"/>
      <c r="W23" s="85"/>
      <c r="X23" s="99"/>
      <c r="AA23" s="126"/>
    </row>
    <row r="24" spans="2:29" ht="41.25" customHeight="1" thickBot="1">
      <c r="B24" s="24" t="s">
        <v>2076</v>
      </c>
      <c r="C24" s="33"/>
      <c r="D24" s="121"/>
      <c r="E24" s="122"/>
      <c r="F24" s="123"/>
      <c r="G24" s="123"/>
      <c r="H24" s="51"/>
      <c r="I24" s="127"/>
      <c r="J24" s="10"/>
      <c r="K24" s="1109" t="s">
        <v>2038</v>
      </c>
      <c r="L24" s="1110"/>
      <c r="M24" s="10"/>
      <c r="N24" s="1120" t="s">
        <v>2103</v>
      </c>
      <c r="O24" s="1121"/>
      <c r="P24" s="10"/>
      <c r="Q24" s="35" t="s">
        <v>2104</v>
      </c>
      <c r="R24" s="128"/>
      <c r="S24" s="69"/>
      <c r="T24" s="129" t="s">
        <v>2039</v>
      </c>
      <c r="U24" s="130"/>
      <c r="V24" s="131"/>
      <c r="W24" s="132"/>
      <c r="X24" s="99"/>
      <c r="Y24" s="118" t="s">
        <v>2040</v>
      </c>
      <c r="Z24" s="119"/>
      <c r="AA24" s="119"/>
      <c r="AB24" s="120"/>
      <c r="AC24" s="54" t="s">
        <v>2041</v>
      </c>
    </row>
    <row r="25" spans="2:29" ht="11.25" customHeight="1" thickBot="1">
      <c r="B25" s="24"/>
      <c r="C25" s="33"/>
      <c r="D25" s="121"/>
      <c r="E25" s="122"/>
      <c r="F25" s="123"/>
      <c r="G25" s="123"/>
      <c r="H25" s="51"/>
      <c r="I25" s="124"/>
      <c r="J25" s="10"/>
      <c r="K25" s="10"/>
      <c r="L25" s="10"/>
      <c r="M25" s="10"/>
      <c r="N25" s="10"/>
      <c r="O25" s="10"/>
      <c r="P25" s="10"/>
      <c r="Q25" s="32"/>
      <c r="R25" s="97"/>
      <c r="S25" s="69"/>
      <c r="T25" s="85"/>
      <c r="U25" s="85"/>
      <c r="V25" s="133"/>
      <c r="W25" s="85"/>
      <c r="X25" s="99"/>
      <c r="Y25" s="134"/>
      <c r="Z25" s="135"/>
      <c r="AA25" s="136"/>
      <c r="AB25" s="136"/>
      <c r="AC25" s="54"/>
    </row>
    <row r="26" spans="2:29" ht="22.5" customHeight="1" thickBot="1">
      <c r="B26" s="24" t="s">
        <v>2056</v>
      </c>
      <c r="C26" s="33"/>
      <c r="D26" s="121"/>
      <c r="E26" s="122"/>
      <c r="F26" s="123"/>
      <c r="G26" s="123"/>
      <c r="H26" s="51"/>
      <c r="I26" s="124"/>
      <c r="J26" s="10"/>
      <c r="K26" s="10"/>
      <c r="L26" s="10"/>
      <c r="M26" s="10"/>
      <c r="N26" s="10"/>
      <c r="O26" s="10"/>
      <c r="P26" s="10"/>
      <c r="Q26" s="89" t="s">
        <v>2057</v>
      </c>
      <c r="R26" s="90"/>
      <c r="S26" s="69"/>
      <c r="T26" s="137" t="s">
        <v>2042</v>
      </c>
      <c r="U26" s="130"/>
      <c r="V26" s="130"/>
      <c r="W26" s="132"/>
      <c r="X26" s="99"/>
      <c r="Y26" s="118" t="s">
        <v>2043</v>
      </c>
      <c r="Z26" s="138"/>
      <c r="AA26" s="138"/>
      <c r="AB26" s="139"/>
      <c r="AC26" s="54" t="s">
        <v>2041</v>
      </c>
    </row>
    <row r="27" spans="2:29" ht="14.25" customHeight="1" thickBot="1">
      <c r="B27" s="24"/>
      <c r="C27" s="33"/>
      <c r="D27" s="121"/>
      <c r="E27" s="122"/>
      <c r="F27" s="123"/>
      <c r="G27" s="123"/>
      <c r="H27" s="51"/>
      <c r="I27" s="124"/>
      <c r="J27" s="10"/>
      <c r="K27" s="10"/>
      <c r="L27" s="10"/>
      <c r="M27" s="10"/>
      <c r="N27" s="10"/>
      <c r="O27" s="10"/>
      <c r="P27" s="10"/>
      <c r="Q27" s="32"/>
      <c r="R27" s="97"/>
      <c r="S27" s="69"/>
      <c r="T27" s="85"/>
      <c r="U27" s="85"/>
      <c r="V27" s="133"/>
      <c r="W27" s="85"/>
      <c r="X27" s="99"/>
      <c r="Y27" s="140"/>
      <c r="Z27" s="135"/>
      <c r="AA27" s="136"/>
      <c r="AB27" s="136"/>
      <c r="AC27" s="54"/>
    </row>
    <row r="28" spans="2:29" ht="22.5" customHeight="1" thickBot="1">
      <c r="B28" s="24" t="s">
        <v>2063</v>
      </c>
      <c r="C28" s="33"/>
      <c r="D28" s="121"/>
      <c r="E28" s="122"/>
      <c r="F28" s="123"/>
      <c r="G28" s="123"/>
      <c r="H28" s="51"/>
      <c r="I28" s="124"/>
      <c r="J28" s="10"/>
      <c r="K28" s="10"/>
      <c r="L28" s="10"/>
      <c r="M28" s="10"/>
      <c r="N28" s="10"/>
      <c r="O28" s="10"/>
      <c r="P28" s="10"/>
      <c r="Q28" s="89" t="s">
        <v>2064</v>
      </c>
      <c r="R28" s="90"/>
      <c r="S28" s="69"/>
      <c r="T28" s="137" t="s">
        <v>2044</v>
      </c>
      <c r="U28" s="130"/>
      <c r="V28" s="130"/>
      <c r="W28" s="132"/>
      <c r="X28" s="99"/>
      <c r="Y28" s="118" t="s">
        <v>2045</v>
      </c>
      <c r="Z28" s="138"/>
      <c r="AA28" s="138"/>
      <c r="AB28" s="139"/>
      <c r="AC28" s="54" t="s">
        <v>2041</v>
      </c>
    </row>
    <row r="29" spans="2:29" ht="12.75" customHeight="1" thickBot="1">
      <c r="B29" s="24"/>
      <c r="C29" s="33"/>
      <c r="D29" s="121"/>
      <c r="E29" s="122"/>
      <c r="F29" s="123"/>
      <c r="G29" s="123"/>
      <c r="H29" s="51"/>
      <c r="I29" s="124"/>
      <c r="J29" s="10"/>
      <c r="K29" s="10"/>
      <c r="L29" s="10"/>
      <c r="M29" s="10"/>
      <c r="N29" s="10"/>
      <c r="O29" s="10"/>
      <c r="P29" s="10"/>
      <c r="Q29" s="55"/>
      <c r="R29" s="97"/>
      <c r="S29" s="69"/>
      <c r="T29" s="85"/>
      <c r="U29" s="135"/>
      <c r="V29" s="85"/>
      <c r="W29" s="85"/>
      <c r="X29" s="99"/>
      <c r="Y29" s="141"/>
      <c r="Z29" s="88"/>
      <c r="AA29" s="69"/>
      <c r="AB29" s="69"/>
      <c r="AC29"/>
    </row>
    <row r="30" spans="2:29" ht="31.5" customHeight="1" thickBot="1">
      <c r="B30" s="24" t="s">
        <v>2059</v>
      </c>
      <c r="C30" s="33"/>
      <c r="D30" s="121"/>
      <c r="E30" s="122"/>
      <c r="F30" s="123"/>
      <c r="G30" s="123"/>
      <c r="H30" s="51"/>
      <c r="I30" s="124"/>
      <c r="J30" s="10"/>
      <c r="K30" s="10"/>
      <c r="L30" s="10"/>
      <c r="M30" s="10"/>
      <c r="N30" s="10"/>
      <c r="O30" s="10"/>
      <c r="P30" s="10"/>
      <c r="Q30" s="89" t="s">
        <v>2082</v>
      </c>
      <c r="R30" s="90"/>
      <c r="S30" s="69"/>
      <c r="T30" s="137" t="s">
        <v>2046</v>
      </c>
      <c r="U30" s="130"/>
      <c r="V30" s="130"/>
      <c r="W30" s="132"/>
      <c r="X30" s="69"/>
      <c r="Y30" s="118" t="s">
        <v>2091</v>
      </c>
      <c r="Z30" s="138"/>
      <c r="AA30" s="138"/>
      <c r="AB30" s="139"/>
      <c r="AC30" s="54" t="s">
        <v>2102</v>
      </c>
    </row>
    <row r="31" spans="2:24" ht="15" customHeight="1" thickBot="1">
      <c r="B31" s="24"/>
      <c r="C31" s="33"/>
      <c r="D31" s="121"/>
      <c r="E31" s="122"/>
      <c r="F31" s="123"/>
      <c r="G31" s="123"/>
      <c r="H31" s="51"/>
      <c r="I31" s="124"/>
      <c r="J31" s="10"/>
      <c r="K31" s="10"/>
      <c r="L31" s="10"/>
      <c r="M31" s="10"/>
      <c r="N31" s="10"/>
      <c r="O31" s="10"/>
      <c r="P31" s="10"/>
      <c r="Q31" s="55"/>
      <c r="R31" s="97"/>
      <c r="S31" s="69"/>
      <c r="T31" s="136"/>
      <c r="U31" s="135"/>
      <c r="V31" s="136"/>
      <c r="W31" s="136"/>
      <c r="X31" s="69"/>
    </row>
    <row r="32" spans="2:29" ht="30.75" customHeight="1" thickBot="1">
      <c r="B32" s="24" t="s">
        <v>2083</v>
      </c>
      <c r="C32" s="33"/>
      <c r="D32" s="121"/>
      <c r="E32" s="122"/>
      <c r="F32" s="123"/>
      <c r="G32" s="123"/>
      <c r="H32" s="51"/>
      <c r="I32" s="124"/>
      <c r="J32" s="10"/>
      <c r="K32" s="10"/>
      <c r="L32" s="10"/>
      <c r="M32" s="10"/>
      <c r="N32" s="10"/>
      <c r="O32" s="10"/>
      <c r="P32" s="10"/>
      <c r="Q32" s="89" t="s">
        <v>2084</v>
      </c>
      <c r="R32" s="90"/>
      <c r="S32" s="85"/>
      <c r="T32" s="137" t="s">
        <v>2047</v>
      </c>
      <c r="U32" s="130"/>
      <c r="V32" s="130"/>
      <c r="W32" s="132"/>
      <c r="X32" s="69"/>
      <c r="Y32" s="69"/>
      <c r="Z32" s="69"/>
      <c r="AA32" s="69"/>
      <c r="AB32" s="69"/>
      <c r="AC32"/>
    </row>
    <row r="33" spans="2:29" ht="13.5" customHeight="1" thickBot="1">
      <c r="B33" s="24"/>
      <c r="C33" s="33"/>
      <c r="D33" s="121"/>
      <c r="E33" s="122"/>
      <c r="F33" s="123"/>
      <c r="G33" s="123"/>
      <c r="H33" s="51"/>
      <c r="I33" s="124"/>
      <c r="J33" s="10"/>
      <c r="K33" s="10"/>
      <c r="L33" s="10"/>
      <c r="M33" s="10"/>
      <c r="N33" s="10"/>
      <c r="O33" s="10"/>
      <c r="P33" s="10"/>
      <c r="Q33" s="55"/>
      <c r="R33" s="97"/>
      <c r="S33" s="85"/>
      <c r="T33" s="85"/>
      <c r="U33" s="142"/>
      <c r="V33" s="85"/>
      <c r="W33" s="85"/>
      <c r="X33" s="85"/>
      <c r="Y33" s="69"/>
      <c r="Z33" s="69"/>
      <c r="AA33" s="69"/>
      <c r="AB33" s="69"/>
      <c r="AC33"/>
    </row>
    <row r="34" spans="2:29" ht="21" customHeight="1" thickBot="1">
      <c r="B34" s="24" t="s">
        <v>2085</v>
      </c>
      <c r="C34" s="33"/>
      <c r="D34" s="121"/>
      <c r="E34" s="122"/>
      <c r="F34" s="123"/>
      <c r="G34" s="123"/>
      <c r="H34" s="51"/>
      <c r="I34" s="124"/>
      <c r="J34" s="10"/>
      <c r="K34" s="10"/>
      <c r="L34" s="10"/>
      <c r="M34" s="10"/>
      <c r="N34" s="10"/>
      <c r="O34" s="10"/>
      <c r="P34" s="10"/>
      <c r="Q34" s="89" t="s">
        <v>2086</v>
      </c>
      <c r="R34" s="90"/>
      <c r="S34" s="69"/>
      <c r="T34" s="143"/>
      <c r="U34" s="144"/>
      <c r="V34" s="143"/>
      <c r="W34" s="143"/>
      <c r="X34" s="85"/>
      <c r="Y34" s="69"/>
      <c r="Z34" s="69"/>
      <c r="AA34" s="69"/>
      <c r="AB34" s="69"/>
      <c r="AC34"/>
    </row>
    <row r="35" spans="2:29" ht="12" customHeight="1" thickBot="1">
      <c r="B35" s="24"/>
      <c r="C35" s="33"/>
      <c r="D35" s="121"/>
      <c r="E35" s="122"/>
      <c r="F35" s="123"/>
      <c r="G35" s="123"/>
      <c r="H35" s="51"/>
      <c r="I35" s="124"/>
      <c r="J35" s="10"/>
      <c r="K35" s="10"/>
      <c r="L35" s="10"/>
      <c r="M35" s="10"/>
      <c r="N35" s="10"/>
      <c r="O35" s="10"/>
      <c r="P35" s="10"/>
      <c r="Q35" s="55"/>
      <c r="R35" s="97"/>
      <c r="S35" s="69"/>
      <c r="T35" s="69"/>
      <c r="U35" s="85"/>
      <c r="V35" s="85"/>
      <c r="W35" s="85"/>
      <c r="X35" s="85"/>
      <c r="Y35" s="69"/>
      <c r="Z35" s="69"/>
      <c r="AA35" s="69"/>
      <c r="AB35" s="69"/>
      <c r="AC35"/>
    </row>
    <row r="36" spans="2:29" ht="27.75" customHeight="1" thickBot="1">
      <c r="B36" s="24"/>
      <c r="C36" s="33"/>
      <c r="D36" s="121"/>
      <c r="E36" s="122"/>
      <c r="F36" s="123"/>
      <c r="G36" s="123"/>
      <c r="H36" s="51"/>
      <c r="I36" s="124"/>
      <c r="J36" s="10"/>
      <c r="K36" s="10"/>
      <c r="L36" s="10"/>
      <c r="M36" s="10"/>
      <c r="N36" s="10"/>
      <c r="O36" s="10"/>
      <c r="P36" s="10"/>
      <c r="Q36" s="89" t="s">
        <v>2087</v>
      </c>
      <c r="R36" s="90"/>
      <c r="S36" s="69"/>
      <c r="T36" s="69"/>
      <c r="U36" s="85"/>
      <c r="V36" s="85"/>
      <c r="W36" s="85"/>
      <c r="X36" s="85"/>
      <c r="Y36" s="69"/>
      <c r="Z36" s="69"/>
      <c r="AA36" s="69"/>
      <c r="AB36" s="69"/>
      <c r="AC36"/>
    </row>
    <row r="37" spans="2:29" ht="12" customHeight="1" thickBot="1">
      <c r="B37" s="24"/>
      <c r="C37" s="33"/>
      <c r="D37" s="121"/>
      <c r="E37" s="122"/>
      <c r="F37" s="123"/>
      <c r="G37" s="123"/>
      <c r="H37" s="51"/>
      <c r="I37" s="124"/>
      <c r="J37" s="10"/>
      <c r="K37" s="10"/>
      <c r="L37" s="10"/>
      <c r="M37" s="10"/>
      <c r="N37" s="10"/>
      <c r="O37" s="10"/>
      <c r="P37" s="10"/>
      <c r="Q37" s="55"/>
      <c r="R37" s="97"/>
      <c r="S37" s="69"/>
      <c r="T37" s="69"/>
      <c r="U37" s="85"/>
      <c r="V37" s="85"/>
      <c r="W37" s="85"/>
      <c r="X37" s="85"/>
      <c r="Y37" s="69"/>
      <c r="Z37" s="69"/>
      <c r="AA37" s="69"/>
      <c r="AB37" s="69"/>
      <c r="AC37"/>
    </row>
    <row r="38" spans="2:29" ht="29.25" customHeight="1" thickBot="1">
      <c r="B38" s="24"/>
      <c r="C38" s="145"/>
      <c r="D38" s="146"/>
      <c r="E38" s="147"/>
      <c r="F38" s="148"/>
      <c r="G38" s="148"/>
      <c r="H38" s="149"/>
      <c r="I38" s="124"/>
      <c r="J38" s="10"/>
      <c r="K38" s="10"/>
      <c r="L38" s="10"/>
      <c r="M38" s="10"/>
      <c r="N38" s="10"/>
      <c r="O38" s="10"/>
      <c r="P38" s="10"/>
      <c r="Q38" s="89" t="s">
        <v>2048</v>
      </c>
      <c r="R38" s="90"/>
      <c r="S38" s="69"/>
      <c r="T38" s="69"/>
      <c r="U38" s="85"/>
      <c r="V38" s="69"/>
      <c r="W38" s="69"/>
      <c r="X38" s="69"/>
      <c r="Y38" s="69"/>
      <c r="Z38" s="69"/>
      <c r="AA38" s="69"/>
      <c r="AB38" s="69"/>
      <c r="AC38"/>
    </row>
    <row r="39" spans="3:29" ht="27" customHeight="1">
      <c r="C39" s="57" t="s">
        <v>2088</v>
      </c>
      <c r="D39"/>
      <c r="F39" s="58" t="s">
        <v>2089</v>
      </c>
      <c r="G39" s="56"/>
      <c r="H39" s="56"/>
      <c r="J39" s="150" t="s">
        <v>2049</v>
      </c>
      <c r="L39" s="151"/>
      <c r="M39" s="151"/>
      <c r="O39" s="68"/>
      <c r="P39" s="68"/>
      <c r="Q39" s="152"/>
      <c r="R39" s="56"/>
      <c r="S39" s="56"/>
      <c r="T39" s="151" t="s">
        <v>2050</v>
      </c>
      <c r="U39" s="56"/>
      <c r="V39" s="153"/>
      <c r="W39" s="76"/>
      <c r="X39" s="76"/>
      <c r="Y39" s="76"/>
      <c r="Z39" s="76"/>
      <c r="AA39" s="76"/>
      <c r="AB39" s="76"/>
      <c r="AC39"/>
    </row>
    <row r="40" spans="2:29" ht="16.5" customHeight="1">
      <c r="B40" s="59"/>
      <c r="D40"/>
      <c r="F40" s="58" t="s">
        <v>2058</v>
      </c>
      <c r="G40" s="56"/>
      <c r="H40" s="56"/>
      <c r="J40" s="58" t="s">
        <v>2051</v>
      </c>
      <c r="L40" s="58"/>
      <c r="M40" s="58"/>
      <c r="O40" s="58"/>
      <c r="P40" s="60"/>
      <c r="Q40" s="56"/>
      <c r="R40" s="56"/>
      <c r="S40" s="56"/>
      <c r="T40" s="58" t="s">
        <v>2052</v>
      </c>
      <c r="U40" s="56"/>
      <c r="V40" s="76"/>
      <c r="W40" s="76"/>
      <c r="X40" s="76"/>
      <c r="Y40" s="76"/>
      <c r="Z40" s="76"/>
      <c r="AA40" s="76"/>
      <c r="AB40" s="76"/>
      <c r="AC40"/>
    </row>
  </sheetData>
  <mergeCells count="32">
    <mergeCell ref="K24:L24"/>
    <mergeCell ref="N24:O24"/>
    <mergeCell ref="D20:F20"/>
    <mergeCell ref="K20:L20"/>
    <mergeCell ref="N20:O20"/>
    <mergeCell ref="K22:L22"/>
    <mergeCell ref="N22:O22"/>
    <mergeCell ref="K16:L16"/>
    <mergeCell ref="N16:O16"/>
    <mergeCell ref="T16:W16"/>
    <mergeCell ref="K18:L18"/>
    <mergeCell ref="N18:O18"/>
    <mergeCell ref="K12:L12"/>
    <mergeCell ref="N12:O12"/>
    <mergeCell ref="K14:L14"/>
    <mergeCell ref="N14:O14"/>
    <mergeCell ref="T8:W8"/>
    <mergeCell ref="Y8:AB8"/>
    <mergeCell ref="D10:G10"/>
    <mergeCell ref="K10:L10"/>
    <mergeCell ref="N10:O10"/>
    <mergeCell ref="D8:G8"/>
    <mergeCell ref="K8:L8"/>
    <mergeCell ref="N8:O8"/>
    <mergeCell ref="Q8:R8"/>
    <mergeCell ref="B1:AB1"/>
    <mergeCell ref="D7:G7"/>
    <mergeCell ref="K7:L7"/>
    <mergeCell ref="N7:O7"/>
    <mergeCell ref="Q7:R7"/>
    <mergeCell ref="T7:W7"/>
    <mergeCell ref="Y7:AB7"/>
  </mergeCells>
  <printOptions horizontalCentered="1"/>
  <pageMargins left="0.1968503937007874" right="0.1968503937007874" top="0.7874015748031497" bottom="0" header="0.7086614173228347" footer="0"/>
  <pageSetup fitToHeight="1" fitToWidth="1" horizontalDpi="600" verticalDpi="600" orientation="landscape" paperSize="9" scale="56" r:id="rId1"/>
  <headerFooter alignWithMargins="0">
    <oddFooter>&amp;C&amp;14
&amp;P+162&amp;12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85" zoomScaleNormal="85" workbookViewId="0" topLeftCell="A7">
      <selection activeCell="D34" sqref="D34"/>
    </sheetView>
  </sheetViews>
  <sheetFormatPr defaultColWidth="9.00390625" defaultRowHeight="12.75"/>
  <cols>
    <col min="1" max="1" width="33.00390625" style="0" customWidth="1"/>
    <col min="2" max="14" width="12.75390625" style="0" customWidth="1"/>
  </cols>
  <sheetData>
    <row r="1" spans="1:14" ht="20.25">
      <c r="A1" s="156" t="s">
        <v>2106</v>
      </c>
      <c r="M1" s="997" t="s">
        <v>2176</v>
      </c>
      <c r="N1" s="997"/>
    </row>
    <row r="2" spans="1:14" ht="15.75">
      <c r="A2" s="155"/>
      <c r="M2" s="248"/>
      <c r="N2" s="248"/>
    </row>
    <row r="3" spans="1:14" ht="28.5" customHeight="1">
      <c r="A3" s="1010" t="s">
        <v>2177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</row>
    <row r="4" ht="18.75" customHeight="1" thickBot="1">
      <c r="N4" s="246" t="s">
        <v>2109</v>
      </c>
    </row>
    <row r="5" spans="1:14" s="250" customFormat="1" ht="46.5" customHeight="1" thickTop="1">
      <c r="A5" s="999" t="s">
        <v>2178</v>
      </c>
      <c r="B5" s="1001" t="s">
        <v>2141</v>
      </c>
      <c r="C5" s="1002"/>
      <c r="D5" s="1003"/>
      <c r="E5" s="1001" t="s">
        <v>2142</v>
      </c>
      <c r="F5" s="1002"/>
      <c r="G5" s="1003"/>
      <c r="H5" s="1001" t="s">
        <v>2143</v>
      </c>
      <c r="I5" s="1002"/>
      <c r="J5" s="1003"/>
      <c r="K5" s="1005" t="s">
        <v>2144</v>
      </c>
      <c r="L5" s="1006"/>
      <c r="M5" s="1006"/>
      <c r="N5" s="1007"/>
    </row>
    <row r="6" spans="1:14" s="250" customFormat="1" ht="37.5" customHeight="1" thickBot="1">
      <c r="A6" s="1000"/>
      <c r="B6" s="251" t="s">
        <v>2120</v>
      </c>
      <c r="C6" s="252" t="s">
        <v>2145</v>
      </c>
      <c r="D6" s="253" t="s">
        <v>2146</v>
      </c>
      <c r="E6" s="251" t="s">
        <v>2120</v>
      </c>
      <c r="F6" s="252" t="s">
        <v>2145</v>
      </c>
      <c r="G6" s="253" t="s">
        <v>2146</v>
      </c>
      <c r="H6" s="251" t="s">
        <v>2120</v>
      </c>
      <c r="I6" s="252" t="s">
        <v>2145</v>
      </c>
      <c r="J6" s="253" t="s">
        <v>2146</v>
      </c>
      <c r="K6" s="251" t="s">
        <v>2120</v>
      </c>
      <c r="L6" s="252" t="s">
        <v>2145</v>
      </c>
      <c r="M6" s="252" t="s">
        <v>2146</v>
      </c>
      <c r="N6" s="306" t="s">
        <v>2148</v>
      </c>
    </row>
    <row r="7" spans="1:14" s="250" customFormat="1" ht="15">
      <c r="A7" s="307"/>
      <c r="B7" s="308" t="s">
        <v>2149</v>
      </c>
      <c r="C7" s="309" t="s">
        <v>2150</v>
      </c>
      <c r="D7" s="310" t="s">
        <v>2151</v>
      </c>
      <c r="E7" s="308" t="s">
        <v>2149</v>
      </c>
      <c r="F7" s="309" t="s">
        <v>2150</v>
      </c>
      <c r="G7" s="310" t="s">
        <v>2151</v>
      </c>
      <c r="H7" s="308" t="s">
        <v>2149</v>
      </c>
      <c r="I7" s="309" t="s">
        <v>2150</v>
      </c>
      <c r="J7" s="310" t="s">
        <v>2151</v>
      </c>
      <c r="K7" s="308" t="s">
        <v>2149</v>
      </c>
      <c r="L7" s="309" t="s">
        <v>2150</v>
      </c>
      <c r="M7" s="309" t="s">
        <v>2151</v>
      </c>
      <c r="N7" s="311"/>
    </row>
    <row r="8" spans="1:14" s="250" customFormat="1" ht="19.5" customHeight="1">
      <c r="A8" s="283" t="s">
        <v>2179</v>
      </c>
      <c r="B8" s="284">
        <v>131511</v>
      </c>
      <c r="C8" s="285">
        <v>126817</v>
      </c>
      <c r="D8" s="286">
        <f>B8-C8</f>
        <v>4694</v>
      </c>
      <c r="E8" s="284">
        <v>0</v>
      </c>
      <c r="F8" s="285">
        <v>729</v>
      </c>
      <c r="G8" s="286">
        <f>E8-F8</f>
        <v>-729</v>
      </c>
      <c r="H8" s="284">
        <v>341</v>
      </c>
      <c r="I8" s="285">
        <f>943+179+801-F8</f>
        <v>1194</v>
      </c>
      <c r="J8" s="286">
        <f>H8-I8</f>
        <v>-853</v>
      </c>
      <c r="K8" s="284">
        <f>B8+E8+H8</f>
        <v>131852</v>
      </c>
      <c r="L8" s="285">
        <f>+C8+F8+I8</f>
        <v>128740</v>
      </c>
      <c r="M8" s="285">
        <f>K8-L8</f>
        <v>3112</v>
      </c>
      <c r="N8" s="287">
        <f>L8/K8*100</f>
        <v>97.63977793283378</v>
      </c>
    </row>
    <row r="9" spans="1:14" s="250" customFormat="1" ht="19.5" customHeight="1">
      <c r="A9" s="283" t="s">
        <v>2180</v>
      </c>
      <c r="B9" s="284">
        <v>139711</v>
      </c>
      <c r="C9" s="285">
        <v>140164</v>
      </c>
      <c r="D9" s="286">
        <f aca="true" t="shared" si="0" ref="D9:D23">B9-C9</f>
        <v>-453</v>
      </c>
      <c r="E9" s="284">
        <v>0</v>
      </c>
      <c r="F9" s="285">
        <v>0</v>
      </c>
      <c r="G9" s="286">
        <f aca="true" t="shared" si="1" ref="G9:G23">E9-F9</f>
        <v>0</v>
      </c>
      <c r="H9" s="284">
        <v>1661</v>
      </c>
      <c r="I9" s="285">
        <f>11695+2293+6996</f>
        <v>20984</v>
      </c>
      <c r="J9" s="286">
        <f aca="true" t="shared" si="2" ref="J9:J23">H9-I9</f>
        <v>-19323</v>
      </c>
      <c r="K9" s="284">
        <f aca="true" t="shared" si="3" ref="K9:K23">B9+E9+H9</f>
        <v>141372</v>
      </c>
      <c r="L9" s="285">
        <f aca="true" t="shared" si="4" ref="L9:L23">+C9+F9+I9</f>
        <v>161148</v>
      </c>
      <c r="M9" s="285">
        <f aca="true" t="shared" si="5" ref="M9:M23">K9-L9</f>
        <v>-19776</v>
      </c>
      <c r="N9" s="287">
        <f aca="true" t="shared" si="6" ref="N9:N24">L9/K9*100</f>
        <v>113.98862575333165</v>
      </c>
    </row>
    <row r="10" spans="1:14" s="250" customFormat="1" ht="19.5" customHeight="1">
      <c r="A10" s="283" t="s">
        <v>2181</v>
      </c>
      <c r="B10" s="284">
        <v>92020</v>
      </c>
      <c r="C10" s="285">
        <v>93027</v>
      </c>
      <c r="D10" s="286">
        <f t="shared" si="0"/>
        <v>-1007</v>
      </c>
      <c r="E10" s="284">
        <v>0</v>
      </c>
      <c r="F10" s="285">
        <v>0</v>
      </c>
      <c r="G10" s="286">
        <f t="shared" si="1"/>
        <v>0</v>
      </c>
      <c r="H10" s="284">
        <f>1088+8500</f>
        <v>9588</v>
      </c>
      <c r="I10" s="285">
        <f>4331+1044+10</f>
        <v>5385</v>
      </c>
      <c r="J10" s="286">
        <f t="shared" si="2"/>
        <v>4203</v>
      </c>
      <c r="K10" s="284">
        <f t="shared" si="3"/>
        <v>101608</v>
      </c>
      <c r="L10" s="285">
        <f t="shared" si="4"/>
        <v>98412</v>
      </c>
      <c r="M10" s="285">
        <f t="shared" si="5"/>
        <v>3196</v>
      </c>
      <c r="N10" s="287">
        <f t="shared" si="6"/>
        <v>96.85457837965514</v>
      </c>
    </row>
    <row r="11" spans="1:14" s="250" customFormat="1" ht="19.5" customHeight="1">
      <c r="A11" s="283" t="s">
        <v>2182</v>
      </c>
      <c r="B11" s="284">
        <v>83631</v>
      </c>
      <c r="C11" s="285">
        <v>84972</v>
      </c>
      <c r="D11" s="286">
        <f t="shared" si="0"/>
        <v>-1341</v>
      </c>
      <c r="E11" s="284">
        <v>0</v>
      </c>
      <c r="F11" s="285">
        <v>0</v>
      </c>
      <c r="G11" s="286">
        <f t="shared" si="1"/>
        <v>0</v>
      </c>
      <c r="H11" s="284">
        <v>1932</v>
      </c>
      <c r="I11" s="285">
        <f>8105+17754</f>
        <v>25859</v>
      </c>
      <c r="J11" s="286">
        <f t="shared" si="2"/>
        <v>-23927</v>
      </c>
      <c r="K11" s="284">
        <f t="shared" si="3"/>
        <v>85563</v>
      </c>
      <c r="L11" s="285">
        <f t="shared" si="4"/>
        <v>110831</v>
      </c>
      <c r="M11" s="285">
        <f t="shared" si="5"/>
        <v>-25268</v>
      </c>
      <c r="N11" s="287">
        <f t="shared" si="6"/>
        <v>129.53145635379778</v>
      </c>
    </row>
    <row r="12" spans="1:14" s="250" customFormat="1" ht="19.5" customHeight="1">
      <c r="A12" s="283" t="s">
        <v>2183</v>
      </c>
      <c r="B12" s="284">
        <v>37645</v>
      </c>
      <c r="C12" s="285">
        <v>41392</v>
      </c>
      <c r="D12" s="286">
        <f t="shared" si="0"/>
        <v>-3747</v>
      </c>
      <c r="E12" s="284">
        <v>0</v>
      </c>
      <c r="F12" s="285">
        <v>0</v>
      </c>
      <c r="G12" s="286">
        <f t="shared" si="1"/>
        <v>0</v>
      </c>
      <c r="H12" s="284">
        <v>10602</v>
      </c>
      <c r="I12" s="285">
        <f>23620+11243+4</f>
        <v>34867</v>
      </c>
      <c r="J12" s="286">
        <f t="shared" si="2"/>
        <v>-24265</v>
      </c>
      <c r="K12" s="284">
        <f t="shared" si="3"/>
        <v>48247</v>
      </c>
      <c r="L12" s="285">
        <f t="shared" si="4"/>
        <v>76259</v>
      </c>
      <c r="M12" s="285">
        <f t="shared" si="5"/>
        <v>-28012</v>
      </c>
      <c r="N12" s="287">
        <f t="shared" si="6"/>
        <v>158.05956847057848</v>
      </c>
    </row>
    <row r="13" spans="1:14" s="250" customFormat="1" ht="19.5" customHeight="1">
      <c r="A13" s="283" t="s">
        <v>2184</v>
      </c>
      <c r="B13" s="284">
        <v>99324</v>
      </c>
      <c r="C13" s="285">
        <v>100451</v>
      </c>
      <c r="D13" s="286">
        <f t="shared" si="0"/>
        <v>-1127</v>
      </c>
      <c r="E13" s="284">
        <v>0</v>
      </c>
      <c r="F13" s="285">
        <v>0</v>
      </c>
      <c r="G13" s="286">
        <f t="shared" si="1"/>
        <v>0</v>
      </c>
      <c r="H13" s="284">
        <f>1886+4961</f>
        <v>6847</v>
      </c>
      <c r="I13" s="285">
        <f>1886+1858+2</f>
        <v>3746</v>
      </c>
      <c r="J13" s="286">
        <f t="shared" si="2"/>
        <v>3101</v>
      </c>
      <c r="K13" s="284">
        <f t="shared" si="3"/>
        <v>106171</v>
      </c>
      <c r="L13" s="285">
        <f t="shared" si="4"/>
        <v>104197</v>
      </c>
      <c r="M13" s="285">
        <f t="shared" si="5"/>
        <v>1974</v>
      </c>
      <c r="N13" s="287">
        <f t="shared" si="6"/>
        <v>98.14073522901734</v>
      </c>
    </row>
    <row r="14" spans="1:14" s="250" customFormat="1" ht="19.5" customHeight="1">
      <c r="A14" s="283" t="s">
        <v>2185</v>
      </c>
      <c r="B14" s="284">
        <v>50533</v>
      </c>
      <c r="C14" s="285">
        <v>50686</v>
      </c>
      <c r="D14" s="286">
        <f t="shared" si="0"/>
        <v>-153</v>
      </c>
      <c r="E14" s="284">
        <v>0</v>
      </c>
      <c r="F14" s="285">
        <v>0</v>
      </c>
      <c r="G14" s="286">
        <f t="shared" si="1"/>
        <v>0</v>
      </c>
      <c r="H14" s="284">
        <f>161+5530</f>
        <v>5691</v>
      </c>
      <c r="I14" s="285">
        <f>431+2115+18</f>
        <v>2564</v>
      </c>
      <c r="J14" s="286">
        <f t="shared" si="2"/>
        <v>3127</v>
      </c>
      <c r="K14" s="284">
        <f t="shared" si="3"/>
        <v>56224</v>
      </c>
      <c r="L14" s="285">
        <f t="shared" si="4"/>
        <v>53250</v>
      </c>
      <c r="M14" s="285">
        <f t="shared" si="5"/>
        <v>2974</v>
      </c>
      <c r="N14" s="287">
        <f t="shared" si="6"/>
        <v>94.71044393853158</v>
      </c>
    </row>
    <row r="15" spans="1:14" s="250" customFormat="1" ht="19.5" customHeight="1">
      <c r="A15" s="283" t="s">
        <v>2186</v>
      </c>
      <c r="B15" s="284">
        <v>62719</v>
      </c>
      <c r="C15" s="285">
        <v>62882</v>
      </c>
      <c r="D15" s="286">
        <f t="shared" si="0"/>
        <v>-163</v>
      </c>
      <c r="E15" s="284">
        <v>0</v>
      </c>
      <c r="F15" s="285">
        <v>0</v>
      </c>
      <c r="G15" s="286">
        <f t="shared" si="1"/>
        <v>0</v>
      </c>
      <c r="H15" s="284">
        <v>1883</v>
      </c>
      <c r="I15" s="285">
        <f>2755+20965+658</f>
        <v>24378</v>
      </c>
      <c r="J15" s="286">
        <f t="shared" si="2"/>
        <v>-22495</v>
      </c>
      <c r="K15" s="284">
        <f t="shared" si="3"/>
        <v>64602</v>
      </c>
      <c r="L15" s="285">
        <f t="shared" si="4"/>
        <v>87260</v>
      </c>
      <c r="M15" s="285">
        <f t="shared" si="5"/>
        <v>-22658</v>
      </c>
      <c r="N15" s="287">
        <f t="shared" si="6"/>
        <v>135.07321754744436</v>
      </c>
    </row>
    <row r="16" spans="1:14" s="250" customFormat="1" ht="19.5" customHeight="1">
      <c r="A16" s="283" t="s">
        <v>2187</v>
      </c>
      <c r="B16" s="284">
        <v>55825</v>
      </c>
      <c r="C16" s="285">
        <v>55932</v>
      </c>
      <c r="D16" s="286">
        <f t="shared" si="0"/>
        <v>-107</v>
      </c>
      <c r="E16" s="284">
        <v>0</v>
      </c>
      <c r="F16" s="285">
        <v>0</v>
      </c>
      <c r="G16" s="286">
        <f t="shared" si="1"/>
        <v>0</v>
      </c>
      <c r="H16" s="284">
        <v>757</v>
      </c>
      <c r="I16" s="285">
        <f>6135+1146+1</f>
        <v>7282</v>
      </c>
      <c r="J16" s="286">
        <f t="shared" si="2"/>
        <v>-6525</v>
      </c>
      <c r="K16" s="284">
        <f t="shared" si="3"/>
        <v>56582</v>
      </c>
      <c r="L16" s="285">
        <f t="shared" si="4"/>
        <v>63214</v>
      </c>
      <c r="M16" s="285">
        <f t="shared" si="5"/>
        <v>-6632</v>
      </c>
      <c r="N16" s="287">
        <f t="shared" si="6"/>
        <v>111.7210420274999</v>
      </c>
    </row>
    <row r="17" spans="1:14" s="250" customFormat="1" ht="19.5" customHeight="1">
      <c r="A17" s="283" t="s">
        <v>2188</v>
      </c>
      <c r="B17" s="284">
        <v>74026</v>
      </c>
      <c r="C17" s="285">
        <v>74089</v>
      </c>
      <c r="D17" s="286">
        <f t="shared" si="0"/>
        <v>-63</v>
      </c>
      <c r="E17" s="284">
        <v>0</v>
      </c>
      <c r="F17" s="285">
        <v>0</v>
      </c>
      <c r="G17" s="286">
        <f t="shared" si="1"/>
        <v>0</v>
      </c>
      <c r="H17" s="284">
        <v>1406</v>
      </c>
      <c r="I17" s="285">
        <f>5250+4370+10</f>
        <v>9630</v>
      </c>
      <c r="J17" s="286">
        <f t="shared" si="2"/>
        <v>-8224</v>
      </c>
      <c r="K17" s="284">
        <f t="shared" si="3"/>
        <v>75432</v>
      </c>
      <c r="L17" s="285">
        <f t="shared" si="4"/>
        <v>83719</v>
      </c>
      <c r="M17" s="285">
        <f t="shared" si="5"/>
        <v>-8287</v>
      </c>
      <c r="N17" s="287">
        <f t="shared" si="6"/>
        <v>110.98605366422738</v>
      </c>
    </row>
    <row r="18" spans="1:14" s="250" customFormat="1" ht="19.5" customHeight="1">
      <c r="A18" s="283" t="s">
        <v>2189</v>
      </c>
      <c r="B18" s="284">
        <v>113771</v>
      </c>
      <c r="C18" s="285">
        <v>114882</v>
      </c>
      <c r="D18" s="286">
        <f t="shared" si="0"/>
        <v>-1111</v>
      </c>
      <c r="E18" s="284">
        <v>0</v>
      </c>
      <c r="F18" s="285">
        <v>0</v>
      </c>
      <c r="G18" s="286">
        <f t="shared" si="1"/>
        <v>0</v>
      </c>
      <c r="H18" s="284">
        <f>4950+1000</f>
        <v>5950</v>
      </c>
      <c r="I18" s="285">
        <f>15046+9292+38</f>
        <v>24376</v>
      </c>
      <c r="J18" s="286">
        <f t="shared" si="2"/>
        <v>-18426</v>
      </c>
      <c r="K18" s="284">
        <f t="shared" si="3"/>
        <v>119721</v>
      </c>
      <c r="L18" s="285">
        <f t="shared" si="4"/>
        <v>139258</v>
      </c>
      <c r="M18" s="285">
        <f t="shared" si="5"/>
        <v>-19537</v>
      </c>
      <c r="N18" s="287">
        <f t="shared" si="6"/>
        <v>116.31877448400864</v>
      </c>
    </row>
    <row r="19" spans="1:14" s="250" customFormat="1" ht="19.5" customHeight="1">
      <c r="A19" s="283" t="s">
        <v>2190</v>
      </c>
      <c r="B19" s="284">
        <v>56181</v>
      </c>
      <c r="C19" s="285">
        <v>56552</v>
      </c>
      <c r="D19" s="286">
        <f t="shared" si="0"/>
        <v>-371</v>
      </c>
      <c r="E19" s="284">
        <v>0</v>
      </c>
      <c r="F19" s="285">
        <v>0</v>
      </c>
      <c r="G19" s="286">
        <f t="shared" si="1"/>
        <v>0</v>
      </c>
      <c r="H19" s="284">
        <f>504+1500</f>
        <v>2004</v>
      </c>
      <c r="I19" s="285">
        <f>3025+3058+132</f>
        <v>6215</v>
      </c>
      <c r="J19" s="286">
        <f t="shared" si="2"/>
        <v>-4211</v>
      </c>
      <c r="K19" s="284">
        <f t="shared" si="3"/>
        <v>58185</v>
      </c>
      <c r="L19" s="285">
        <f t="shared" si="4"/>
        <v>62767</v>
      </c>
      <c r="M19" s="285">
        <f t="shared" si="5"/>
        <v>-4582</v>
      </c>
      <c r="N19" s="287">
        <f t="shared" si="6"/>
        <v>107.87488184239923</v>
      </c>
    </row>
    <row r="20" spans="1:14" s="250" customFormat="1" ht="19.5" customHeight="1">
      <c r="A20" s="283" t="s">
        <v>2191</v>
      </c>
      <c r="B20" s="284">
        <v>127802</v>
      </c>
      <c r="C20" s="285">
        <v>127767</v>
      </c>
      <c r="D20" s="286">
        <f t="shared" si="0"/>
        <v>35</v>
      </c>
      <c r="E20" s="284">
        <v>0</v>
      </c>
      <c r="F20" s="285">
        <v>840</v>
      </c>
      <c r="G20" s="286">
        <f t="shared" si="1"/>
        <v>-840</v>
      </c>
      <c r="H20" s="284">
        <v>1204</v>
      </c>
      <c r="I20" s="285">
        <f>20196+18727+958-F20</f>
        <v>39041</v>
      </c>
      <c r="J20" s="286">
        <f t="shared" si="2"/>
        <v>-37837</v>
      </c>
      <c r="K20" s="284">
        <f t="shared" si="3"/>
        <v>129006</v>
      </c>
      <c r="L20" s="285">
        <f t="shared" si="4"/>
        <v>167648</v>
      </c>
      <c r="M20" s="285">
        <f t="shared" si="5"/>
        <v>-38642</v>
      </c>
      <c r="N20" s="287">
        <f t="shared" si="6"/>
        <v>129.95364556687286</v>
      </c>
    </row>
    <row r="21" spans="1:14" s="250" customFormat="1" ht="19.5" customHeight="1" thickBot="1">
      <c r="A21" s="269" t="s">
        <v>2192</v>
      </c>
      <c r="B21" s="270">
        <v>73117</v>
      </c>
      <c r="C21" s="271">
        <v>73560</v>
      </c>
      <c r="D21" s="272">
        <f t="shared" si="0"/>
        <v>-443</v>
      </c>
      <c r="E21" s="270">
        <v>0</v>
      </c>
      <c r="F21" s="271">
        <v>0</v>
      </c>
      <c r="G21" s="272">
        <f t="shared" si="1"/>
        <v>0</v>
      </c>
      <c r="H21" s="270">
        <v>654</v>
      </c>
      <c r="I21" s="271">
        <f>4009+5904+3</f>
        <v>9916</v>
      </c>
      <c r="J21" s="272">
        <f t="shared" si="2"/>
        <v>-9262</v>
      </c>
      <c r="K21" s="284">
        <f t="shared" si="3"/>
        <v>73771</v>
      </c>
      <c r="L21" s="285">
        <f t="shared" si="4"/>
        <v>83476</v>
      </c>
      <c r="M21" s="271">
        <f t="shared" si="5"/>
        <v>-9705</v>
      </c>
      <c r="N21" s="275">
        <f t="shared" si="6"/>
        <v>113.15557603936506</v>
      </c>
    </row>
    <row r="22" spans="1:14" s="250" customFormat="1" ht="19.5" customHeight="1" thickBot="1">
      <c r="A22" s="276" t="s">
        <v>2193</v>
      </c>
      <c r="B22" s="277">
        <f>SUM(B8:B21)</f>
        <v>1197816</v>
      </c>
      <c r="C22" s="278">
        <f aca="true" t="shared" si="7" ref="C22:M22">SUM(C8:C21)</f>
        <v>1203173</v>
      </c>
      <c r="D22" s="279">
        <f t="shared" si="7"/>
        <v>-5357</v>
      </c>
      <c r="E22" s="277">
        <f t="shared" si="7"/>
        <v>0</v>
      </c>
      <c r="F22" s="278">
        <f t="shared" si="7"/>
        <v>1569</v>
      </c>
      <c r="G22" s="279">
        <f t="shared" si="7"/>
        <v>-1569</v>
      </c>
      <c r="H22" s="277">
        <f t="shared" si="7"/>
        <v>50520</v>
      </c>
      <c r="I22" s="278">
        <f t="shared" si="7"/>
        <v>215437</v>
      </c>
      <c r="J22" s="279">
        <f t="shared" si="7"/>
        <v>-164917</v>
      </c>
      <c r="K22" s="277">
        <f t="shared" si="7"/>
        <v>1248336</v>
      </c>
      <c r="L22" s="278">
        <f t="shared" si="7"/>
        <v>1420179</v>
      </c>
      <c r="M22" s="278">
        <f t="shared" si="7"/>
        <v>-171843</v>
      </c>
      <c r="N22" s="312">
        <f t="shared" si="6"/>
        <v>113.76576498634982</v>
      </c>
    </row>
    <row r="23" spans="1:14" s="250" customFormat="1" ht="19.5" customHeight="1" thickBot="1">
      <c r="A23" s="292" t="s">
        <v>2194</v>
      </c>
      <c r="B23" s="293">
        <v>15959</v>
      </c>
      <c r="C23" s="294">
        <v>14491</v>
      </c>
      <c r="D23" s="295">
        <f t="shared" si="0"/>
        <v>1468</v>
      </c>
      <c r="E23" s="293">
        <v>0</v>
      </c>
      <c r="F23" s="294">
        <v>0</v>
      </c>
      <c r="G23" s="295">
        <f t="shared" si="1"/>
        <v>0</v>
      </c>
      <c r="H23" s="293">
        <v>0</v>
      </c>
      <c r="I23" s="294">
        <v>178</v>
      </c>
      <c r="J23" s="295">
        <f t="shared" si="2"/>
        <v>-178</v>
      </c>
      <c r="K23" s="270">
        <f t="shared" si="3"/>
        <v>15959</v>
      </c>
      <c r="L23" s="271">
        <f t="shared" si="4"/>
        <v>14669</v>
      </c>
      <c r="M23" s="294">
        <f t="shared" si="5"/>
        <v>1290</v>
      </c>
      <c r="N23" s="296">
        <f t="shared" si="6"/>
        <v>91.9167867660881</v>
      </c>
    </row>
    <row r="24" spans="1:14" s="303" customFormat="1" ht="19.5" customHeight="1" thickBot="1" thickTop="1">
      <c r="A24" s="318" t="s">
        <v>2195</v>
      </c>
      <c r="B24" s="319">
        <f>B23+B22</f>
        <v>1213775</v>
      </c>
      <c r="C24" s="320">
        <f aca="true" t="shared" si="8" ref="C24:M24">C23+C22</f>
        <v>1217664</v>
      </c>
      <c r="D24" s="321">
        <f t="shared" si="8"/>
        <v>-3889</v>
      </c>
      <c r="E24" s="319">
        <f t="shared" si="8"/>
        <v>0</v>
      </c>
      <c r="F24" s="320">
        <f t="shared" si="8"/>
        <v>1569</v>
      </c>
      <c r="G24" s="321">
        <f t="shared" si="8"/>
        <v>-1569</v>
      </c>
      <c r="H24" s="319">
        <f t="shared" si="8"/>
        <v>50520</v>
      </c>
      <c r="I24" s="320">
        <f t="shared" si="8"/>
        <v>215615</v>
      </c>
      <c r="J24" s="321">
        <f t="shared" si="8"/>
        <v>-165095</v>
      </c>
      <c r="K24" s="319">
        <f t="shared" si="8"/>
        <v>1264295</v>
      </c>
      <c r="L24" s="320">
        <f t="shared" si="8"/>
        <v>1434848</v>
      </c>
      <c r="M24" s="320">
        <f t="shared" si="8"/>
        <v>-170553</v>
      </c>
      <c r="N24" s="323">
        <f t="shared" si="6"/>
        <v>113.48996871774388</v>
      </c>
    </row>
    <row r="25" ht="13.5" thickTop="1"/>
    <row r="27" spans="1:14" s="305" customFormat="1" ht="15">
      <c r="A27" s="304" t="s">
        <v>2173</v>
      </c>
      <c r="F27" s="305" t="s">
        <v>2174</v>
      </c>
      <c r="M27" s="996" t="s">
        <v>2137</v>
      </c>
      <c r="N27" s="996"/>
    </row>
  </sheetData>
  <mergeCells count="8">
    <mergeCell ref="M27:N27"/>
    <mergeCell ref="M1:N1"/>
    <mergeCell ref="A3:N3"/>
    <mergeCell ref="A5:A6"/>
    <mergeCell ref="B5:D5"/>
    <mergeCell ref="E5:G5"/>
    <mergeCell ref="H5:J5"/>
    <mergeCell ref="K5:N5"/>
  </mergeCells>
  <printOptions horizontalCentered="1"/>
  <pageMargins left="0.5905511811023623" right="0.5905511811023623" top="0.984251968503937" bottom="0.7874015748031497" header="0.7086614173228347" footer="0.31496062992125984"/>
  <pageSetup fitToHeight="1" fitToWidth="1" horizontalDpi="600" verticalDpi="600" orientation="landscape" paperSize="9" scale="68" r:id="rId1"/>
  <headerFooter alignWithMargins="0">
    <oddFooter>&amp;C&amp;14 &amp;12&amp;P+110
&amp;14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workbookViewId="0" topLeftCell="A4">
      <selection activeCell="B5" sqref="B5:D5"/>
    </sheetView>
  </sheetViews>
  <sheetFormatPr defaultColWidth="9.00390625" defaultRowHeight="12.75"/>
  <cols>
    <col min="1" max="1" width="32.75390625" style="0" customWidth="1"/>
    <col min="2" max="14" width="12.75390625" style="0" customWidth="1"/>
  </cols>
  <sheetData>
    <row r="1" spans="1:14" ht="18">
      <c r="A1" s="156" t="s">
        <v>2106</v>
      </c>
      <c r="M1" s="1011" t="s">
        <v>2196</v>
      </c>
      <c r="N1" s="1011"/>
    </row>
    <row r="2" spans="1:14" ht="15.75">
      <c r="A2" s="155"/>
      <c r="M2" s="248"/>
      <c r="N2" s="248"/>
    </row>
    <row r="3" spans="1:14" ht="30" customHeight="1">
      <c r="A3" s="1010" t="s">
        <v>2197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</row>
    <row r="4" ht="27" customHeight="1" thickBot="1">
      <c r="N4" s="246" t="s">
        <v>2109</v>
      </c>
    </row>
    <row r="5" spans="1:14" s="250" customFormat="1" ht="48" customHeight="1" thickTop="1">
      <c r="A5" s="999" t="s">
        <v>2198</v>
      </c>
      <c r="B5" s="1001" t="s">
        <v>2199</v>
      </c>
      <c r="C5" s="1002"/>
      <c r="D5" s="1003"/>
      <c r="E5" s="1001" t="s">
        <v>2142</v>
      </c>
      <c r="F5" s="1002"/>
      <c r="G5" s="1003"/>
      <c r="H5" s="1001" t="s">
        <v>2143</v>
      </c>
      <c r="I5" s="1002"/>
      <c r="J5" s="1003"/>
      <c r="K5" s="1005" t="s">
        <v>2144</v>
      </c>
      <c r="L5" s="1006"/>
      <c r="M5" s="1006"/>
      <c r="N5" s="1007"/>
    </row>
    <row r="6" spans="1:14" s="250" customFormat="1" ht="32.25" customHeight="1" thickBot="1">
      <c r="A6" s="1000"/>
      <c r="B6" s="251" t="s">
        <v>2120</v>
      </c>
      <c r="C6" s="252" t="s">
        <v>2145</v>
      </c>
      <c r="D6" s="253" t="s">
        <v>2146</v>
      </c>
      <c r="E6" s="251" t="s">
        <v>2120</v>
      </c>
      <c r="F6" s="252" t="s">
        <v>2145</v>
      </c>
      <c r="G6" s="253" t="s">
        <v>2146</v>
      </c>
      <c r="H6" s="251" t="s">
        <v>2120</v>
      </c>
      <c r="I6" s="252" t="s">
        <v>2145</v>
      </c>
      <c r="J6" s="253" t="s">
        <v>2146</v>
      </c>
      <c r="K6" s="251" t="s">
        <v>2120</v>
      </c>
      <c r="L6" s="252" t="s">
        <v>2145</v>
      </c>
      <c r="M6" s="252" t="s">
        <v>2146</v>
      </c>
      <c r="N6" s="306" t="s">
        <v>2148</v>
      </c>
    </row>
    <row r="7" spans="1:14" s="250" customFormat="1" ht="18" customHeight="1" thickBot="1">
      <c r="A7" s="257"/>
      <c r="B7" s="258" t="s">
        <v>2149</v>
      </c>
      <c r="C7" s="259" t="s">
        <v>2150</v>
      </c>
      <c r="D7" s="260" t="s">
        <v>2151</v>
      </c>
      <c r="E7" s="258" t="s">
        <v>2149</v>
      </c>
      <c r="F7" s="259" t="s">
        <v>2150</v>
      </c>
      <c r="G7" s="260" t="s">
        <v>2151</v>
      </c>
      <c r="H7" s="258" t="s">
        <v>2149</v>
      </c>
      <c r="I7" s="259" t="s">
        <v>2150</v>
      </c>
      <c r="J7" s="260" t="s">
        <v>2151</v>
      </c>
      <c r="K7" s="258" t="s">
        <v>2149</v>
      </c>
      <c r="L7" s="259" t="s">
        <v>2150</v>
      </c>
      <c r="M7" s="259" t="s">
        <v>2151</v>
      </c>
      <c r="N7" s="324"/>
    </row>
    <row r="8" spans="1:14" s="250" customFormat="1" ht="24" customHeight="1">
      <c r="A8" s="283" t="s">
        <v>2200</v>
      </c>
      <c r="B8" s="284">
        <v>429984</v>
      </c>
      <c r="C8" s="285">
        <v>428107</v>
      </c>
      <c r="D8" s="286">
        <f>B8-C8</f>
        <v>1877</v>
      </c>
      <c r="E8" s="284">
        <v>0</v>
      </c>
      <c r="F8" s="285">
        <v>0</v>
      </c>
      <c r="G8" s="286">
        <f>E8-F8</f>
        <v>0</v>
      </c>
      <c r="H8" s="284">
        <f>8809+11200-E8</f>
        <v>20009</v>
      </c>
      <c r="I8" s="285">
        <f>8109+805+9395-F8</f>
        <v>18309</v>
      </c>
      <c r="J8" s="286">
        <f>H8-I8</f>
        <v>1700</v>
      </c>
      <c r="K8" s="284">
        <f>B8+E8+H8</f>
        <v>449993</v>
      </c>
      <c r="L8" s="285">
        <f>C8+F8+I8</f>
        <v>446416</v>
      </c>
      <c r="M8" s="285">
        <f>K8-L8</f>
        <v>3577</v>
      </c>
      <c r="N8" s="287">
        <f>L8/K8*100</f>
        <v>99.2050987459805</v>
      </c>
    </row>
    <row r="9" spans="1:14" s="250" customFormat="1" ht="24" customHeight="1">
      <c r="A9" s="283" t="s">
        <v>2201</v>
      </c>
      <c r="B9" s="284">
        <v>281871</v>
      </c>
      <c r="C9" s="285">
        <v>284748</v>
      </c>
      <c r="D9" s="286">
        <f aca="true" t="shared" si="0" ref="D9:D15">B9-C9</f>
        <v>-2877</v>
      </c>
      <c r="E9" s="284">
        <v>211</v>
      </c>
      <c r="F9" s="285">
        <v>82</v>
      </c>
      <c r="G9" s="286">
        <f aca="true" t="shared" si="1" ref="G9:G15">E9-F9</f>
        <v>129</v>
      </c>
      <c r="H9" s="284">
        <f>9158+30559+211-E9</f>
        <v>39717</v>
      </c>
      <c r="I9" s="285">
        <f>9023+10390+699-F9</f>
        <v>20030</v>
      </c>
      <c r="J9" s="286">
        <f aca="true" t="shared" si="2" ref="J9:J15">H9-I9</f>
        <v>19687</v>
      </c>
      <c r="K9" s="284">
        <f aca="true" t="shared" si="3" ref="K9:L15">B9+E9+H9</f>
        <v>321799</v>
      </c>
      <c r="L9" s="285">
        <f t="shared" si="3"/>
        <v>304860</v>
      </c>
      <c r="M9" s="285">
        <f aca="true" t="shared" si="4" ref="M9:M15">K9-L9</f>
        <v>16939</v>
      </c>
      <c r="N9" s="287">
        <f aca="true" t="shared" si="5" ref="N9:N16">L9/K9*100</f>
        <v>94.73615517761087</v>
      </c>
    </row>
    <row r="10" spans="1:14" s="250" customFormat="1" ht="24" customHeight="1">
      <c r="A10" s="325" t="s">
        <v>2202</v>
      </c>
      <c r="B10" s="284">
        <v>432705</v>
      </c>
      <c r="C10" s="285">
        <v>435921</v>
      </c>
      <c r="D10" s="286">
        <f t="shared" si="0"/>
        <v>-3216</v>
      </c>
      <c r="E10" s="284">
        <v>0</v>
      </c>
      <c r="F10" s="285">
        <v>106</v>
      </c>
      <c r="G10" s="286">
        <f t="shared" si="1"/>
        <v>-106</v>
      </c>
      <c r="H10" s="284">
        <f>22459+58620-E10</f>
        <v>81079</v>
      </c>
      <c r="I10" s="285">
        <f>15366+5366+9786-F10</f>
        <v>30412</v>
      </c>
      <c r="J10" s="286">
        <f t="shared" si="2"/>
        <v>50667</v>
      </c>
      <c r="K10" s="284">
        <f t="shared" si="3"/>
        <v>513784</v>
      </c>
      <c r="L10" s="285">
        <f t="shared" si="3"/>
        <v>466439</v>
      </c>
      <c r="M10" s="285">
        <f t="shared" si="4"/>
        <v>47345</v>
      </c>
      <c r="N10" s="287">
        <f t="shared" si="5"/>
        <v>90.78503807047319</v>
      </c>
    </row>
    <row r="11" spans="1:14" s="250" customFormat="1" ht="24" customHeight="1">
      <c r="A11" s="325" t="s">
        <v>2203</v>
      </c>
      <c r="B11" s="284">
        <v>555171</v>
      </c>
      <c r="C11" s="285">
        <v>558920</v>
      </c>
      <c r="D11" s="286">
        <f t="shared" si="0"/>
        <v>-3749</v>
      </c>
      <c r="E11" s="284">
        <v>20220</v>
      </c>
      <c r="F11" s="285">
        <v>431</v>
      </c>
      <c r="G11" s="286">
        <f t="shared" si="1"/>
        <v>19789</v>
      </c>
      <c r="H11" s="284">
        <f>20185+21869+20220-E11</f>
        <v>42054</v>
      </c>
      <c r="I11" s="285">
        <f>14545+1733+5429-F11</f>
        <v>21276</v>
      </c>
      <c r="J11" s="286">
        <f t="shared" si="2"/>
        <v>20778</v>
      </c>
      <c r="K11" s="284">
        <f t="shared" si="3"/>
        <v>617445</v>
      </c>
      <c r="L11" s="285">
        <f t="shared" si="3"/>
        <v>580627</v>
      </c>
      <c r="M11" s="285">
        <f t="shared" si="4"/>
        <v>36818</v>
      </c>
      <c r="N11" s="287">
        <f t="shared" si="5"/>
        <v>94.0370397363328</v>
      </c>
    </row>
    <row r="12" spans="1:14" s="250" customFormat="1" ht="24" customHeight="1">
      <c r="A12" s="325" t="s">
        <v>2204</v>
      </c>
      <c r="B12" s="284">
        <v>378105</v>
      </c>
      <c r="C12" s="285">
        <v>384840</v>
      </c>
      <c r="D12" s="286">
        <f t="shared" si="0"/>
        <v>-6735</v>
      </c>
      <c r="E12" s="284">
        <v>0</v>
      </c>
      <c r="F12" s="285">
        <v>0</v>
      </c>
      <c r="G12" s="286">
        <f t="shared" si="1"/>
        <v>0</v>
      </c>
      <c r="H12" s="284">
        <f>9659+40500-E12</f>
        <v>50159</v>
      </c>
      <c r="I12" s="285">
        <f>8886+4842+1513-F12</f>
        <v>15241</v>
      </c>
      <c r="J12" s="286">
        <f t="shared" si="2"/>
        <v>34918</v>
      </c>
      <c r="K12" s="284">
        <f t="shared" si="3"/>
        <v>428264</v>
      </c>
      <c r="L12" s="285">
        <f t="shared" si="3"/>
        <v>400081</v>
      </c>
      <c r="M12" s="285">
        <f t="shared" si="4"/>
        <v>28183</v>
      </c>
      <c r="N12" s="287">
        <f t="shared" si="5"/>
        <v>93.41924607251602</v>
      </c>
    </row>
    <row r="13" spans="1:14" s="250" customFormat="1" ht="24" customHeight="1">
      <c r="A13" s="283" t="s">
        <v>2205</v>
      </c>
      <c r="B13" s="284">
        <v>719590</v>
      </c>
      <c r="C13" s="285">
        <v>720973</v>
      </c>
      <c r="D13" s="286">
        <f t="shared" si="0"/>
        <v>-1383</v>
      </c>
      <c r="E13" s="284">
        <v>20146</v>
      </c>
      <c r="F13" s="285">
        <v>6612</v>
      </c>
      <c r="G13" s="286">
        <f t="shared" si="1"/>
        <v>13534</v>
      </c>
      <c r="H13" s="284">
        <f>12821+38900+20146-E13</f>
        <v>51721</v>
      </c>
      <c r="I13" s="285">
        <f>20164+10289+39895-F13</f>
        <v>63736</v>
      </c>
      <c r="J13" s="286">
        <f t="shared" si="2"/>
        <v>-12015</v>
      </c>
      <c r="K13" s="284">
        <f t="shared" si="3"/>
        <v>791457</v>
      </c>
      <c r="L13" s="285">
        <f t="shared" si="3"/>
        <v>791321</v>
      </c>
      <c r="M13" s="285">
        <f t="shared" si="4"/>
        <v>136</v>
      </c>
      <c r="N13" s="287">
        <f t="shared" si="5"/>
        <v>99.98281650171772</v>
      </c>
    </row>
    <row r="14" spans="1:14" s="250" customFormat="1" ht="24" customHeight="1">
      <c r="A14" s="283" t="s">
        <v>2206</v>
      </c>
      <c r="B14" s="284">
        <v>713049</v>
      </c>
      <c r="C14" s="285">
        <f>714989</f>
        <v>714989</v>
      </c>
      <c r="D14" s="286">
        <f t="shared" si="0"/>
        <v>-1940</v>
      </c>
      <c r="E14" s="284">
        <v>93</v>
      </c>
      <c r="F14" s="285">
        <v>9369</v>
      </c>
      <c r="G14" s="286">
        <f t="shared" si="1"/>
        <v>-9276</v>
      </c>
      <c r="H14" s="284">
        <f>18621+52000+93-E14</f>
        <v>70621</v>
      </c>
      <c r="I14" s="285">
        <f>14718+23730+12115-F14</f>
        <v>41194</v>
      </c>
      <c r="J14" s="286">
        <f t="shared" si="2"/>
        <v>29427</v>
      </c>
      <c r="K14" s="284">
        <f t="shared" si="3"/>
        <v>783763</v>
      </c>
      <c r="L14" s="285">
        <f t="shared" si="3"/>
        <v>765552</v>
      </c>
      <c r="M14" s="285">
        <f t="shared" si="4"/>
        <v>18211</v>
      </c>
      <c r="N14" s="287">
        <f t="shared" si="5"/>
        <v>97.67646597249423</v>
      </c>
    </row>
    <row r="15" spans="1:14" s="250" customFormat="1" ht="24" customHeight="1" thickBot="1">
      <c r="A15" s="283" t="s">
        <v>2207</v>
      </c>
      <c r="B15" s="284">
        <v>817947</v>
      </c>
      <c r="C15" s="285">
        <v>820842</v>
      </c>
      <c r="D15" s="286">
        <f t="shared" si="0"/>
        <v>-2895</v>
      </c>
      <c r="E15" s="284">
        <v>10555</v>
      </c>
      <c r="F15" s="285">
        <v>0</v>
      </c>
      <c r="G15" s="286">
        <f t="shared" si="1"/>
        <v>10555</v>
      </c>
      <c r="H15" s="284">
        <f>11894+3400+10555-E15</f>
        <v>15294</v>
      </c>
      <c r="I15" s="285">
        <f>17461+1974+1373-F15</f>
        <v>20808</v>
      </c>
      <c r="J15" s="286">
        <f t="shared" si="2"/>
        <v>-5514</v>
      </c>
      <c r="K15" s="284">
        <f t="shared" si="3"/>
        <v>843796</v>
      </c>
      <c r="L15" s="285">
        <f t="shared" si="3"/>
        <v>841650</v>
      </c>
      <c r="M15" s="285">
        <f t="shared" si="4"/>
        <v>2146</v>
      </c>
      <c r="N15" s="287">
        <f t="shared" si="5"/>
        <v>99.74567312478372</v>
      </c>
    </row>
    <row r="16" spans="1:14" s="303" customFormat="1" ht="31.5" customHeight="1" thickBot="1">
      <c r="A16" s="298" t="s">
        <v>2208</v>
      </c>
      <c r="B16" s="299">
        <f aca="true" t="shared" si="6" ref="B16:M16">SUM(B8:B15)</f>
        <v>4328422</v>
      </c>
      <c r="C16" s="300">
        <f t="shared" si="6"/>
        <v>4349340</v>
      </c>
      <c r="D16" s="301">
        <f t="shared" si="6"/>
        <v>-20918</v>
      </c>
      <c r="E16" s="299">
        <f t="shared" si="6"/>
        <v>51225</v>
      </c>
      <c r="F16" s="300">
        <f t="shared" si="6"/>
        <v>16600</v>
      </c>
      <c r="G16" s="301">
        <f t="shared" si="6"/>
        <v>34625</v>
      </c>
      <c r="H16" s="299">
        <f t="shared" si="6"/>
        <v>370654</v>
      </c>
      <c r="I16" s="300">
        <f t="shared" si="6"/>
        <v>231006</v>
      </c>
      <c r="J16" s="301">
        <f t="shared" si="6"/>
        <v>139648</v>
      </c>
      <c r="K16" s="299">
        <f t="shared" si="6"/>
        <v>4750301</v>
      </c>
      <c r="L16" s="300">
        <f t="shared" si="6"/>
        <v>4596946</v>
      </c>
      <c r="M16" s="300">
        <f t="shared" si="6"/>
        <v>153355</v>
      </c>
      <c r="N16" s="302">
        <f t="shared" si="5"/>
        <v>96.77167825786196</v>
      </c>
    </row>
    <row r="17" ht="13.5" thickTop="1"/>
    <row r="19" spans="1:14" s="305" customFormat="1" ht="15">
      <c r="A19" s="304" t="s">
        <v>2173</v>
      </c>
      <c r="F19" s="305" t="s">
        <v>2174</v>
      </c>
      <c r="M19" s="996" t="s">
        <v>2175</v>
      </c>
      <c r="N19" s="996"/>
    </row>
  </sheetData>
  <mergeCells count="8">
    <mergeCell ref="M19:N19"/>
    <mergeCell ref="M1:N1"/>
    <mergeCell ref="A3:N3"/>
    <mergeCell ref="A5:A6"/>
    <mergeCell ref="B5:D5"/>
    <mergeCell ref="E5:G5"/>
    <mergeCell ref="H5:J5"/>
    <mergeCell ref="K5:N5"/>
  </mergeCells>
  <printOptions/>
  <pageMargins left="0.75" right="0.75" top="1" bottom="1" header="0.4921259845" footer="0.4921259845"/>
  <pageSetup fitToHeight="1" fitToWidth="1" horizontalDpi="600" verticalDpi="600" orientation="landscape" paperSize="9" scale="66" r:id="rId1"/>
  <headerFooter alignWithMargins="0">
    <oddFooter>&amp;C&amp;12&amp;P+111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="80" zoomScaleNormal="80" workbookViewId="0" topLeftCell="A1">
      <selection activeCell="B16" sqref="B16"/>
    </sheetView>
  </sheetViews>
  <sheetFormatPr defaultColWidth="9.00390625" defaultRowHeight="12.75"/>
  <cols>
    <col min="1" max="1" width="5.75390625" style="67" customWidth="1"/>
    <col min="2" max="2" width="43.75390625" style="67" bestFit="1" customWidth="1"/>
    <col min="3" max="4" width="18.125" style="67" customWidth="1"/>
    <col min="5" max="5" width="27.625" style="67" customWidth="1"/>
    <col min="6" max="6" width="23.125" style="67" customWidth="1"/>
    <col min="7" max="8" width="18.125" style="67" customWidth="1"/>
    <col min="9" max="9" width="5.75390625" style="67" hidden="1" customWidth="1"/>
    <col min="10" max="10" width="32.625" style="67" hidden="1" customWidth="1"/>
    <col min="11" max="11" width="18.75390625" style="67" customWidth="1"/>
    <col min="12" max="16" width="18.125" style="67" customWidth="1"/>
    <col min="17" max="17" width="15.875" style="67" customWidth="1"/>
    <col min="18" max="18" width="19.625" style="67" customWidth="1"/>
    <col min="19" max="16384" width="8.875" style="67" customWidth="1"/>
  </cols>
  <sheetData>
    <row r="1" spans="1:18" s="419" customFormat="1" ht="20.25" customHeight="1">
      <c r="A1" s="1012" t="s">
        <v>2106</v>
      </c>
      <c r="B1" s="1012"/>
      <c r="R1" s="420" t="s">
        <v>2258</v>
      </c>
    </row>
    <row r="2" spans="3:6" ht="17.25" customHeight="1">
      <c r="C2" s="327"/>
      <c r="D2" s="327"/>
      <c r="E2" s="327"/>
      <c r="F2" s="327"/>
    </row>
    <row r="3" spans="1:18" ht="31.5" customHeight="1">
      <c r="A3" s="988" t="s">
        <v>2211</v>
      </c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</row>
    <row r="4" spans="1:18" ht="21" customHeight="1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</row>
    <row r="5" spans="2:18" ht="16.5" thickBot="1">
      <c r="B5" s="989"/>
      <c r="C5" s="989"/>
      <c r="D5" s="989"/>
      <c r="E5" s="989"/>
      <c r="F5" s="989"/>
      <c r="G5" s="989"/>
      <c r="H5" s="989"/>
      <c r="I5" s="989"/>
      <c r="J5" s="989"/>
      <c r="K5" s="989"/>
      <c r="L5" s="989"/>
      <c r="M5" s="989"/>
      <c r="N5" s="989"/>
      <c r="O5" s="329"/>
      <c r="P5" s="329"/>
      <c r="Q5" s="329"/>
      <c r="R5" s="330" t="s">
        <v>2212</v>
      </c>
    </row>
    <row r="6" spans="1:18" ht="21.75" customHeight="1" thickBot="1">
      <c r="A6" s="990"/>
      <c r="B6" s="993" t="s">
        <v>2213</v>
      </c>
      <c r="C6" s="982" t="s">
        <v>2214</v>
      </c>
      <c r="D6" s="985" t="s">
        <v>2215</v>
      </c>
      <c r="E6" s="1022" t="s">
        <v>2255</v>
      </c>
      <c r="F6" s="1023"/>
      <c r="G6" s="985" t="s">
        <v>2216</v>
      </c>
      <c r="H6" s="1024"/>
      <c r="I6" s="990"/>
      <c r="J6" s="993" t="s">
        <v>2213</v>
      </c>
      <c r="K6" s="1020" t="s">
        <v>2256</v>
      </c>
      <c r="L6" s="1020" t="s">
        <v>2217</v>
      </c>
      <c r="M6" s="985" t="s">
        <v>2218</v>
      </c>
      <c r="N6" s="1024"/>
      <c r="O6" s="1029" t="s">
        <v>2219</v>
      </c>
      <c r="P6" s="1030"/>
      <c r="Q6" s="1020" t="s">
        <v>2220</v>
      </c>
      <c r="R6" s="1020" t="s">
        <v>2221</v>
      </c>
    </row>
    <row r="7" spans="1:18" ht="54" customHeight="1" thickBot="1">
      <c r="A7" s="991"/>
      <c r="B7" s="980"/>
      <c r="C7" s="983"/>
      <c r="D7" s="986"/>
      <c r="E7" s="979" t="s">
        <v>2257</v>
      </c>
      <c r="F7" s="1018" t="s">
        <v>2222</v>
      </c>
      <c r="G7" s="1025"/>
      <c r="H7" s="1026"/>
      <c r="I7" s="991"/>
      <c r="J7" s="980"/>
      <c r="K7" s="1021"/>
      <c r="L7" s="1021"/>
      <c r="M7" s="987"/>
      <c r="N7" s="1028"/>
      <c r="O7" s="1031"/>
      <c r="P7" s="1032"/>
      <c r="Q7" s="1021"/>
      <c r="R7" s="1021"/>
    </row>
    <row r="8" spans="1:18" ht="67.5" customHeight="1" thickBot="1">
      <c r="A8" s="992"/>
      <c r="B8" s="981"/>
      <c r="C8" s="984"/>
      <c r="D8" s="987"/>
      <c r="E8" s="1017"/>
      <c r="F8" s="1019"/>
      <c r="G8" s="333" t="s">
        <v>2212</v>
      </c>
      <c r="H8" s="333" t="s">
        <v>2223</v>
      </c>
      <c r="I8" s="992"/>
      <c r="J8" s="981"/>
      <c r="K8" s="1019"/>
      <c r="L8" s="1019"/>
      <c r="M8" s="332" t="s">
        <v>2224</v>
      </c>
      <c r="N8" s="332" t="s">
        <v>2225</v>
      </c>
      <c r="O8" s="331" t="s">
        <v>2226</v>
      </c>
      <c r="P8" s="331" t="s">
        <v>2227</v>
      </c>
      <c r="Q8" s="1019"/>
      <c r="R8" s="1019"/>
    </row>
    <row r="9" spans="1:18" s="343" customFormat="1" ht="21" customHeight="1" thickBot="1">
      <c r="A9" s="334"/>
      <c r="B9" s="335" t="s">
        <v>2149</v>
      </c>
      <c r="C9" s="336">
        <v>1</v>
      </c>
      <c r="D9" s="337">
        <v>2</v>
      </c>
      <c r="E9" s="338">
        <v>3</v>
      </c>
      <c r="F9" s="339">
        <v>4</v>
      </c>
      <c r="G9" s="336" t="s">
        <v>2228</v>
      </c>
      <c r="H9" s="336" t="s">
        <v>2229</v>
      </c>
      <c r="I9" s="334"/>
      <c r="J9" s="335" t="s">
        <v>2149</v>
      </c>
      <c r="K9" s="340">
        <v>7</v>
      </c>
      <c r="L9" s="340" t="s">
        <v>2230</v>
      </c>
      <c r="M9" s="341" t="s">
        <v>2231</v>
      </c>
      <c r="N9" s="342" t="s">
        <v>2232</v>
      </c>
      <c r="O9" s="341" t="s">
        <v>2233</v>
      </c>
      <c r="P9" s="341" t="s">
        <v>2234</v>
      </c>
      <c r="Q9" s="341" t="s">
        <v>2235</v>
      </c>
      <c r="R9" s="341" t="s">
        <v>2236</v>
      </c>
    </row>
    <row r="10" spans="1:18" ht="32.25" customHeight="1" thickBot="1">
      <c r="A10" s="344"/>
      <c r="B10" s="345" t="s">
        <v>2237</v>
      </c>
      <c r="C10" s="346">
        <f>SUM(C12:C23)</f>
        <v>4121039000</v>
      </c>
      <c r="D10" s="346">
        <f>SUM(D12:D23)</f>
        <v>3865609000</v>
      </c>
      <c r="E10" s="805">
        <f>SUM(E12:E25)-SUM(E17:E18)-SUM(E21:E22)</f>
        <v>3863476703.54</v>
      </c>
      <c r="F10" s="347">
        <f>SUM(F12:F25)-SUM(F17:F18)-SUM(F21:F22)</f>
        <v>0</v>
      </c>
      <c r="G10" s="347">
        <f>E10-D10</f>
        <v>-2132296.460000038</v>
      </c>
      <c r="H10" s="348">
        <f>E10/D10</f>
        <v>0.9994483931354672</v>
      </c>
      <c r="I10" s="344"/>
      <c r="J10" s="349" t="s">
        <v>2237</v>
      </c>
      <c r="K10" s="347">
        <v>3566076654</v>
      </c>
      <c r="L10" s="350">
        <f>E10/K10</f>
        <v>1.0833969873323985</v>
      </c>
      <c r="M10" s="347">
        <f>SUM(M12:M25)-SUM(M17:M18)-SUM(M21:M22)</f>
        <v>29459</v>
      </c>
      <c r="N10" s="347">
        <f>SUM(N12:N25)-SUM(N17:N18)-SUM(N21:N22)</f>
        <v>28715</v>
      </c>
      <c r="O10" s="351" t="s">
        <v>2238</v>
      </c>
      <c r="P10" s="351" t="s">
        <v>2238</v>
      </c>
      <c r="Q10" s="347">
        <f>SUM(Q12:Q25)-SUM(Q17:Q18)-SUM(Q21:Q22)</f>
        <v>2060</v>
      </c>
      <c r="R10" s="347">
        <f>SUM(R12:R25)-SUM(R17:R18)-SUM(R21:R22)</f>
        <v>121</v>
      </c>
    </row>
    <row r="11" spans="1:18" ht="24" customHeight="1">
      <c r="A11" s="352"/>
      <c r="B11" s="353" t="s">
        <v>2239</v>
      </c>
      <c r="C11" s="354"/>
      <c r="D11" s="354"/>
      <c r="E11" s="806"/>
      <c r="F11" s="355"/>
      <c r="G11" s="356"/>
      <c r="H11" s="357"/>
      <c r="I11" s="352"/>
      <c r="J11" s="353" t="s">
        <v>2239</v>
      </c>
      <c r="K11" s="358"/>
      <c r="L11" s="359"/>
      <c r="M11" s="360"/>
      <c r="N11" s="360"/>
      <c r="O11" s="361"/>
      <c r="P11" s="361"/>
      <c r="Q11" s="362"/>
      <c r="R11" s="362"/>
    </row>
    <row r="12" spans="1:18" ht="27" customHeight="1">
      <c r="A12" s="363">
        <v>1</v>
      </c>
      <c r="B12" s="364" t="s">
        <v>2240</v>
      </c>
      <c r="C12" s="365">
        <v>3624039000</v>
      </c>
      <c r="D12" s="365">
        <v>3404482000</v>
      </c>
      <c r="E12" s="807">
        <v>3402771084.25</v>
      </c>
      <c r="F12" s="366"/>
      <c r="G12" s="367">
        <f>E12-D12</f>
        <v>-1710915.75</v>
      </c>
      <c r="H12" s="368">
        <f>E12/D12</f>
        <v>0.999497451961855</v>
      </c>
      <c r="I12" s="363">
        <v>1</v>
      </c>
      <c r="J12" s="364" t="s">
        <v>2240</v>
      </c>
      <c r="K12" s="369">
        <v>3134654459</v>
      </c>
      <c r="L12" s="370">
        <f>E12/K12</f>
        <v>1.0855330719085168</v>
      </c>
      <c r="M12" s="371">
        <v>23204</v>
      </c>
      <c r="N12" s="371">
        <v>22482</v>
      </c>
      <c r="O12" s="372">
        <v>12195.7</v>
      </c>
      <c r="P12" s="372">
        <v>11486</v>
      </c>
      <c r="Q12" s="373">
        <v>1454</v>
      </c>
      <c r="R12" s="373">
        <v>121</v>
      </c>
    </row>
    <row r="13" spans="1:18" ht="27" customHeight="1">
      <c r="A13" s="374">
        <v>2</v>
      </c>
      <c r="B13" s="364" t="s">
        <v>2241</v>
      </c>
      <c r="C13" s="365">
        <v>221000000</v>
      </c>
      <c r="D13" s="365">
        <v>202386000</v>
      </c>
      <c r="E13" s="807">
        <v>202185343.29</v>
      </c>
      <c r="F13" s="366"/>
      <c r="G13" s="367">
        <f>E13-D13</f>
        <v>-200656.71000000834</v>
      </c>
      <c r="H13" s="368">
        <f>E13/D13</f>
        <v>0.9990085445139486</v>
      </c>
      <c r="I13" s="374">
        <v>2</v>
      </c>
      <c r="J13" s="364" t="s">
        <v>2241</v>
      </c>
      <c r="K13" s="369">
        <v>190709095</v>
      </c>
      <c r="L13" s="370">
        <f>E13/K13</f>
        <v>1.0601767225102714</v>
      </c>
      <c r="M13" s="371">
        <v>1361</v>
      </c>
      <c r="N13" s="371">
        <v>1388</v>
      </c>
      <c r="O13" s="372">
        <v>12190</v>
      </c>
      <c r="P13" s="372">
        <v>11463.81</v>
      </c>
      <c r="Q13" s="373">
        <v>86</v>
      </c>
      <c r="R13" s="373"/>
    </row>
    <row r="14" spans="1:18" ht="27" customHeight="1">
      <c r="A14" s="363">
        <v>3</v>
      </c>
      <c r="B14" s="364" t="s">
        <v>2242</v>
      </c>
      <c r="C14" s="365">
        <v>30000000</v>
      </c>
      <c r="D14" s="365">
        <v>31545000</v>
      </c>
      <c r="E14" s="807">
        <v>31535418</v>
      </c>
      <c r="F14" s="366"/>
      <c r="G14" s="367">
        <f>E14-D14</f>
        <v>-9582</v>
      </c>
      <c r="H14" s="368">
        <f>E14/D14</f>
        <v>0.9996962434617214</v>
      </c>
      <c r="I14" s="363">
        <v>3</v>
      </c>
      <c r="J14" s="364" t="s">
        <v>2243</v>
      </c>
      <c r="K14" s="369">
        <v>26277437</v>
      </c>
      <c r="L14" s="370">
        <f>E14/K14</f>
        <v>1.2000948950995487</v>
      </c>
      <c r="M14" s="371">
        <v>374</v>
      </c>
      <c r="N14" s="375">
        <v>338</v>
      </c>
      <c r="O14" s="372">
        <v>7270.95</v>
      </c>
      <c r="P14" s="372">
        <v>6835.05</v>
      </c>
      <c r="Q14" s="373">
        <v>64</v>
      </c>
      <c r="R14" s="373"/>
    </row>
    <row r="15" spans="1:18" ht="27" customHeight="1">
      <c r="A15" s="374">
        <v>4</v>
      </c>
      <c r="B15" s="364" t="s">
        <v>2244</v>
      </c>
      <c r="C15" s="376">
        <v>141000000</v>
      </c>
      <c r="D15" s="376">
        <v>128697000</v>
      </c>
      <c r="E15" s="808">
        <v>128580295</v>
      </c>
      <c r="F15" s="377"/>
      <c r="G15" s="367">
        <f>E15-D15</f>
        <v>-116705</v>
      </c>
      <c r="H15" s="368">
        <f>E15/D15</f>
        <v>0.9990931801052083</v>
      </c>
      <c r="I15" s="374">
        <v>4</v>
      </c>
      <c r="J15" s="364" t="s">
        <v>2244</v>
      </c>
      <c r="K15" s="377">
        <v>122842202</v>
      </c>
      <c r="L15" s="370">
        <f>E15/K15</f>
        <v>1.046711088751079</v>
      </c>
      <c r="M15" s="377">
        <v>1908</v>
      </c>
      <c r="N15" s="377">
        <v>1918</v>
      </c>
      <c r="O15" s="378">
        <v>5465.97</v>
      </c>
      <c r="P15" s="378">
        <v>5259.47</v>
      </c>
      <c r="Q15" s="377">
        <v>175</v>
      </c>
      <c r="R15" s="377">
        <f>R17+R18</f>
        <v>0</v>
      </c>
    </row>
    <row r="16" spans="1:18" ht="24" customHeight="1">
      <c r="A16" s="352"/>
      <c r="B16" s="379" t="s">
        <v>2245</v>
      </c>
      <c r="C16" s="354"/>
      <c r="D16" s="354"/>
      <c r="E16" s="380"/>
      <c r="F16" s="380"/>
      <c r="G16" s="356"/>
      <c r="H16" s="357"/>
      <c r="I16" s="352"/>
      <c r="J16" s="379" t="s">
        <v>2245</v>
      </c>
      <c r="K16" s="367"/>
      <c r="L16" s="381"/>
      <c r="M16" s="367"/>
      <c r="N16" s="367"/>
      <c r="O16" s="382"/>
      <c r="P16" s="382"/>
      <c r="Q16" s="362"/>
      <c r="R16" s="362"/>
    </row>
    <row r="17" spans="1:18" s="392" customFormat="1" ht="24" customHeight="1">
      <c r="A17" s="383" t="s">
        <v>2246</v>
      </c>
      <c r="B17" s="384" t="s">
        <v>2247</v>
      </c>
      <c r="C17" s="385" t="s">
        <v>2248</v>
      </c>
      <c r="D17" s="354" t="s">
        <v>2248</v>
      </c>
      <c r="E17" s="386"/>
      <c r="F17" s="386"/>
      <c r="G17" s="387"/>
      <c r="H17" s="357"/>
      <c r="I17" s="383" t="s">
        <v>2246</v>
      </c>
      <c r="J17" s="384" t="s">
        <v>2247</v>
      </c>
      <c r="K17" s="388" t="s">
        <v>2248</v>
      </c>
      <c r="L17" s="370" t="s">
        <v>2248</v>
      </c>
      <c r="M17" s="389">
        <v>1088</v>
      </c>
      <c r="N17" s="389">
        <v>1126</v>
      </c>
      <c r="O17" s="390">
        <v>7398.14</v>
      </c>
      <c r="P17" s="390">
        <v>6972</v>
      </c>
      <c r="Q17" s="391"/>
      <c r="R17" s="391"/>
    </row>
    <row r="18" spans="1:18" s="392" customFormat="1" ht="24" customHeight="1">
      <c r="A18" s="383" t="s">
        <v>2249</v>
      </c>
      <c r="B18" s="384" t="s">
        <v>2250</v>
      </c>
      <c r="C18" s="385" t="s">
        <v>2248</v>
      </c>
      <c r="D18" s="354"/>
      <c r="E18" s="386"/>
      <c r="F18" s="386"/>
      <c r="G18" s="387"/>
      <c r="H18" s="357"/>
      <c r="I18" s="383" t="s">
        <v>2249</v>
      </c>
      <c r="J18" s="384" t="s">
        <v>2250</v>
      </c>
      <c r="K18" s="393" t="s">
        <v>2248</v>
      </c>
      <c r="L18" s="370" t="s">
        <v>2248</v>
      </c>
      <c r="M18" s="389">
        <v>820</v>
      </c>
      <c r="N18" s="394">
        <v>792</v>
      </c>
      <c r="O18" s="390">
        <v>2902.32</v>
      </c>
      <c r="P18" s="390">
        <v>2824</v>
      </c>
      <c r="Q18" s="391"/>
      <c r="R18" s="391"/>
    </row>
    <row r="19" spans="1:18" ht="27" customHeight="1">
      <c r="A19" s="374">
        <v>5</v>
      </c>
      <c r="B19" s="364" t="s">
        <v>2251</v>
      </c>
      <c r="C19" s="376">
        <v>40000000</v>
      </c>
      <c r="D19" s="376">
        <v>36807000</v>
      </c>
      <c r="E19" s="808">
        <v>36767135</v>
      </c>
      <c r="F19" s="377">
        <f>F21+F22</f>
        <v>0</v>
      </c>
      <c r="G19" s="359">
        <f>E19-D19</f>
        <v>-39865</v>
      </c>
      <c r="H19" s="381">
        <f>E19/D19</f>
        <v>0.9989169179775587</v>
      </c>
      <c r="I19" s="374">
        <v>5</v>
      </c>
      <c r="J19" s="364" t="s">
        <v>2251</v>
      </c>
      <c r="K19" s="377">
        <v>34267513</v>
      </c>
      <c r="L19" s="370">
        <f>E19/K19</f>
        <v>1.0729443657028743</v>
      </c>
      <c r="M19" s="377">
        <v>1771</v>
      </c>
      <c r="N19" s="377">
        <v>1726</v>
      </c>
      <c r="O19" s="378">
        <v>1689.77</v>
      </c>
      <c r="P19" s="378">
        <v>1601.33</v>
      </c>
      <c r="Q19" s="377">
        <v>198</v>
      </c>
      <c r="R19" s="377">
        <f>R21+R22</f>
        <v>0</v>
      </c>
    </row>
    <row r="20" spans="1:18" s="398" customFormat="1" ht="24" customHeight="1">
      <c r="A20" s="395"/>
      <c r="B20" s="379" t="s">
        <v>2245</v>
      </c>
      <c r="C20" s="354"/>
      <c r="D20" s="354"/>
      <c r="E20" s="380"/>
      <c r="F20" s="380"/>
      <c r="G20" s="356"/>
      <c r="H20" s="357"/>
      <c r="I20" s="395"/>
      <c r="J20" s="379" t="s">
        <v>2245</v>
      </c>
      <c r="K20" s="367"/>
      <c r="L20" s="396"/>
      <c r="M20" s="367"/>
      <c r="N20" s="367"/>
      <c r="O20" s="382"/>
      <c r="P20" s="382"/>
      <c r="Q20" s="397"/>
      <c r="R20" s="397"/>
    </row>
    <row r="21" spans="1:18" s="392" customFormat="1" ht="24" customHeight="1">
      <c r="A21" s="383" t="s">
        <v>2252</v>
      </c>
      <c r="B21" s="384" t="s">
        <v>2247</v>
      </c>
      <c r="C21" s="385" t="s">
        <v>2248</v>
      </c>
      <c r="D21" s="354" t="s">
        <v>2248</v>
      </c>
      <c r="E21" s="386"/>
      <c r="F21" s="386"/>
      <c r="G21" s="387"/>
      <c r="H21" s="357"/>
      <c r="I21" s="383" t="s">
        <v>2252</v>
      </c>
      <c r="J21" s="384" t="s">
        <v>2247</v>
      </c>
      <c r="K21" s="393" t="s">
        <v>2248</v>
      </c>
      <c r="L21" s="370" t="s">
        <v>2248</v>
      </c>
      <c r="M21" s="389">
        <v>30</v>
      </c>
      <c r="N21" s="389">
        <v>29</v>
      </c>
      <c r="O21" s="390">
        <v>6637.31</v>
      </c>
      <c r="P21" s="390">
        <v>6205.54</v>
      </c>
      <c r="Q21" s="391"/>
      <c r="R21" s="391"/>
    </row>
    <row r="22" spans="1:18" s="392" customFormat="1" ht="24" customHeight="1">
      <c r="A22" s="383" t="s">
        <v>2253</v>
      </c>
      <c r="B22" s="384" t="s">
        <v>2250</v>
      </c>
      <c r="C22" s="385" t="s">
        <v>2248</v>
      </c>
      <c r="D22" s="354" t="s">
        <v>2248</v>
      </c>
      <c r="E22" s="386"/>
      <c r="F22" s="386"/>
      <c r="G22" s="387"/>
      <c r="H22" s="357"/>
      <c r="I22" s="383" t="s">
        <v>2253</v>
      </c>
      <c r="J22" s="384" t="s">
        <v>2250</v>
      </c>
      <c r="K22" s="399" t="s">
        <v>2248</v>
      </c>
      <c r="L22" s="370" t="s">
        <v>2248</v>
      </c>
      <c r="M22" s="389">
        <v>1741</v>
      </c>
      <c r="N22" s="389">
        <v>1697</v>
      </c>
      <c r="O22" s="390">
        <v>1604.52</v>
      </c>
      <c r="P22" s="390">
        <v>1522.65</v>
      </c>
      <c r="Q22" s="391"/>
      <c r="R22" s="391"/>
    </row>
    <row r="23" spans="1:18" ht="27" customHeight="1">
      <c r="A23" s="374">
        <v>6</v>
      </c>
      <c r="B23" s="364" t="s">
        <v>2254</v>
      </c>
      <c r="C23" s="365">
        <v>65000000</v>
      </c>
      <c r="D23" s="365">
        <v>61692000</v>
      </c>
      <c r="E23" s="809">
        <v>61637428</v>
      </c>
      <c r="F23" s="400"/>
      <c r="G23" s="367">
        <f>E23-D23</f>
        <v>-54572</v>
      </c>
      <c r="H23" s="368">
        <f>E23/D23</f>
        <v>0.9991154120469429</v>
      </c>
      <c r="I23" s="374">
        <v>6</v>
      </c>
      <c r="J23" s="364" t="s">
        <v>2254</v>
      </c>
      <c r="K23" s="401">
        <v>57325948</v>
      </c>
      <c r="L23" s="370">
        <f>E23/K23</f>
        <v>1.0752099206453594</v>
      </c>
      <c r="M23" s="371">
        <v>841</v>
      </c>
      <c r="N23" s="371">
        <v>863</v>
      </c>
      <c r="O23" s="372">
        <v>5831.37</v>
      </c>
      <c r="P23" s="372">
        <v>5352.75</v>
      </c>
      <c r="Q23" s="373">
        <v>83</v>
      </c>
      <c r="R23" s="373">
        <v>0</v>
      </c>
    </row>
    <row r="24" spans="1:18" ht="24" customHeight="1">
      <c r="A24" s="352"/>
      <c r="B24" s="353"/>
      <c r="C24" s="354"/>
      <c r="D24" s="354"/>
      <c r="E24" s="355"/>
      <c r="F24" s="355"/>
      <c r="G24" s="356"/>
      <c r="H24" s="357"/>
      <c r="I24" s="352"/>
      <c r="J24" s="353"/>
      <c r="K24" s="380"/>
      <c r="L24" s="402"/>
      <c r="M24" s="355"/>
      <c r="N24" s="355"/>
      <c r="O24" s="372"/>
      <c r="P24" s="372"/>
      <c r="Q24" s="403"/>
      <c r="R24" s="403"/>
    </row>
    <row r="25" spans="1:18" ht="24" customHeight="1" thickBot="1">
      <c r="A25" s="404"/>
      <c r="B25" s="405"/>
      <c r="C25" s="406"/>
      <c r="D25" s="406"/>
      <c r="E25" s="407"/>
      <c r="F25" s="407"/>
      <c r="G25" s="408"/>
      <c r="H25" s="409"/>
      <c r="I25" s="404"/>
      <c r="J25" s="405"/>
      <c r="K25" s="410"/>
      <c r="L25" s="411"/>
      <c r="M25" s="407"/>
      <c r="N25" s="407"/>
      <c r="O25" s="412"/>
      <c r="P25" s="412"/>
      <c r="Q25" s="413"/>
      <c r="R25" s="413"/>
    </row>
    <row r="26" ht="18" customHeight="1"/>
    <row r="27" spans="2:13" ht="18" customHeight="1">
      <c r="B27" s="326"/>
      <c r="C27" s="326"/>
      <c r="D27" s="326"/>
      <c r="E27" s="326"/>
      <c r="F27" s="326"/>
      <c r="G27" s="414"/>
      <c r="H27" s="326"/>
      <c r="J27" s="326"/>
      <c r="K27" s="326"/>
      <c r="L27" s="326"/>
      <c r="M27" s="326"/>
    </row>
    <row r="28" spans="1:17" ht="15">
      <c r="A28" s="1013" t="s">
        <v>2173</v>
      </c>
      <c r="B28" s="1014"/>
      <c r="D28" s="416"/>
      <c r="E28" s="416"/>
      <c r="F28" s="416"/>
      <c r="G28" s="1015" t="s">
        <v>2315</v>
      </c>
      <c r="H28" s="1015"/>
      <c r="I28" s="417"/>
      <c r="J28" s="417"/>
      <c r="K28" s="417"/>
      <c r="N28" s="415"/>
      <c r="O28" s="415"/>
      <c r="P28" s="417"/>
      <c r="Q28" s="67" t="s">
        <v>2137</v>
      </c>
    </row>
    <row r="29" spans="1:13" ht="18" customHeight="1">
      <c r="A29" s="1016"/>
      <c r="B29" s="1014"/>
      <c r="C29" s="418"/>
      <c r="D29" s="418"/>
      <c r="E29" s="326"/>
      <c r="F29" s="326"/>
      <c r="G29" s="326"/>
      <c r="H29" s="326"/>
      <c r="J29" s="1027"/>
      <c r="K29" s="1027"/>
      <c r="L29" s="1027"/>
      <c r="M29" s="1027"/>
    </row>
  </sheetData>
  <mergeCells count="23">
    <mergeCell ref="J29:M29"/>
    <mergeCell ref="Q6:Q8"/>
    <mergeCell ref="R6:R8"/>
    <mergeCell ref="M6:N7"/>
    <mergeCell ref="O6:P7"/>
    <mergeCell ref="E7:E8"/>
    <mergeCell ref="F7:F8"/>
    <mergeCell ref="K6:K8"/>
    <mergeCell ref="L6:L8"/>
    <mergeCell ref="E6:F6"/>
    <mergeCell ref="G6:H7"/>
    <mergeCell ref="I6:I8"/>
    <mergeCell ref="J6:J8"/>
    <mergeCell ref="A1:B1"/>
    <mergeCell ref="A28:B28"/>
    <mergeCell ref="G28:H28"/>
    <mergeCell ref="A29:B29"/>
    <mergeCell ref="A3:R3"/>
    <mergeCell ref="B5:N5"/>
    <mergeCell ref="A6:A8"/>
    <mergeCell ref="B6:B8"/>
    <mergeCell ref="C6:C8"/>
    <mergeCell ref="D6:D8"/>
  </mergeCells>
  <conditionalFormatting sqref="L20 H10">
    <cfRule type="expression" priority="1" dxfId="0" stopIfTrue="1">
      <formula>$H10&gt;0</formula>
    </cfRule>
  </conditionalFormatting>
  <conditionalFormatting sqref="L12:L19 L21:L25 K22 L10">
    <cfRule type="expression" priority="2" dxfId="0" stopIfTrue="1">
      <formula>$K10&gt;0</formula>
    </cfRule>
  </conditionalFormatting>
  <conditionalFormatting sqref="K23:K25 K12:K14 K20:K21 K16:K18 H24 H16 H20 D24 D16 D20">
    <cfRule type="cellIs" priority="3" dxfId="1" operator="equal" stopIfTrue="1">
      <formula>0</formula>
    </cfRule>
  </conditionalFormatting>
  <conditionalFormatting sqref="M15:N15 Q19:R19 K19 M19:N19 Q15:R15 K15 Q10:R10 J10:K10 C10:F10 C15:F15 C19:H19 M10:N10">
    <cfRule type="expression" priority="4" dxfId="0" stopIfTrue="1">
      <formula>C10&gt;0</formula>
    </cfRule>
  </conditionalFormatting>
  <conditionalFormatting sqref="G10">
    <cfRule type="cellIs" priority="5" dxfId="0" operator="greaterThanOrEqual" stopIfTrue="1">
      <formula>0</formula>
    </cfRule>
    <cfRule type="cellIs" priority="6" dxfId="2" operator="lessThan" stopIfTrue="1">
      <formula>0</formula>
    </cfRule>
  </conditionalFormatting>
  <conditionalFormatting sqref="D13">
    <cfRule type="cellIs" priority="7" dxfId="1" operator="lessThan" stopIfTrue="1">
      <formula>0</formula>
    </cfRule>
  </conditionalFormatting>
  <printOptions horizontalCentered="1"/>
  <pageMargins left="0.3937007874015748" right="0.3937007874015748" top="0.984251968503937" bottom="0.7874015748031497" header="0.7086614173228347" footer="0.5118110236220472"/>
  <pageSetup blackAndWhite="1" fitToHeight="1" fitToWidth="1" horizontalDpi="600" verticalDpi="600" orientation="landscape" paperSize="9" scale="44" r:id="rId1"/>
  <headerFooter alignWithMargins="0">
    <oddFooter>&amp;L
&amp;C&amp;18&amp;P+112
&amp;14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38"/>
  <sheetViews>
    <sheetView zoomScale="85" zoomScaleNormal="85" workbookViewId="0" topLeftCell="A13">
      <selection activeCell="A16" sqref="A16"/>
    </sheetView>
  </sheetViews>
  <sheetFormatPr defaultColWidth="8.875" defaultRowHeight="12.75"/>
  <cols>
    <col min="1" max="1" width="45.00390625" style="67" customWidth="1"/>
    <col min="2" max="2" width="18.875" style="67" customWidth="1"/>
    <col min="3" max="3" width="19.25390625" style="67" customWidth="1"/>
    <col min="4" max="4" width="24.125" style="67" customWidth="1"/>
    <col min="5" max="5" width="23.375" style="67" customWidth="1"/>
    <col min="6" max="6" width="18.375" style="67" customWidth="1"/>
    <col min="7" max="11" width="15.625" style="67" customWidth="1"/>
    <col min="12" max="12" width="2.75390625" style="67" customWidth="1"/>
    <col min="13" max="13" width="10.75390625" style="67" customWidth="1"/>
    <col min="14" max="16384" width="8.875" style="67" customWidth="1"/>
  </cols>
  <sheetData>
    <row r="1" spans="1:25" s="514" customFormat="1" ht="20.25" customHeight="1">
      <c r="A1" s="512" t="s">
        <v>2106</v>
      </c>
      <c r="B1" s="513"/>
      <c r="C1" s="513"/>
      <c r="D1" s="513"/>
      <c r="J1" s="1033" t="s">
        <v>2284</v>
      </c>
      <c r="K1" s="1033"/>
      <c r="Y1" s="515"/>
    </row>
    <row r="2" spans="2:5" ht="23.25" customHeight="1">
      <c r="B2" s="516"/>
      <c r="C2" s="516"/>
      <c r="D2" s="516"/>
      <c r="E2" s="516"/>
    </row>
    <row r="3" spans="1:19" s="518" customFormat="1" ht="24.75" customHeight="1">
      <c r="A3" s="1034" t="s">
        <v>2285</v>
      </c>
      <c r="B3" s="1034"/>
      <c r="C3" s="1034"/>
      <c r="D3" s="1034"/>
      <c r="E3" s="1034"/>
      <c r="F3" s="1034"/>
      <c r="G3" s="1034"/>
      <c r="H3" s="1034"/>
      <c r="I3" s="1034"/>
      <c r="J3" s="1034"/>
      <c r="K3" s="1034"/>
      <c r="L3" s="517"/>
      <c r="M3" s="517"/>
      <c r="N3" s="517"/>
      <c r="O3" s="517"/>
      <c r="P3" s="517"/>
      <c r="Q3" s="517"/>
      <c r="R3" s="517"/>
      <c r="S3" s="517"/>
    </row>
    <row r="4" spans="1:19" ht="18.75" customHeight="1">
      <c r="A4" s="519"/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20"/>
      <c r="M4" s="520"/>
      <c r="N4" s="520"/>
      <c r="O4" s="520"/>
      <c r="P4" s="520"/>
      <c r="Q4" s="520"/>
      <c r="R4" s="520"/>
      <c r="S4" s="520"/>
    </row>
    <row r="5" spans="1:11" ht="18.75" customHeight="1" thickBot="1">
      <c r="A5" s="521" t="s">
        <v>2286</v>
      </c>
      <c r="B5" s="326"/>
      <c r="C5" s="326"/>
      <c r="D5" s="326"/>
      <c r="K5" s="522" t="s">
        <v>2212</v>
      </c>
    </row>
    <row r="6" spans="1:11" s="523" customFormat="1" ht="64.5" customHeight="1">
      <c r="A6" s="1035" t="s">
        <v>2213</v>
      </c>
      <c r="B6" s="1020" t="s">
        <v>2287</v>
      </c>
      <c r="C6" s="1020" t="s">
        <v>2215</v>
      </c>
      <c r="D6" s="1020" t="s">
        <v>2288</v>
      </c>
      <c r="E6" s="1020" t="s">
        <v>2314</v>
      </c>
      <c r="F6" s="1020" t="s">
        <v>2289</v>
      </c>
      <c r="G6" s="1020" t="s">
        <v>2290</v>
      </c>
      <c r="H6" s="1020" t="s">
        <v>2291</v>
      </c>
      <c r="I6" s="1020" t="s">
        <v>2292</v>
      </c>
      <c r="J6" s="1020" t="s">
        <v>2293</v>
      </c>
      <c r="K6" s="1020" t="s">
        <v>2294</v>
      </c>
    </row>
    <row r="7" spans="1:11" s="523" customFormat="1" ht="40.5" customHeight="1" thickBot="1">
      <c r="A7" s="1036"/>
      <c r="B7" s="1019"/>
      <c r="C7" s="1019"/>
      <c r="D7" s="1019"/>
      <c r="E7" s="1019"/>
      <c r="F7" s="1019"/>
      <c r="G7" s="1019"/>
      <c r="H7" s="1019"/>
      <c r="I7" s="1019"/>
      <c r="J7" s="1019"/>
      <c r="K7" s="1019"/>
    </row>
    <row r="8" spans="1:11" s="530" customFormat="1" ht="13.5" customHeight="1" thickBot="1">
      <c r="A8" s="524"/>
      <c r="B8" s="525">
        <v>1</v>
      </c>
      <c r="C8" s="526">
        <v>2</v>
      </c>
      <c r="D8" s="525">
        <v>3</v>
      </c>
      <c r="E8" s="526">
        <v>4</v>
      </c>
      <c r="F8" s="527" t="s">
        <v>2295</v>
      </c>
      <c r="G8" s="528" t="s">
        <v>2296</v>
      </c>
      <c r="H8" s="529" t="s">
        <v>2297</v>
      </c>
      <c r="I8" s="528" t="s">
        <v>2298</v>
      </c>
      <c r="J8" s="528" t="s">
        <v>2231</v>
      </c>
      <c r="K8" s="528" t="s">
        <v>2232</v>
      </c>
    </row>
    <row r="9" spans="1:11" s="419" customFormat="1" ht="28.5" customHeight="1">
      <c r="A9" s="531" t="s">
        <v>2299</v>
      </c>
      <c r="B9" s="532">
        <f>SUM(B12:B15)</f>
        <v>3369376000</v>
      </c>
      <c r="C9" s="532">
        <f>SUM(C12:C15)</f>
        <v>3642804000</v>
      </c>
      <c r="D9" s="532">
        <f>SUM(D12:D15)</f>
        <v>3477750317</v>
      </c>
      <c r="E9" s="533">
        <f>SUM(E12:E15)</f>
        <v>0</v>
      </c>
      <c r="F9" s="534">
        <f>SUM(F12:F15)</f>
        <v>3833894877</v>
      </c>
      <c r="G9" s="535">
        <f>D9/F9*100</f>
        <v>90.71063314394576</v>
      </c>
      <c r="H9" s="536">
        <f>SUM(H12:H15)</f>
        <v>27934</v>
      </c>
      <c r="I9" s="533">
        <f>SUM(I12:I15)</f>
        <v>30227</v>
      </c>
      <c r="J9" s="533"/>
      <c r="K9" s="536"/>
    </row>
    <row r="10" spans="1:11" ht="24" customHeight="1">
      <c r="A10" s="537" t="s">
        <v>2300</v>
      </c>
      <c r="B10" s="538"/>
      <c r="C10" s="538"/>
      <c r="D10" s="538"/>
      <c r="E10" s="538"/>
      <c r="F10" s="380"/>
      <c r="G10" s="539"/>
      <c r="H10" s="538"/>
      <c r="I10" s="540"/>
      <c r="J10" s="541"/>
      <c r="K10" s="538"/>
    </row>
    <row r="11" spans="1:11" ht="24" customHeight="1">
      <c r="A11" s="537" t="s">
        <v>2239</v>
      </c>
      <c r="B11" s="538"/>
      <c r="C11" s="538"/>
      <c r="D11" s="538"/>
      <c r="E11" s="538"/>
      <c r="F11" s="380"/>
      <c r="G11" s="542"/>
      <c r="H11" s="538"/>
      <c r="I11" s="540"/>
      <c r="J11" s="541"/>
      <c r="K11" s="538"/>
    </row>
    <row r="12" spans="1:11" ht="27.75" customHeight="1">
      <c r="A12" s="537" t="s">
        <v>2301</v>
      </c>
      <c r="B12" s="538">
        <v>2575172000</v>
      </c>
      <c r="C12" s="538">
        <v>3080602000</v>
      </c>
      <c r="D12" s="538">
        <v>3074926844</v>
      </c>
      <c r="E12" s="538">
        <v>0</v>
      </c>
      <c r="F12" s="380">
        <v>2825560165</v>
      </c>
      <c r="G12" s="542">
        <f>D12/F12*100</f>
        <v>108.82538910651722</v>
      </c>
      <c r="H12" s="538">
        <v>26147</v>
      </c>
      <c r="I12" s="540">
        <v>25263</v>
      </c>
      <c r="J12" s="541">
        <v>9834</v>
      </c>
      <c r="K12" s="538">
        <v>9467</v>
      </c>
    </row>
    <row r="13" spans="1:11" ht="27.75" customHeight="1">
      <c r="A13" s="537" t="s">
        <v>2302</v>
      </c>
      <c r="B13" s="538">
        <v>742000</v>
      </c>
      <c r="C13" s="538">
        <v>4614290</v>
      </c>
      <c r="D13" s="538">
        <v>4612473</v>
      </c>
      <c r="E13" s="538">
        <v>0</v>
      </c>
      <c r="F13" s="380">
        <v>4875255</v>
      </c>
      <c r="G13" s="542">
        <f>D13/F13*100</f>
        <v>94.60988194463674</v>
      </c>
      <c r="H13" s="538">
        <v>26</v>
      </c>
      <c r="I13" s="540">
        <v>37</v>
      </c>
      <c r="J13" s="541">
        <f>D13/H13</f>
        <v>177402.8076923077</v>
      </c>
      <c r="K13" s="538">
        <v>131757</v>
      </c>
    </row>
    <row r="14" spans="1:11" ht="27.75" customHeight="1">
      <c r="A14" s="537" t="s">
        <v>2303</v>
      </c>
      <c r="B14" s="538">
        <v>793462000</v>
      </c>
      <c r="C14" s="538">
        <v>557587710</v>
      </c>
      <c r="D14" s="538">
        <v>398211000</v>
      </c>
      <c r="E14" s="538">
        <v>0</v>
      </c>
      <c r="F14" s="380">
        <v>1003297843</v>
      </c>
      <c r="G14" s="542">
        <f>D14/F14*100</f>
        <v>39.69020792562394</v>
      </c>
      <c r="H14" s="538">
        <f>1708+21+4+6+9+3+5+3+2</f>
        <v>1761</v>
      </c>
      <c r="I14" s="540">
        <v>4927</v>
      </c>
      <c r="J14" s="541">
        <f>D14/H14</f>
        <v>226127.76831345828</v>
      </c>
      <c r="K14" s="538">
        <v>203633</v>
      </c>
    </row>
    <row r="15" spans="1:11" ht="27.75" customHeight="1">
      <c r="A15" s="537" t="s">
        <v>2304</v>
      </c>
      <c r="B15" s="538">
        <v>0</v>
      </c>
      <c r="C15" s="538">
        <v>0</v>
      </c>
      <c r="D15" s="538">
        <v>0</v>
      </c>
      <c r="E15" s="538">
        <v>0</v>
      </c>
      <c r="F15" s="380">
        <v>161614</v>
      </c>
      <c r="G15" s="542">
        <f>D15/F15*100</f>
        <v>0</v>
      </c>
      <c r="H15" s="538">
        <v>0</v>
      </c>
      <c r="I15" s="540">
        <v>0</v>
      </c>
      <c r="J15" s="541">
        <v>0</v>
      </c>
      <c r="K15" s="538">
        <v>0</v>
      </c>
    </row>
    <row r="16" spans="1:11" ht="24" customHeight="1" thickBot="1">
      <c r="A16" s="537"/>
      <c r="B16" s="538"/>
      <c r="C16" s="538"/>
      <c r="D16" s="538"/>
      <c r="E16" s="538"/>
      <c r="F16" s="380"/>
      <c r="G16" s="543"/>
      <c r="H16" s="538"/>
      <c r="I16" s="540"/>
      <c r="J16" s="541"/>
      <c r="K16" s="538"/>
    </row>
    <row r="17" spans="1:11" s="419" customFormat="1" ht="57" customHeight="1">
      <c r="A17" s="544" t="s">
        <v>2305</v>
      </c>
      <c r="B17" s="533">
        <f>SUM(B20:B24)</f>
        <v>139357000</v>
      </c>
      <c r="C17" s="533">
        <f>SUM(C20:C24)</f>
        <v>121359000</v>
      </c>
      <c r="D17" s="533">
        <f>SUM(D20:D24)</f>
        <v>113611786</v>
      </c>
      <c r="E17" s="533">
        <f>SUM(E20:E24)</f>
        <v>0</v>
      </c>
      <c r="F17" s="533">
        <f>SUM(F20:F24)</f>
        <v>117500626</v>
      </c>
      <c r="G17" s="545">
        <f>D17/F17</f>
        <v>0.9669036656877045</v>
      </c>
      <c r="H17" s="546" t="s">
        <v>2238</v>
      </c>
      <c r="I17" s="547" t="s">
        <v>2238</v>
      </c>
      <c r="J17" s="546" t="s">
        <v>2238</v>
      </c>
      <c r="K17" s="548" t="s">
        <v>2238</v>
      </c>
    </row>
    <row r="18" spans="1:11" ht="24.75" customHeight="1" thickBot="1">
      <c r="A18" s="549" t="s">
        <v>2306</v>
      </c>
      <c r="B18" s="543"/>
      <c r="C18" s="543"/>
      <c r="D18" s="543"/>
      <c r="E18" s="543"/>
      <c r="F18" s="543"/>
      <c r="G18" s="550"/>
      <c r="H18" s="551"/>
      <c r="I18" s="552"/>
      <c r="J18" s="543"/>
      <c r="K18" s="553"/>
    </row>
    <row r="19" spans="1:11" ht="24.75" customHeight="1">
      <c r="A19" s="537" t="s">
        <v>2239</v>
      </c>
      <c r="B19" s="538"/>
      <c r="C19" s="538"/>
      <c r="D19" s="538"/>
      <c r="E19" s="538"/>
      <c r="F19" s="380"/>
      <c r="G19" s="554"/>
      <c r="H19" s="555" t="s">
        <v>2238</v>
      </c>
      <c r="I19" s="556" t="s">
        <v>2238</v>
      </c>
      <c r="J19" s="557" t="s">
        <v>2238</v>
      </c>
      <c r="K19" s="555" t="s">
        <v>2238</v>
      </c>
    </row>
    <row r="20" spans="1:11" ht="27.75" customHeight="1">
      <c r="A20" s="537" t="s">
        <v>2307</v>
      </c>
      <c r="B20" s="538">
        <v>139357000</v>
      </c>
      <c r="C20" s="538">
        <v>83756030</v>
      </c>
      <c r="D20" s="538">
        <v>76636598</v>
      </c>
      <c r="E20" s="538">
        <v>0</v>
      </c>
      <c r="F20" s="380">
        <v>76898425</v>
      </c>
      <c r="G20" s="402">
        <f>D20/F20</f>
        <v>0.9965951578332066</v>
      </c>
      <c r="H20" s="555" t="s">
        <v>2238</v>
      </c>
      <c r="I20" s="556" t="s">
        <v>2238</v>
      </c>
      <c r="J20" s="557" t="s">
        <v>2238</v>
      </c>
      <c r="K20" s="555" t="s">
        <v>2238</v>
      </c>
    </row>
    <row r="21" spans="1:11" ht="27.75" customHeight="1">
      <c r="A21" s="537" t="s">
        <v>2308</v>
      </c>
      <c r="B21" s="538">
        <v>0</v>
      </c>
      <c r="C21" s="538">
        <v>37602970</v>
      </c>
      <c r="D21" s="538">
        <v>36975188</v>
      </c>
      <c r="E21" s="538">
        <v>0</v>
      </c>
      <c r="F21" s="380">
        <v>40595869</v>
      </c>
      <c r="G21" s="402">
        <f>D21/F21</f>
        <v>0.9108115902137728</v>
      </c>
      <c r="H21" s="555" t="s">
        <v>2238</v>
      </c>
      <c r="I21" s="556" t="s">
        <v>2238</v>
      </c>
      <c r="J21" s="557" t="s">
        <v>2238</v>
      </c>
      <c r="K21" s="555" t="s">
        <v>2238</v>
      </c>
    </row>
    <row r="22" spans="1:11" ht="27.75" customHeight="1">
      <c r="A22" s="537" t="s">
        <v>2309</v>
      </c>
      <c r="B22" s="538">
        <v>0</v>
      </c>
      <c r="C22" s="538">
        <v>0</v>
      </c>
      <c r="D22" s="538">
        <v>0</v>
      </c>
      <c r="E22" s="538">
        <v>0</v>
      </c>
      <c r="F22" s="380">
        <v>0</v>
      </c>
      <c r="G22" s="402">
        <v>0</v>
      </c>
      <c r="H22" s="555" t="s">
        <v>2238</v>
      </c>
      <c r="I22" s="556" t="s">
        <v>2238</v>
      </c>
      <c r="J22" s="557" t="s">
        <v>2238</v>
      </c>
      <c r="K22" s="555" t="s">
        <v>2238</v>
      </c>
    </row>
    <row r="23" spans="1:11" ht="27.75" customHeight="1">
      <c r="A23" s="537" t="s">
        <v>2310</v>
      </c>
      <c r="B23" s="538">
        <v>0</v>
      </c>
      <c r="C23" s="538">
        <v>0</v>
      </c>
      <c r="D23" s="538">
        <v>0</v>
      </c>
      <c r="E23" s="538">
        <v>0</v>
      </c>
      <c r="F23" s="380">
        <v>6332</v>
      </c>
      <c r="G23" s="402">
        <v>0</v>
      </c>
      <c r="H23" s="555" t="s">
        <v>2238</v>
      </c>
      <c r="I23" s="556" t="s">
        <v>2238</v>
      </c>
      <c r="J23" s="557" t="s">
        <v>2238</v>
      </c>
      <c r="K23" s="555" t="s">
        <v>2238</v>
      </c>
    </row>
    <row r="24" spans="1:11" ht="27.75" customHeight="1">
      <c r="A24" s="537" t="s">
        <v>2311</v>
      </c>
      <c r="B24" s="538">
        <v>0</v>
      </c>
      <c r="C24" s="538">
        <v>0</v>
      </c>
      <c r="D24" s="538">
        <v>0</v>
      </c>
      <c r="E24" s="538">
        <v>0</v>
      </c>
      <c r="F24" s="380">
        <v>0</v>
      </c>
      <c r="G24" s="402">
        <v>0</v>
      </c>
      <c r="H24" s="555" t="s">
        <v>2238</v>
      </c>
      <c r="I24" s="556" t="s">
        <v>2238</v>
      </c>
      <c r="J24" s="557" t="s">
        <v>2238</v>
      </c>
      <c r="K24" s="555" t="s">
        <v>2238</v>
      </c>
    </row>
    <row r="25" spans="1:11" ht="24.75" customHeight="1" thickBot="1">
      <c r="A25" s="531"/>
      <c r="B25" s="558"/>
      <c r="C25" s="558"/>
      <c r="D25" s="558"/>
      <c r="E25" s="558"/>
      <c r="F25" s="559"/>
      <c r="G25" s="560"/>
      <c r="H25" s="561"/>
      <c r="I25" s="562"/>
      <c r="J25" s="563"/>
      <c r="K25" s="561"/>
    </row>
    <row r="26" spans="1:11" s="326" customFormat="1" ht="31.5" customHeight="1" thickBot="1">
      <c r="A26" s="564" t="s">
        <v>2312</v>
      </c>
      <c r="B26" s="565">
        <f>+B9+B17</f>
        <v>3508733000</v>
      </c>
      <c r="C26" s="565">
        <f>+C9+C17</f>
        <v>3764163000</v>
      </c>
      <c r="D26" s="565">
        <f>+D9+D17</f>
        <v>3591362103</v>
      </c>
      <c r="E26" s="565">
        <f>+E9+E17</f>
        <v>0</v>
      </c>
      <c r="F26" s="566">
        <f>+F9+F17</f>
        <v>3951395503</v>
      </c>
      <c r="G26" s="567">
        <f>D26/F26</f>
        <v>0.908884494167528</v>
      </c>
      <c r="H26" s="565"/>
      <c r="I26" s="565"/>
      <c r="J26" s="565"/>
      <c r="K26" s="565"/>
    </row>
    <row r="27" spans="6:9" ht="18" customHeight="1">
      <c r="F27" s="568"/>
      <c r="G27" s="568"/>
      <c r="H27" s="568"/>
      <c r="I27" s="568"/>
    </row>
    <row r="28" spans="1:18" ht="18" customHeight="1">
      <c r="A28" s="569"/>
      <c r="R28" s="570"/>
    </row>
    <row r="29" spans="1:18" s="505" customFormat="1" ht="18" customHeight="1">
      <c r="A29" s="578" t="s">
        <v>2313</v>
      </c>
      <c r="D29" s="505" t="s">
        <v>2136</v>
      </c>
      <c r="J29" s="1037" t="s">
        <v>2137</v>
      </c>
      <c r="K29" s="1037"/>
      <c r="R29" s="570"/>
    </row>
    <row r="30" spans="1:18" ht="18" customHeight="1">
      <c r="A30" s="569"/>
      <c r="R30" s="570"/>
    </row>
    <row r="31" spans="1:27" s="572" customFormat="1" ht="20.25">
      <c r="A31" s="571"/>
      <c r="C31" s="571"/>
      <c r="D31" s="571"/>
      <c r="E31" s="571"/>
      <c r="F31" s="573"/>
      <c r="G31" s="573"/>
      <c r="H31" s="574"/>
      <c r="I31" s="574"/>
      <c r="J31" s="574"/>
      <c r="K31" s="575"/>
      <c r="L31" s="575"/>
      <c r="Z31" s="576"/>
      <c r="AA31" s="576"/>
    </row>
    <row r="32" spans="1:18" ht="18" customHeight="1">
      <c r="A32" s="326"/>
      <c r="R32" s="570"/>
    </row>
    <row r="33" spans="1:18" ht="15">
      <c r="A33" s="568"/>
      <c r="R33" s="570"/>
    </row>
    <row r="34" spans="1:18" ht="15">
      <c r="A34" s="577"/>
      <c r="R34" s="570"/>
    </row>
    <row r="35" spans="1:18" ht="15">
      <c r="A35" s="568"/>
      <c r="D35" s="398"/>
      <c r="R35" s="570"/>
    </row>
    <row r="36" spans="4:18" ht="15">
      <c r="D36" s="398"/>
      <c r="R36" s="570"/>
    </row>
    <row r="38" ht="15">
      <c r="D38" s="398"/>
    </row>
  </sheetData>
  <mergeCells count="14">
    <mergeCell ref="I6:I7"/>
    <mergeCell ref="J6:J7"/>
    <mergeCell ref="K6:K7"/>
    <mergeCell ref="J29:K29"/>
    <mergeCell ref="J1:K1"/>
    <mergeCell ref="A3:K3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5905511811023623" right="0.5905511811023623" top="0.984251968503937" bottom="0.7874015748031497" header="0.7086614173228347" footer="0.31496062992125984"/>
  <pageSetup blackAndWhite="1" horizontalDpi="600" verticalDpi="600" orientation="landscape" paperSize="9" scale="55" r:id="rId1"/>
  <headerFooter alignWithMargins="0">
    <oddFooter>&amp;C&amp;14&amp;P+113
&amp;16
&amp;10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zoomScale="85" zoomScaleNormal="85" workbookViewId="0" topLeftCell="A1">
      <selection activeCell="J2" sqref="J2"/>
    </sheetView>
  </sheetViews>
  <sheetFormatPr defaultColWidth="8.875" defaultRowHeight="12.75"/>
  <cols>
    <col min="1" max="1" width="15.375" style="66" customWidth="1"/>
    <col min="2" max="2" width="40.875" style="65" customWidth="1"/>
    <col min="3" max="5" width="14.00390625" style="64" customWidth="1"/>
    <col min="6" max="6" width="19.75390625" style="64" customWidth="1"/>
    <col min="7" max="7" width="17.75390625" style="64" customWidth="1"/>
    <col min="8" max="8" width="17.75390625" style="810" customWidth="1"/>
    <col min="9" max="10" width="16.125" style="64" customWidth="1"/>
    <col min="11" max="11" width="15.125" style="64" customWidth="1"/>
    <col min="12" max="12" width="13.875" style="64" customWidth="1"/>
    <col min="13" max="16384" width="8.875" style="66" customWidth="1"/>
  </cols>
  <sheetData>
    <row r="1" spans="1:25" s="419" customFormat="1" ht="20.25" customHeight="1">
      <c r="A1" s="850" t="s">
        <v>2106</v>
      </c>
      <c r="B1" s="851"/>
      <c r="C1" s="851"/>
      <c r="D1" s="851"/>
      <c r="J1" s="1038" t="s">
        <v>920</v>
      </c>
      <c r="K1" s="1038"/>
      <c r="L1" s="1038"/>
      <c r="Y1" s="420"/>
    </row>
    <row r="2" ht="15">
      <c r="A2" s="64"/>
    </row>
    <row r="3" spans="1:12" ht="34.5" customHeight="1">
      <c r="A3" s="811" t="s">
        <v>2424</v>
      </c>
      <c r="B3" s="811"/>
      <c r="C3" s="811"/>
      <c r="D3" s="811"/>
      <c r="E3" s="811"/>
      <c r="F3" s="811"/>
      <c r="G3" s="811"/>
      <c r="H3" s="812"/>
      <c r="I3" s="811"/>
      <c r="J3" s="811"/>
      <c r="K3" s="811"/>
      <c r="L3" s="811"/>
    </row>
    <row r="4" spans="3:12" ht="16.5" thickBot="1">
      <c r="C4" s="813"/>
      <c r="D4" s="813"/>
      <c r="E4" s="813"/>
      <c r="L4" s="852" t="s">
        <v>2109</v>
      </c>
    </row>
    <row r="5" spans="1:12" ht="92.25" customHeight="1" thickBot="1">
      <c r="A5" s="814" t="s">
        <v>2425</v>
      </c>
      <c r="B5" s="815" t="s">
        <v>2426</v>
      </c>
      <c r="C5" s="856" t="s">
        <v>2214</v>
      </c>
      <c r="D5" s="857" t="s">
        <v>2215</v>
      </c>
      <c r="E5" s="856" t="s">
        <v>2427</v>
      </c>
      <c r="F5" s="857" t="s">
        <v>2428</v>
      </c>
      <c r="G5" s="856" t="s">
        <v>2429</v>
      </c>
      <c r="H5" s="858" t="s">
        <v>2430</v>
      </c>
      <c r="I5" s="856" t="s">
        <v>2431</v>
      </c>
      <c r="J5" s="856" t="s">
        <v>2432</v>
      </c>
      <c r="K5" s="856" t="s">
        <v>2433</v>
      </c>
      <c r="L5" s="856" t="s">
        <v>2434</v>
      </c>
    </row>
    <row r="6" spans="1:12" ht="15">
      <c r="A6" s="816"/>
      <c r="B6" s="817"/>
      <c r="C6" s="818">
        <v>1</v>
      </c>
      <c r="D6" s="819">
        <v>2</v>
      </c>
      <c r="E6" s="818">
        <v>3</v>
      </c>
      <c r="F6" s="819">
        <v>4</v>
      </c>
      <c r="G6" s="818">
        <v>5</v>
      </c>
      <c r="H6" s="820">
        <v>6</v>
      </c>
      <c r="I6" s="818">
        <v>7</v>
      </c>
      <c r="J6" s="818">
        <v>8</v>
      </c>
      <c r="K6" s="818">
        <v>9</v>
      </c>
      <c r="L6" s="818">
        <v>10</v>
      </c>
    </row>
    <row r="7" spans="1:12" ht="28.5">
      <c r="A7" s="821" t="s">
        <v>2435</v>
      </c>
      <c r="B7" s="854" t="s">
        <v>2436</v>
      </c>
      <c r="C7" s="822">
        <v>30236</v>
      </c>
      <c r="D7" s="823">
        <v>74119</v>
      </c>
      <c r="E7" s="822">
        <v>0</v>
      </c>
      <c r="F7" s="823">
        <f aca="true" t="shared" si="0" ref="F7:F21">+D7+E7</f>
        <v>74119</v>
      </c>
      <c r="G7" s="822">
        <v>73337</v>
      </c>
      <c r="H7" s="824">
        <v>781</v>
      </c>
      <c r="I7" s="822">
        <f aca="true" t="shared" si="1" ref="I7:I21">G7-D7</f>
        <v>-782</v>
      </c>
      <c r="J7" s="822">
        <f aca="true" t="shared" si="2" ref="J7:J21">G7-F7</f>
        <v>-782</v>
      </c>
      <c r="K7" s="822">
        <v>85065</v>
      </c>
      <c r="L7" s="825">
        <f>+G7/K7</f>
        <v>0.8621289602069006</v>
      </c>
    </row>
    <row r="8" spans="1:12" ht="15">
      <c r="A8" s="821" t="s">
        <v>2437</v>
      </c>
      <c r="B8" s="854" t="s">
        <v>2438</v>
      </c>
      <c r="C8" s="822">
        <v>25000</v>
      </c>
      <c r="D8" s="823">
        <v>39172</v>
      </c>
      <c r="E8" s="822">
        <v>796</v>
      </c>
      <c r="F8" s="823">
        <f t="shared" si="0"/>
        <v>39968</v>
      </c>
      <c r="G8" s="822">
        <f>34779+796</f>
        <v>35575</v>
      </c>
      <c r="H8" s="824">
        <v>4393</v>
      </c>
      <c r="I8" s="822">
        <f t="shared" si="1"/>
        <v>-3597</v>
      </c>
      <c r="J8" s="822">
        <f t="shared" si="2"/>
        <v>-4393</v>
      </c>
      <c r="K8" s="822">
        <v>48120</v>
      </c>
      <c r="L8" s="825">
        <f>+G8/K8</f>
        <v>0.7392975893599335</v>
      </c>
    </row>
    <row r="9" spans="1:12" ht="42.75">
      <c r="A9" s="821" t="s">
        <v>2439</v>
      </c>
      <c r="B9" s="854" t="s">
        <v>2440</v>
      </c>
      <c r="C9" s="822">
        <v>0</v>
      </c>
      <c r="D9" s="823">
        <v>0</v>
      </c>
      <c r="E9" s="822">
        <v>0</v>
      </c>
      <c r="F9" s="823">
        <f t="shared" si="0"/>
        <v>0</v>
      </c>
      <c r="G9" s="822">
        <v>0</v>
      </c>
      <c r="H9" s="824">
        <v>0</v>
      </c>
      <c r="I9" s="822">
        <f t="shared" si="1"/>
        <v>0</v>
      </c>
      <c r="J9" s="822">
        <f t="shared" si="2"/>
        <v>0</v>
      </c>
      <c r="K9" s="822">
        <v>2279</v>
      </c>
      <c r="L9" s="825">
        <f>+G9/K9</f>
        <v>0</v>
      </c>
    </row>
    <row r="10" spans="1:12" ht="28.5">
      <c r="A10" s="821" t="s">
        <v>2441</v>
      </c>
      <c r="B10" s="854" t="s">
        <v>2442</v>
      </c>
      <c r="C10" s="822">
        <v>2750519</v>
      </c>
      <c r="D10" s="823">
        <v>1509337</v>
      </c>
      <c r="E10" s="822">
        <v>67139</v>
      </c>
      <c r="F10" s="823">
        <f t="shared" si="0"/>
        <v>1576476</v>
      </c>
      <c r="G10" s="822">
        <f>184945+67139</f>
        <v>252084</v>
      </c>
      <c r="H10" s="824">
        <v>1324392</v>
      </c>
      <c r="I10" s="822">
        <f t="shared" si="1"/>
        <v>-1257253</v>
      </c>
      <c r="J10" s="822">
        <f t="shared" si="2"/>
        <v>-1324392</v>
      </c>
      <c r="K10" s="822">
        <v>0</v>
      </c>
      <c r="L10" s="825" t="s">
        <v>2443</v>
      </c>
    </row>
    <row r="11" spans="1:12" ht="28.5">
      <c r="A11" s="821" t="s">
        <v>2444</v>
      </c>
      <c r="B11" s="855" t="s">
        <v>2445</v>
      </c>
      <c r="C11" s="822">
        <v>0</v>
      </c>
      <c r="D11" s="823">
        <v>30000</v>
      </c>
      <c r="E11" s="822">
        <v>0</v>
      </c>
      <c r="F11" s="823">
        <f t="shared" si="0"/>
        <v>30000</v>
      </c>
      <c r="G11" s="822">
        <v>28206</v>
      </c>
      <c r="H11" s="824">
        <v>1794</v>
      </c>
      <c r="I11" s="822">
        <f t="shared" si="1"/>
        <v>-1794</v>
      </c>
      <c r="J11" s="822">
        <f t="shared" si="2"/>
        <v>-1794</v>
      </c>
      <c r="K11" s="822">
        <v>0</v>
      </c>
      <c r="L11" s="825" t="s">
        <v>2446</v>
      </c>
    </row>
    <row r="12" spans="1:12" ht="15">
      <c r="A12" s="821" t="s">
        <v>2447</v>
      </c>
      <c r="B12" s="855" t="s">
        <v>2448</v>
      </c>
      <c r="C12" s="822">
        <v>391155</v>
      </c>
      <c r="D12" s="823">
        <v>536476</v>
      </c>
      <c r="E12" s="822">
        <v>68331</v>
      </c>
      <c r="F12" s="823">
        <f t="shared" si="0"/>
        <v>604807</v>
      </c>
      <c r="G12" s="824">
        <f>536157+68331</f>
        <v>604488</v>
      </c>
      <c r="H12" s="824">
        <v>319</v>
      </c>
      <c r="I12" s="822">
        <f t="shared" si="1"/>
        <v>68012</v>
      </c>
      <c r="J12" s="822">
        <f t="shared" si="2"/>
        <v>-319</v>
      </c>
      <c r="K12" s="822">
        <v>0</v>
      </c>
      <c r="L12" s="825" t="s">
        <v>2446</v>
      </c>
    </row>
    <row r="13" spans="1:12" ht="42.75">
      <c r="A13" s="821">
        <v>114230</v>
      </c>
      <c r="B13" s="854" t="s">
        <v>2449</v>
      </c>
      <c r="C13" s="822">
        <v>200000</v>
      </c>
      <c r="D13" s="823">
        <v>200000</v>
      </c>
      <c r="E13" s="822">
        <v>0</v>
      </c>
      <c r="F13" s="823">
        <f t="shared" si="0"/>
        <v>200000</v>
      </c>
      <c r="G13" s="822">
        <v>199989</v>
      </c>
      <c r="H13" s="824">
        <v>11</v>
      </c>
      <c r="I13" s="822">
        <f t="shared" si="1"/>
        <v>-11</v>
      </c>
      <c r="J13" s="822">
        <f t="shared" si="2"/>
        <v>-11</v>
      </c>
      <c r="K13" s="822">
        <v>197581</v>
      </c>
      <c r="L13" s="825">
        <f aca="true" t="shared" si="3" ref="L13:L23">+G13/K13</f>
        <v>1.012187406683841</v>
      </c>
    </row>
    <row r="14" spans="1:12" ht="15">
      <c r="A14" s="821">
        <v>114410</v>
      </c>
      <c r="B14" s="854" t="s">
        <v>2450</v>
      </c>
      <c r="C14" s="822">
        <v>64319</v>
      </c>
      <c r="D14" s="823">
        <v>578060</v>
      </c>
      <c r="E14" s="822">
        <v>36435</v>
      </c>
      <c r="F14" s="823">
        <f t="shared" si="0"/>
        <v>614495</v>
      </c>
      <c r="G14" s="822">
        <f>46232+36435</f>
        <v>82667</v>
      </c>
      <c r="H14" s="824">
        <v>531828</v>
      </c>
      <c r="I14" s="822">
        <f t="shared" si="1"/>
        <v>-495393</v>
      </c>
      <c r="J14" s="822">
        <f t="shared" si="2"/>
        <v>-531828</v>
      </c>
      <c r="K14" s="822">
        <v>462911</v>
      </c>
      <c r="L14" s="825">
        <f t="shared" si="3"/>
        <v>0.17858076390494068</v>
      </c>
    </row>
    <row r="15" spans="1:12" ht="28.5">
      <c r="A15" s="821">
        <v>214010</v>
      </c>
      <c r="B15" s="855" t="s">
        <v>2451</v>
      </c>
      <c r="C15" s="822">
        <v>12528</v>
      </c>
      <c r="D15" s="823">
        <v>12528</v>
      </c>
      <c r="E15" s="822">
        <v>0</v>
      </c>
      <c r="F15" s="823">
        <f t="shared" si="0"/>
        <v>12528</v>
      </c>
      <c r="G15" s="822">
        <v>12528</v>
      </c>
      <c r="H15" s="824">
        <v>0</v>
      </c>
      <c r="I15" s="822">
        <f t="shared" si="1"/>
        <v>0</v>
      </c>
      <c r="J15" s="822">
        <f t="shared" si="2"/>
        <v>0</v>
      </c>
      <c r="K15" s="822">
        <v>16907</v>
      </c>
      <c r="L15" s="825">
        <f t="shared" si="3"/>
        <v>0.7409948542024014</v>
      </c>
    </row>
    <row r="16" spans="1:12" ht="30.75" customHeight="1">
      <c r="A16" s="821">
        <v>214020</v>
      </c>
      <c r="B16" s="855" t="s">
        <v>2452</v>
      </c>
      <c r="C16" s="826">
        <v>116661</v>
      </c>
      <c r="D16" s="827">
        <v>106711</v>
      </c>
      <c r="E16" s="826">
        <v>3528</v>
      </c>
      <c r="F16" s="827">
        <f t="shared" si="0"/>
        <v>110239</v>
      </c>
      <c r="G16" s="826">
        <f>45513+3528</f>
        <v>49041</v>
      </c>
      <c r="H16" s="828">
        <v>61198</v>
      </c>
      <c r="I16" s="826">
        <f t="shared" si="1"/>
        <v>-57670</v>
      </c>
      <c r="J16" s="826">
        <f t="shared" si="2"/>
        <v>-61198</v>
      </c>
      <c r="K16" s="826">
        <v>189451</v>
      </c>
      <c r="L16" s="825">
        <f t="shared" si="3"/>
        <v>0.2588584911137972</v>
      </c>
    </row>
    <row r="17" spans="1:12" ht="28.5">
      <c r="A17" s="821">
        <v>214030</v>
      </c>
      <c r="B17" s="855" t="s">
        <v>2453</v>
      </c>
      <c r="C17" s="826">
        <v>160946</v>
      </c>
      <c r="D17" s="827">
        <v>192288</v>
      </c>
      <c r="E17" s="826">
        <v>986</v>
      </c>
      <c r="F17" s="827">
        <f t="shared" si="0"/>
        <v>193274</v>
      </c>
      <c r="G17" s="826">
        <f>192225+986</f>
        <v>193211</v>
      </c>
      <c r="H17" s="828">
        <v>63</v>
      </c>
      <c r="I17" s="826">
        <f t="shared" si="1"/>
        <v>923</v>
      </c>
      <c r="J17" s="826">
        <f t="shared" si="2"/>
        <v>-63</v>
      </c>
      <c r="K17" s="826">
        <v>386175</v>
      </c>
      <c r="L17" s="829">
        <f t="shared" si="3"/>
        <v>0.5003198031980319</v>
      </c>
    </row>
    <row r="18" spans="1:12" ht="28.5">
      <c r="A18" s="821">
        <v>214110</v>
      </c>
      <c r="B18" s="855" t="s">
        <v>2445</v>
      </c>
      <c r="C18" s="826">
        <v>1560847</v>
      </c>
      <c r="D18" s="827">
        <v>1739558</v>
      </c>
      <c r="E18" s="826">
        <v>536322</v>
      </c>
      <c r="F18" s="827">
        <f t="shared" si="0"/>
        <v>2275880</v>
      </c>
      <c r="G18" s="826">
        <f>1151025+536322</f>
        <v>1687347</v>
      </c>
      <c r="H18" s="828">
        <v>588535</v>
      </c>
      <c r="I18" s="826">
        <f t="shared" si="1"/>
        <v>-52211</v>
      </c>
      <c r="J18" s="826">
        <f t="shared" si="2"/>
        <v>-588533</v>
      </c>
      <c r="K18" s="826">
        <v>3560872</v>
      </c>
      <c r="L18" s="829">
        <f t="shared" si="3"/>
        <v>0.47385780786279313</v>
      </c>
    </row>
    <row r="19" spans="1:12" ht="28.5" customHeight="1">
      <c r="A19" s="821">
        <v>214210</v>
      </c>
      <c r="B19" s="855" t="s">
        <v>2454</v>
      </c>
      <c r="C19" s="826">
        <v>181660</v>
      </c>
      <c r="D19" s="827">
        <v>171296</v>
      </c>
      <c r="E19" s="826">
        <v>43036</v>
      </c>
      <c r="F19" s="827">
        <f t="shared" si="0"/>
        <v>214332</v>
      </c>
      <c r="G19" s="828">
        <f>171292+43036</f>
        <v>214328</v>
      </c>
      <c r="H19" s="828">
        <v>4</v>
      </c>
      <c r="I19" s="826">
        <f t="shared" si="1"/>
        <v>43032</v>
      </c>
      <c r="J19" s="826">
        <f t="shared" si="2"/>
        <v>-4</v>
      </c>
      <c r="K19" s="826">
        <v>1614352</v>
      </c>
      <c r="L19" s="829">
        <f t="shared" si="3"/>
        <v>0.132764105969454</v>
      </c>
    </row>
    <row r="20" spans="1:12" ht="28.5">
      <c r="A20" s="821" t="s">
        <v>2455</v>
      </c>
      <c r="B20" s="855" t="s">
        <v>2456</v>
      </c>
      <c r="C20" s="826">
        <v>0</v>
      </c>
      <c r="D20" s="827">
        <v>32890</v>
      </c>
      <c r="E20" s="826">
        <v>0</v>
      </c>
      <c r="F20" s="827">
        <f t="shared" si="0"/>
        <v>32890</v>
      </c>
      <c r="G20" s="826">
        <v>32888</v>
      </c>
      <c r="H20" s="828">
        <v>2</v>
      </c>
      <c r="I20" s="826">
        <f t="shared" si="1"/>
        <v>-2</v>
      </c>
      <c r="J20" s="826">
        <f t="shared" si="2"/>
        <v>-2</v>
      </c>
      <c r="K20" s="826">
        <v>36005</v>
      </c>
      <c r="L20" s="829">
        <f t="shared" si="3"/>
        <v>0.9134286904596584</v>
      </c>
    </row>
    <row r="21" spans="1:12" ht="29.25" thickBot="1">
      <c r="A21" s="821" t="s">
        <v>2457</v>
      </c>
      <c r="B21" s="855" t="s">
        <v>2458</v>
      </c>
      <c r="C21" s="826">
        <v>422186</v>
      </c>
      <c r="D21" s="827">
        <v>236740</v>
      </c>
      <c r="E21" s="826">
        <v>74213</v>
      </c>
      <c r="F21" s="827">
        <f t="shared" si="0"/>
        <v>310953</v>
      </c>
      <c r="G21" s="826">
        <f>203631+74213</f>
        <v>277844</v>
      </c>
      <c r="H21" s="828">
        <v>33108</v>
      </c>
      <c r="I21" s="826">
        <f t="shared" si="1"/>
        <v>41104</v>
      </c>
      <c r="J21" s="826">
        <f t="shared" si="2"/>
        <v>-33109</v>
      </c>
      <c r="K21" s="826">
        <v>1462622</v>
      </c>
      <c r="L21" s="829">
        <f t="shared" si="3"/>
        <v>0.1899629569362419</v>
      </c>
    </row>
    <row r="22" spans="1:12" ht="20.25" customHeight="1" thickBot="1">
      <c r="A22" s="816"/>
      <c r="B22" s="830" t="s">
        <v>2312</v>
      </c>
      <c r="C22" s="831">
        <f aca="true" t="shared" si="4" ref="C22:K22">SUM(C7:C21)</f>
        <v>5916057</v>
      </c>
      <c r="D22" s="831">
        <f t="shared" si="4"/>
        <v>5459175</v>
      </c>
      <c r="E22" s="831">
        <f t="shared" si="4"/>
        <v>830786</v>
      </c>
      <c r="F22" s="831">
        <f t="shared" si="4"/>
        <v>6289961</v>
      </c>
      <c r="G22" s="831">
        <f t="shared" si="4"/>
        <v>3743533</v>
      </c>
      <c r="H22" s="832">
        <f t="shared" si="4"/>
        <v>2546428</v>
      </c>
      <c r="I22" s="831">
        <f t="shared" si="4"/>
        <v>-1715642</v>
      </c>
      <c r="J22" s="831">
        <f t="shared" si="4"/>
        <v>-2546428</v>
      </c>
      <c r="K22" s="831">
        <f t="shared" si="4"/>
        <v>8062340</v>
      </c>
      <c r="L22" s="833">
        <f t="shared" si="3"/>
        <v>0.4643233850222144</v>
      </c>
    </row>
    <row r="23" spans="1:12" ht="20.25" customHeight="1">
      <c r="A23" s="816"/>
      <c r="B23" s="834" t="s">
        <v>2459</v>
      </c>
      <c r="C23" s="835">
        <v>0</v>
      </c>
      <c r="D23" s="836">
        <v>61757</v>
      </c>
      <c r="E23" s="835">
        <v>0</v>
      </c>
      <c r="F23" s="837">
        <f>+D23+E23</f>
        <v>61757</v>
      </c>
      <c r="G23" s="835">
        <v>61749</v>
      </c>
      <c r="H23" s="838">
        <v>8</v>
      </c>
      <c r="I23" s="835">
        <f>G23-D23</f>
        <v>-8</v>
      </c>
      <c r="J23" s="835">
        <f>G23-F23</f>
        <v>-8</v>
      </c>
      <c r="K23" s="835">
        <v>20987</v>
      </c>
      <c r="L23" s="839">
        <f t="shared" si="3"/>
        <v>2.9422499642635915</v>
      </c>
    </row>
    <row r="24" spans="1:12" ht="20.25" customHeight="1" thickBot="1">
      <c r="A24" s="840"/>
      <c r="B24" s="853" t="s">
        <v>2460</v>
      </c>
      <c r="C24" s="841">
        <v>0</v>
      </c>
      <c r="D24" s="842">
        <v>0</v>
      </c>
      <c r="E24" s="841">
        <v>0</v>
      </c>
      <c r="F24" s="843">
        <f>+D24+E24</f>
        <v>0</v>
      </c>
      <c r="G24" s="841">
        <v>0</v>
      </c>
      <c r="H24" s="844">
        <v>0</v>
      </c>
      <c r="I24" s="841">
        <f>G24-D24</f>
        <v>0</v>
      </c>
      <c r="J24" s="841">
        <f>G24-F24</f>
        <v>0</v>
      </c>
      <c r="K24" s="841">
        <v>0</v>
      </c>
      <c r="L24" s="841"/>
    </row>
    <row r="25" spans="1:12" ht="22.5" customHeight="1" thickBot="1">
      <c r="A25" s="845"/>
      <c r="B25" s="846" t="s">
        <v>2461</v>
      </c>
      <c r="C25" s="831">
        <f aca="true" t="shared" si="5" ref="C25:J25">+C22+C23-C24</f>
        <v>5916057</v>
      </c>
      <c r="D25" s="831">
        <f t="shared" si="5"/>
        <v>5520932</v>
      </c>
      <c r="E25" s="831">
        <f t="shared" si="5"/>
        <v>830786</v>
      </c>
      <c r="F25" s="831">
        <f t="shared" si="5"/>
        <v>6351718</v>
      </c>
      <c r="G25" s="831">
        <f t="shared" si="5"/>
        <v>3805282</v>
      </c>
      <c r="H25" s="832">
        <f t="shared" si="5"/>
        <v>2546436</v>
      </c>
      <c r="I25" s="831">
        <f t="shared" si="5"/>
        <v>-1715650</v>
      </c>
      <c r="J25" s="831">
        <f t="shared" si="5"/>
        <v>-2546436</v>
      </c>
      <c r="K25" s="831">
        <f>K22+K23-K24</f>
        <v>8083327</v>
      </c>
      <c r="L25" s="833">
        <f>+G25/K25</f>
        <v>0.4707569049229358</v>
      </c>
    </row>
    <row r="26" ht="17.25" customHeight="1">
      <c r="B26" s="847"/>
    </row>
    <row r="27" spans="1:12" s="64" customFormat="1" ht="15">
      <c r="A27" s="64" t="s">
        <v>2463</v>
      </c>
      <c r="B27" s="848"/>
      <c r="E27" s="849" t="s">
        <v>2464</v>
      </c>
      <c r="K27" s="1039" t="s">
        <v>2462</v>
      </c>
      <c r="L27" s="1039"/>
    </row>
    <row r="28" spans="2:8" s="64" customFormat="1" ht="15">
      <c r="B28" s="848"/>
      <c r="H28" s="810"/>
    </row>
    <row r="29" spans="2:8" s="64" customFormat="1" ht="15">
      <c r="B29" s="848"/>
      <c r="H29" s="810"/>
    </row>
  </sheetData>
  <mergeCells count="2">
    <mergeCell ref="J1:L1"/>
    <mergeCell ref="K27:L27"/>
  </mergeCells>
  <printOptions horizontalCentered="1"/>
  <pageMargins left="0.3937007874015748" right="0.3937007874015748" top="0.984251968503937" bottom="0.7874015748031497" header="0.7086614173228347" footer="0.31496062992125984"/>
  <pageSetup fitToHeight="1" fitToWidth="1" horizontalDpi="600" verticalDpi="600" orientation="landscape" paperSize="9" scale="66" r:id="rId1"/>
  <headerFooter alignWithMargins="0">
    <oddFooter>&amp;C&amp;11&amp;P+114
&amp;14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121"/>
  <sheetViews>
    <sheetView workbookViewId="0" topLeftCell="A97">
      <selection activeCell="A106" sqref="A106"/>
    </sheetView>
  </sheetViews>
  <sheetFormatPr defaultColWidth="9.00390625" defaultRowHeight="12.75"/>
  <cols>
    <col min="1" max="1" width="50.875" style="62" bestFit="1" customWidth="1"/>
    <col min="2" max="4" width="11.00390625" style="62" customWidth="1"/>
    <col min="5" max="5" width="18.125" style="62" customWidth="1"/>
    <col min="6" max="16384" width="9.125" style="62" customWidth="1"/>
  </cols>
  <sheetData>
    <row r="2" spans="1:6" s="876" customFormat="1" ht="32.25" customHeight="1">
      <c r="A2" s="1040" t="s">
        <v>2465</v>
      </c>
      <c r="B2" s="1040"/>
      <c r="C2" s="1040"/>
      <c r="D2" s="1040"/>
      <c r="E2" s="1040"/>
      <c r="F2" s="877"/>
    </row>
    <row r="3" spans="1:6" s="876" customFormat="1" ht="12.75" customHeight="1">
      <c r="A3" s="878"/>
      <c r="B3" s="878"/>
      <c r="C3" s="878"/>
      <c r="D3" s="878"/>
      <c r="E3" s="878"/>
      <c r="F3" s="877"/>
    </row>
    <row r="4" ht="13.5" thickBot="1">
      <c r="E4" s="875" t="s">
        <v>2109</v>
      </c>
    </row>
    <row r="5" spans="1:5" s="978" customFormat="1" ht="24" customHeight="1" thickBot="1">
      <c r="A5" s="974" t="s">
        <v>2466</v>
      </c>
      <c r="B5" s="975" t="s">
        <v>2467</v>
      </c>
      <c r="C5" s="976" t="s">
        <v>2119</v>
      </c>
      <c r="D5" s="976" t="s">
        <v>2120</v>
      </c>
      <c r="E5" s="977" t="s">
        <v>2468</v>
      </c>
    </row>
    <row r="6" spans="1:5" ht="12.75">
      <c r="A6" s="859" t="s">
        <v>2469</v>
      </c>
      <c r="B6" s="859">
        <v>114050</v>
      </c>
      <c r="C6" s="209">
        <v>25000</v>
      </c>
      <c r="D6" s="209">
        <v>39172</v>
      </c>
      <c r="E6" s="209">
        <v>35575</v>
      </c>
    </row>
    <row r="7" spans="1:5" ht="12.75">
      <c r="A7" s="859" t="s">
        <v>2469</v>
      </c>
      <c r="B7" s="859">
        <v>114070</v>
      </c>
      <c r="C7" s="209">
        <v>2750519</v>
      </c>
      <c r="D7" s="209">
        <v>1470159</v>
      </c>
      <c r="E7" s="209">
        <v>207695</v>
      </c>
    </row>
    <row r="8" spans="1:5" ht="12.75">
      <c r="A8" s="859" t="s">
        <v>2469</v>
      </c>
      <c r="B8" s="859">
        <v>114410</v>
      </c>
      <c r="C8" s="209">
        <v>64319</v>
      </c>
      <c r="D8" s="209">
        <v>578060</v>
      </c>
      <c r="E8" s="209">
        <v>82667</v>
      </c>
    </row>
    <row r="9" spans="1:5" ht="12.75">
      <c r="A9" s="859" t="s">
        <v>2469</v>
      </c>
      <c r="B9" s="859">
        <v>214110</v>
      </c>
      <c r="C9" s="209">
        <v>155024</v>
      </c>
      <c r="D9" s="209">
        <v>44413</v>
      </c>
      <c r="E9" s="209">
        <v>147633</v>
      </c>
    </row>
    <row r="10" spans="1:5" ht="12.75">
      <c r="A10" s="859" t="s">
        <v>2469</v>
      </c>
      <c r="B10" s="859">
        <v>214510</v>
      </c>
      <c r="C10" s="209">
        <v>0</v>
      </c>
      <c r="D10" s="209">
        <v>32890</v>
      </c>
      <c r="E10" s="209">
        <v>32888</v>
      </c>
    </row>
    <row r="11" spans="1:5" ht="12.75">
      <c r="A11" s="859" t="s">
        <v>2469</v>
      </c>
      <c r="B11" s="859">
        <v>214910</v>
      </c>
      <c r="C11" s="209">
        <v>422186</v>
      </c>
      <c r="D11" s="209">
        <v>236740</v>
      </c>
      <c r="E11" s="209">
        <v>277844</v>
      </c>
    </row>
    <row r="12" spans="1:5" ht="12.75">
      <c r="A12" s="860" t="s">
        <v>2470</v>
      </c>
      <c r="B12" s="860"/>
      <c r="C12" s="861">
        <f>SUM(C6:C11)</f>
        <v>3417048</v>
      </c>
      <c r="D12" s="861">
        <f>SUM(D6:D11)</f>
        <v>2401434</v>
      </c>
      <c r="E12" s="861">
        <f>SUM(E6:E11)</f>
        <v>784302</v>
      </c>
    </row>
    <row r="13" spans="1:5" ht="12.75">
      <c r="A13" s="859" t="s">
        <v>2279</v>
      </c>
      <c r="B13" s="859">
        <v>114070</v>
      </c>
      <c r="C13" s="209">
        <v>0</v>
      </c>
      <c r="D13" s="209">
        <v>39178</v>
      </c>
      <c r="E13" s="209">
        <v>42255</v>
      </c>
    </row>
    <row r="14" spans="1:5" ht="12.75">
      <c r="A14" s="859" t="s">
        <v>2279</v>
      </c>
      <c r="B14" s="859">
        <v>114210</v>
      </c>
      <c r="C14" s="209">
        <v>124682</v>
      </c>
      <c r="D14" s="209">
        <v>227877</v>
      </c>
      <c r="E14" s="209">
        <v>227771</v>
      </c>
    </row>
    <row r="15" spans="1:5" ht="12.75">
      <c r="A15" s="859" t="s">
        <v>2279</v>
      </c>
      <c r="B15" s="859">
        <v>114230</v>
      </c>
      <c r="C15" s="209">
        <v>5000</v>
      </c>
      <c r="D15" s="209">
        <v>5000</v>
      </c>
      <c r="E15" s="209">
        <v>4997</v>
      </c>
    </row>
    <row r="16" spans="1:5" ht="12.75">
      <c r="A16" s="859" t="s">
        <v>2279</v>
      </c>
      <c r="B16" s="859">
        <v>214210</v>
      </c>
      <c r="C16" s="209">
        <v>21000</v>
      </c>
      <c r="D16" s="209">
        <v>19908</v>
      </c>
      <c r="E16" s="209">
        <v>26568</v>
      </c>
    </row>
    <row r="17" spans="1:5" ht="12.75">
      <c r="A17" s="862" t="s">
        <v>2471</v>
      </c>
      <c r="B17" s="862"/>
      <c r="C17" s="863">
        <f>SUM(C13:C16)</f>
        <v>150682</v>
      </c>
      <c r="D17" s="863">
        <f>SUM(D13:D16)</f>
        <v>291963</v>
      </c>
      <c r="E17" s="863">
        <f>SUM(E13:E16)</f>
        <v>301591</v>
      </c>
    </row>
    <row r="18" spans="1:5" ht="12.75">
      <c r="A18" s="859" t="s">
        <v>2152</v>
      </c>
      <c r="B18" s="859">
        <v>114110</v>
      </c>
      <c r="C18" s="209">
        <v>0</v>
      </c>
      <c r="D18" s="209">
        <v>30000</v>
      </c>
      <c r="E18" s="209">
        <v>28206</v>
      </c>
    </row>
    <row r="19" spans="1:5" ht="12.75">
      <c r="A19" s="859" t="s">
        <v>2152</v>
      </c>
      <c r="B19" s="859">
        <v>214110</v>
      </c>
      <c r="C19" s="209">
        <v>1013246</v>
      </c>
      <c r="D19" s="209">
        <v>567965</v>
      </c>
      <c r="E19" s="209">
        <v>613379</v>
      </c>
    </row>
    <row r="20" spans="1:5" ht="13.5" thickBot="1">
      <c r="A20" s="864" t="s">
        <v>2472</v>
      </c>
      <c r="B20" s="864"/>
      <c r="C20" s="865">
        <f>SUM(C18:C19)</f>
        <v>1013246</v>
      </c>
      <c r="D20" s="865">
        <f>SUM(D18:D19)</f>
        <v>597965</v>
      </c>
      <c r="E20" s="865">
        <f>SUM(E18:E19)</f>
        <v>641585</v>
      </c>
    </row>
    <row r="21" spans="1:5" ht="14.25" thickBot="1" thickTop="1">
      <c r="A21" s="866" t="s">
        <v>2473</v>
      </c>
      <c r="B21" s="867"/>
      <c r="C21" s="868">
        <f>SUM(C12,C17,C20)</f>
        <v>4580976</v>
      </c>
      <c r="D21" s="868">
        <f>SUM(D12,D17,D20)</f>
        <v>3291362</v>
      </c>
      <c r="E21" s="868">
        <f>SUM(E12,E17,E20)</f>
        <v>1727478</v>
      </c>
    </row>
    <row r="22" spans="1:5" ht="13.5" thickTop="1">
      <c r="A22" s="869" t="s">
        <v>2179</v>
      </c>
      <c r="B22" s="869">
        <v>114210</v>
      </c>
      <c r="C22" s="870">
        <v>8735</v>
      </c>
      <c r="D22" s="870">
        <v>48299</v>
      </c>
      <c r="E22" s="870">
        <v>48445</v>
      </c>
    </row>
    <row r="23" spans="1:5" ht="12.75">
      <c r="A23" s="869" t="s">
        <v>2179</v>
      </c>
      <c r="B23" s="869">
        <v>114230</v>
      </c>
      <c r="C23" s="870">
        <v>5000</v>
      </c>
      <c r="D23" s="870">
        <v>5000</v>
      </c>
      <c r="E23" s="870">
        <v>5000</v>
      </c>
    </row>
    <row r="24" spans="1:5" ht="12.75">
      <c r="A24" s="859" t="s">
        <v>2179</v>
      </c>
      <c r="B24" s="859">
        <v>214210</v>
      </c>
      <c r="C24" s="209">
        <v>27060</v>
      </c>
      <c r="D24" s="209">
        <v>27350</v>
      </c>
      <c r="E24" s="209">
        <v>27349</v>
      </c>
    </row>
    <row r="25" spans="1:5" s="154" customFormat="1" ht="12.75">
      <c r="A25" s="864" t="s">
        <v>2474</v>
      </c>
      <c r="B25" s="864"/>
      <c r="C25" s="865">
        <f>SUM(C22:C24)</f>
        <v>40795</v>
      </c>
      <c r="D25" s="865">
        <f>SUM(D22:D24)</f>
        <v>80649</v>
      </c>
      <c r="E25" s="865">
        <f>SUM(E22:E24)</f>
        <v>80794</v>
      </c>
    </row>
    <row r="26" spans="1:5" ht="12.75">
      <c r="A26" s="859" t="s">
        <v>2181</v>
      </c>
      <c r="B26" s="859">
        <v>114210</v>
      </c>
      <c r="C26" s="209">
        <v>21772</v>
      </c>
      <c r="D26" s="209">
        <v>20293</v>
      </c>
      <c r="E26" s="209">
        <v>21250</v>
      </c>
    </row>
    <row r="27" spans="1:5" ht="12.75">
      <c r="A27" s="859" t="s">
        <v>2181</v>
      </c>
      <c r="B27" s="859">
        <v>114230</v>
      </c>
      <c r="C27" s="209">
        <v>5000</v>
      </c>
      <c r="D27" s="209">
        <v>5000</v>
      </c>
      <c r="E27" s="209">
        <v>5000</v>
      </c>
    </row>
    <row r="28" spans="1:5" ht="12.75">
      <c r="A28" s="864" t="s">
        <v>2475</v>
      </c>
      <c r="B28" s="864"/>
      <c r="C28" s="865">
        <f>SUM(C26:C27)</f>
        <v>26772</v>
      </c>
      <c r="D28" s="865">
        <f>SUM(D26:D27)</f>
        <v>25293</v>
      </c>
      <c r="E28" s="865">
        <f>SUM(E26:E27)</f>
        <v>26250</v>
      </c>
    </row>
    <row r="29" spans="1:5" ht="12.75">
      <c r="A29" s="859" t="s">
        <v>2189</v>
      </c>
      <c r="B29" s="859">
        <v>114210</v>
      </c>
      <c r="C29" s="209">
        <v>27323</v>
      </c>
      <c r="D29" s="209">
        <v>23306</v>
      </c>
      <c r="E29" s="209">
        <v>32156</v>
      </c>
    </row>
    <row r="30" spans="1:5" ht="12.75">
      <c r="A30" s="859" t="s">
        <v>2189</v>
      </c>
      <c r="B30" s="859">
        <v>114230</v>
      </c>
      <c r="C30" s="209">
        <v>25000</v>
      </c>
      <c r="D30" s="209">
        <v>25000</v>
      </c>
      <c r="E30" s="209">
        <v>24998</v>
      </c>
    </row>
    <row r="31" spans="1:5" ht="12.75">
      <c r="A31" s="864" t="s">
        <v>2476</v>
      </c>
      <c r="B31" s="864"/>
      <c r="C31" s="865">
        <f>SUM(C29:C30)</f>
        <v>52323</v>
      </c>
      <c r="D31" s="865">
        <f>SUM(D29:D30)</f>
        <v>48306</v>
      </c>
      <c r="E31" s="865">
        <f>SUM(E29:E30)</f>
        <v>57154</v>
      </c>
    </row>
    <row r="32" spans="1:5" ht="12.75">
      <c r="A32" s="859" t="s">
        <v>2183</v>
      </c>
      <c r="B32" s="859">
        <v>114210</v>
      </c>
      <c r="C32" s="209">
        <v>17634</v>
      </c>
      <c r="D32" s="209">
        <v>8840</v>
      </c>
      <c r="E32" s="209">
        <v>20075</v>
      </c>
    </row>
    <row r="33" spans="1:5" ht="12.75">
      <c r="A33" s="859" t="s">
        <v>2183</v>
      </c>
      <c r="B33" s="859">
        <v>114230</v>
      </c>
      <c r="C33" s="209">
        <v>5000</v>
      </c>
      <c r="D33" s="209">
        <v>5000</v>
      </c>
      <c r="E33" s="209">
        <v>5000</v>
      </c>
    </row>
    <row r="34" spans="1:5" ht="12.75">
      <c r="A34" s="864" t="s">
        <v>2477</v>
      </c>
      <c r="B34" s="864"/>
      <c r="C34" s="865">
        <f>SUM(C32:C33)</f>
        <v>22634</v>
      </c>
      <c r="D34" s="865">
        <f>SUM(D32:D33)</f>
        <v>13840</v>
      </c>
      <c r="E34" s="865">
        <f>SUM(E32:E33)</f>
        <v>25075</v>
      </c>
    </row>
    <row r="35" spans="1:5" ht="12.75">
      <c r="A35" s="859" t="s">
        <v>2478</v>
      </c>
      <c r="B35" s="869">
        <v>114210</v>
      </c>
      <c r="C35" s="209">
        <v>11087</v>
      </c>
      <c r="D35" s="209">
        <v>12154</v>
      </c>
      <c r="E35" s="209">
        <v>15695</v>
      </c>
    </row>
    <row r="36" spans="1:5" ht="12.75">
      <c r="A36" s="859" t="s">
        <v>2478</v>
      </c>
      <c r="B36" s="869">
        <v>114230</v>
      </c>
      <c r="C36" s="209">
        <v>15000</v>
      </c>
      <c r="D36" s="209">
        <v>15000</v>
      </c>
      <c r="E36" s="209">
        <v>14998</v>
      </c>
    </row>
    <row r="37" spans="1:5" ht="12.75">
      <c r="A37" s="859" t="s">
        <v>2478</v>
      </c>
      <c r="B37" s="859">
        <v>214210</v>
      </c>
      <c r="C37" s="209">
        <v>15700</v>
      </c>
      <c r="D37" s="209">
        <v>15248</v>
      </c>
      <c r="E37" s="209">
        <v>16214</v>
      </c>
    </row>
    <row r="38" spans="1:5" ht="12.75">
      <c r="A38" s="864" t="s">
        <v>2479</v>
      </c>
      <c r="B38" s="864"/>
      <c r="C38" s="865">
        <f>SUM(C35:C37)</f>
        <v>41787</v>
      </c>
      <c r="D38" s="865">
        <f>SUM(D35:D37)</f>
        <v>42402</v>
      </c>
      <c r="E38" s="865">
        <f>SUM(E35:E37)</f>
        <v>46907</v>
      </c>
    </row>
    <row r="39" spans="1:5" ht="12.75">
      <c r="A39" s="859" t="s">
        <v>2186</v>
      </c>
      <c r="B39" s="869">
        <v>114210</v>
      </c>
      <c r="C39" s="209">
        <v>8855</v>
      </c>
      <c r="D39" s="209">
        <v>7719</v>
      </c>
      <c r="E39" s="209">
        <v>11631</v>
      </c>
    </row>
    <row r="40" spans="1:5" ht="12.75">
      <c r="A40" s="859" t="s">
        <v>2186</v>
      </c>
      <c r="B40" s="869">
        <v>114230</v>
      </c>
      <c r="C40" s="209">
        <v>15000</v>
      </c>
      <c r="D40" s="209">
        <v>15000</v>
      </c>
      <c r="E40" s="209">
        <v>15000</v>
      </c>
    </row>
    <row r="41" spans="1:5" ht="12.75">
      <c r="A41" s="859" t="s">
        <v>2186</v>
      </c>
      <c r="B41" s="859">
        <v>214210</v>
      </c>
      <c r="C41" s="209">
        <v>39900</v>
      </c>
      <c r="D41" s="209">
        <v>36028</v>
      </c>
      <c r="E41" s="209">
        <v>53051</v>
      </c>
    </row>
    <row r="42" spans="1:5" ht="12.75">
      <c r="A42" s="864" t="s">
        <v>2480</v>
      </c>
      <c r="B42" s="864"/>
      <c r="C42" s="865">
        <f>SUM(C39:C41)</f>
        <v>63755</v>
      </c>
      <c r="D42" s="865">
        <f>SUM(D39:D41)</f>
        <v>58747</v>
      </c>
      <c r="E42" s="865">
        <f>SUM(E39:E41)</f>
        <v>79682</v>
      </c>
    </row>
    <row r="43" spans="1:5" ht="12.75">
      <c r="A43" s="859" t="s">
        <v>2185</v>
      </c>
      <c r="B43" s="869">
        <v>114210</v>
      </c>
      <c r="C43" s="209">
        <v>23730</v>
      </c>
      <c r="D43" s="209">
        <v>27862</v>
      </c>
      <c r="E43" s="209">
        <v>29854</v>
      </c>
    </row>
    <row r="44" spans="1:5" ht="12.75">
      <c r="A44" s="859" t="s">
        <v>2185</v>
      </c>
      <c r="B44" s="869">
        <v>114230</v>
      </c>
      <c r="C44" s="209">
        <v>10000</v>
      </c>
      <c r="D44" s="209">
        <v>10000</v>
      </c>
      <c r="E44" s="209">
        <v>10000</v>
      </c>
    </row>
    <row r="45" spans="1:5" ht="12.75">
      <c r="A45" s="859" t="s">
        <v>2185</v>
      </c>
      <c r="B45" s="859">
        <v>214210</v>
      </c>
      <c r="C45" s="209">
        <v>34000</v>
      </c>
      <c r="D45" s="209">
        <v>26091</v>
      </c>
      <c r="E45" s="209">
        <v>26091</v>
      </c>
    </row>
    <row r="46" spans="1:5" ht="12.75">
      <c r="A46" s="864" t="s">
        <v>2481</v>
      </c>
      <c r="B46" s="864"/>
      <c r="C46" s="865">
        <f>SUM(C43:C45)</f>
        <v>67730</v>
      </c>
      <c r="D46" s="865">
        <f>SUM(D43:D45)</f>
        <v>63953</v>
      </c>
      <c r="E46" s="865">
        <f>SUM(E43:E45)</f>
        <v>65945</v>
      </c>
    </row>
    <row r="47" spans="1:5" ht="12.75">
      <c r="A47" s="859" t="s">
        <v>2191</v>
      </c>
      <c r="B47" s="859">
        <v>114210</v>
      </c>
      <c r="C47" s="209">
        <v>20756</v>
      </c>
      <c r="D47" s="209">
        <v>31022</v>
      </c>
      <c r="E47" s="209">
        <v>50342</v>
      </c>
    </row>
    <row r="48" spans="1:5" ht="12.75">
      <c r="A48" s="859" t="s">
        <v>2191</v>
      </c>
      <c r="B48" s="859">
        <v>114230</v>
      </c>
      <c r="C48" s="209">
        <v>15000</v>
      </c>
      <c r="D48" s="209">
        <v>15000</v>
      </c>
      <c r="E48" s="209">
        <v>15000</v>
      </c>
    </row>
    <row r="49" spans="1:5" ht="12.75">
      <c r="A49" s="864" t="s">
        <v>2482</v>
      </c>
      <c r="B49" s="864"/>
      <c r="C49" s="865">
        <f>SUM(C47:C48)</f>
        <v>35756</v>
      </c>
      <c r="D49" s="865">
        <f>SUM(D47:D48)</f>
        <v>46022</v>
      </c>
      <c r="E49" s="865">
        <f>SUM(E47:E48)</f>
        <v>65342</v>
      </c>
    </row>
    <row r="50" spans="1:5" ht="12.75">
      <c r="A50" s="859" t="s">
        <v>2192</v>
      </c>
      <c r="B50" s="859">
        <v>114210</v>
      </c>
      <c r="C50" s="209">
        <v>6056</v>
      </c>
      <c r="D50" s="209">
        <v>10178</v>
      </c>
      <c r="E50" s="209">
        <v>16076</v>
      </c>
    </row>
    <row r="51" spans="1:5" ht="12.75">
      <c r="A51" s="859" t="s">
        <v>2192</v>
      </c>
      <c r="B51" s="859">
        <v>114230</v>
      </c>
      <c r="C51" s="209">
        <v>15000</v>
      </c>
      <c r="D51" s="209">
        <v>10000</v>
      </c>
      <c r="E51" s="209">
        <v>10000</v>
      </c>
    </row>
    <row r="52" spans="1:5" ht="12.75">
      <c r="A52" s="864" t="s">
        <v>2483</v>
      </c>
      <c r="B52" s="864"/>
      <c r="C52" s="865">
        <f>SUM(C50:C51)</f>
        <v>21056</v>
      </c>
      <c r="D52" s="865">
        <f>SUM(D50:D51)</f>
        <v>20178</v>
      </c>
      <c r="E52" s="865">
        <f>SUM(E50:E51)</f>
        <v>26076</v>
      </c>
    </row>
    <row r="53" spans="1:5" ht="12.75">
      <c r="A53" s="859" t="s">
        <v>2187</v>
      </c>
      <c r="B53" s="859">
        <v>114210</v>
      </c>
      <c r="C53" s="209">
        <v>14721</v>
      </c>
      <c r="D53" s="209">
        <v>12751</v>
      </c>
      <c r="E53" s="209">
        <v>13883</v>
      </c>
    </row>
    <row r="54" spans="1:5" ht="12.75">
      <c r="A54" s="859" t="s">
        <v>2187</v>
      </c>
      <c r="B54" s="859">
        <v>114230</v>
      </c>
      <c r="C54" s="209">
        <v>15000</v>
      </c>
      <c r="D54" s="209">
        <v>15000</v>
      </c>
      <c r="E54" s="209">
        <v>14999</v>
      </c>
    </row>
    <row r="55" spans="1:5" ht="12.75">
      <c r="A55" s="864" t="s">
        <v>2484</v>
      </c>
      <c r="B55" s="864"/>
      <c r="C55" s="865">
        <f>SUM(C53:C54)</f>
        <v>29721</v>
      </c>
      <c r="D55" s="865">
        <f>SUM(D53:D54)</f>
        <v>27751</v>
      </c>
      <c r="E55" s="865">
        <f>SUM(E53:E54)</f>
        <v>28882</v>
      </c>
    </row>
    <row r="56" spans="1:5" ht="12.75">
      <c r="A56" s="859" t="s">
        <v>2182</v>
      </c>
      <c r="B56" s="869">
        <v>114210</v>
      </c>
      <c r="C56" s="209">
        <v>20578</v>
      </c>
      <c r="D56" s="209">
        <v>19604</v>
      </c>
      <c r="E56" s="209">
        <v>25006</v>
      </c>
    </row>
    <row r="57" spans="1:5" ht="12.75">
      <c r="A57" s="859" t="s">
        <v>2182</v>
      </c>
      <c r="B57" s="869">
        <v>114230</v>
      </c>
      <c r="C57" s="209">
        <v>15000</v>
      </c>
      <c r="D57" s="209">
        <v>15000</v>
      </c>
      <c r="E57" s="209">
        <v>15000</v>
      </c>
    </row>
    <row r="58" spans="1:5" ht="12.75">
      <c r="A58" s="859" t="s">
        <v>2182</v>
      </c>
      <c r="B58" s="859">
        <v>214210</v>
      </c>
      <c r="C58" s="209">
        <v>20000</v>
      </c>
      <c r="D58" s="209">
        <v>11953</v>
      </c>
      <c r="E58" s="209">
        <v>24349</v>
      </c>
    </row>
    <row r="59" spans="1:5" ht="12.75">
      <c r="A59" s="864" t="s">
        <v>2485</v>
      </c>
      <c r="B59" s="864"/>
      <c r="C59" s="865">
        <f>SUM(C56:C58)</f>
        <v>55578</v>
      </c>
      <c r="D59" s="865">
        <f>SUM(D56:D58)</f>
        <v>46557</v>
      </c>
      <c r="E59" s="865">
        <f>SUM(E56:E58)</f>
        <v>64355</v>
      </c>
    </row>
    <row r="60" spans="1:5" ht="12.75">
      <c r="A60" s="859" t="s">
        <v>2180</v>
      </c>
      <c r="B60" s="869">
        <v>114210</v>
      </c>
      <c r="C60" s="209">
        <v>30436</v>
      </c>
      <c r="D60" s="209">
        <v>29228</v>
      </c>
      <c r="E60" s="209">
        <v>32569</v>
      </c>
    </row>
    <row r="61" spans="1:5" ht="12.75">
      <c r="A61" s="859" t="s">
        <v>2180</v>
      </c>
      <c r="B61" s="869">
        <v>114230</v>
      </c>
      <c r="C61" s="209">
        <v>30000</v>
      </c>
      <c r="D61" s="209">
        <v>30000</v>
      </c>
      <c r="E61" s="209">
        <v>29999</v>
      </c>
    </row>
    <row r="62" spans="1:5" ht="12.75">
      <c r="A62" s="859" t="s">
        <v>2180</v>
      </c>
      <c r="B62" s="859">
        <v>214210</v>
      </c>
      <c r="C62" s="209">
        <v>9000</v>
      </c>
      <c r="D62" s="209">
        <v>12233</v>
      </c>
      <c r="E62" s="209">
        <v>18175</v>
      </c>
    </row>
    <row r="63" spans="1:5" ht="12.75">
      <c r="A63" s="864" t="s">
        <v>2486</v>
      </c>
      <c r="B63" s="864"/>
      <c r="C63" s="865">
        <f>SUM(C60:C62)</f>
        <v>69436</v>
      </c>
      <c r="D63" s="865">
        <f>SUM(D60:D62)</f>
        <v>71461</v>
      </c>
      <c r="E63" s="865">
        <f>SUM(E60:E62)</f>
        <v>80743</v>
      </c>
    </row>
    <row r="64" spans="1:5" ht="12.75">
      <c r="A64" s="859" t="s">
        <v>2184</v>
      </c>
      <c r="B64" s="869">
        <v>114210</v>
      </c>
      <c r="C64" s="209">
        <v>19852</v>
      </c>
      <c r="D64" s="209">
        <v>15195</v>
      </c>
      <c r="E64" s="209">
        <v>15395</v>
      </c>
    </row>
    <row r="65" spans="1:5" ht="12.75">
      <c r="A65" s="859" t="s">
        <v>2184</v>
      </c>
      <c r="B65" s="869">
        <v>114230</v>
      </c>
      <c r="C65" s="209">
        <v>15000</v>
      </c>
      <c r="D65" s="209">
        <v>15000</v>
      </c>
      <c r="E65" s="209">
        <v>14999</v>
      </c>
    </row>
    <row r="66" spans="1:5" ht="12.75">
      <c r="A66" s="859" t="s">
        <v>2184</v>
      </c>
      <c r="B66" s="859">
        <v>214210</v>
      </c>
      <c r="C66" s="209">
        <v>15000</v>
      </c>
      <c r="D66" s="209">
        <v>22485</v>
      </c>
      <c r="E66" s="209">
        <v>22531</v>
      </c>
    </row>
    <row r="67" spans="1:5" ht="12.75">
      <c r="A67" s="864" t="s">
        <v>2487</v>
      </c>
      <c r="B67" s="864"/>
      <c r="C67" s="865">
        <f>SUM(C64:C66)</f>
        <v>49852</v>
      </c>
      <c r="D67" s="865">
        <f>SUM(D64:D66)</f>
        <v>52680</v>
      </c>
      <c r="E67" s="865">
        <f>SUM(E64:E66)</f>
        <v>52925</v>
      </c>
    </row>
    <row r="68" spans="1:5" ht="12.75">
      <c r="A68" s="859" t="s">
        <v>2190</v>
      </c>
      <c r="B68" s="859">
        <v>114210</v>
      </c>
      <c r="C68" s="209">
        <v>12803</v>
      </c>
      <c r="D68" s="209">
        <v>14944</v>
      </c>
      <c r="E68" s="209">
        <v>17139</v>
      </c>
    </row>
    <row r="69" spans="1:5" ht="12.75">
      <c r="A69" s="859" t="s">
        <v>2190</v>
      </c>
      <c r="B69" s="859">
        <v>114230</v>
      </c>
      <c r="C69" s="209">
        <v>10000</v>
      </c>
      <c r="D69" s="209">
        <v>10000</v>
      </c>
      <c r="E69" s="209">
        <v>9999</v>
      </c>
    </row>
    <row r="70" spans="1:5" ht="12.75">
      <c r="A70" s="864" t="s">
        <v>2488</v>
      </c>
      <c r="B70" s="864"/>
      <c r="C70" s="865">
        <f>SUM(C68:C69)</f>
        <v>22803</v>
      </c>
      <c r="D70" s="865">
        <f>SUM(D68:D69)</f>
        <v>24944</v>
      </c>
      <c r="E70" s="865">
        <f>SUM(E68:E69)</f>
        <v>27138</v>
      </c>
    </row>
    <row r="71" spans="1:5" ht="12.75">
      <c r="A71" s="859" t="s">
        <v>2194</v>
      </c>
      <c r="B71" s="859">
        <v>114210</v>
      </c>
      <c r="C71" s="209">
        <v>21705</v>
      </c>
      <c r="D71" s="209">
        <v>26774</v>
      </c>
      <c r="E71" s="209">
        <v>26769</v>
      </c>
    </row>
    <row r="72" spans="1:5" ht="12.75">
      <c r="A72" s="859" t="s">
        <v>2194</v>
      </c>
      <c r="B72" s="859">
        <v>114230</v>
      </c>
      <c r="C72" s="209">
        <v>0</v>
      </c>
      <c r="D72" s="209">
        <v>5000</v>
      </c>
      <c r="E72" s="209">
        <v>5000</v>
      </c>
    </row>
    <row r="73" spans="1:5" ht="13.5" thickBot="1">
      <c r="A73" s="864" t="s">
        <v>2489</v>
      </c>
      <c r="B73" s="864"/>
      <c r="C73" s="865">
        <f>SUM(C71:C72)</f>
        <v>21705</v>
      </c>
      <c r="D73" s="865">
        <f>SUM(D71:D72)</f>
        <v>31774</v>
      </c>
      <c r="E73" s="865">
        <f>SUM(E71:E72)</f>
        <v>31769</v>
      </c>
    </row>
    <row r="74" spans="1:5" ht="14.25" thickBot="1" thickTop="1">
      <c r="A74" s="866" t="s">
        <v>2193</v>
      </c>
      <c r="B74" s="867"/>
      <c r="C74" s="868">
        <f>SUM(C25,C28,C31,C34,C38,C42,C46,C49,C52,C55,C59,C63,C67,C70,C73)</f>
        <v>621703</v>
      </c>
      <c r="D74" s="868">
        <f>SUM(D25,D28,D31,D34,D38,D42,D46,D49,D52,D55,D59,D63,D67,D70,D73)</f>
        <v>654557</v>
      </c>
      <c r="E74" s="868">
        <f>SUM(E25,E28,E31,E34,E38,E42,E46,E49,E52,E55,E59,E63,E67,E70,E73)</f>
        <v>759037</v>
      </c>
    </row>
    <row r="75" spans="1:5" ht="13.5" thickTop="1">
      <c r="A75" s="864" t="s">
        <v>2490</v>
      </c>
      <c r="B75" s="859">
        <v>214110</v>
      </c>
      <c r="C75" s="865">
        <v>44071</v>
      </c>
      <c r="D75" s="865">
        <v>105773</v>
      </c>
      <c r="E75" s="865">
        <v>88094</v>
      </c>
    </row>
    <row r="76" spans="1:5" ht="12.75">
      <c r="A76" s="864" t="s">
        <v>2491</v>
      </c>
      <c r="B76" s="859">
        <v>214110</v>
      </c>
      <c r="C76" s="865">
        <v>16614</v>
      </c>
      <c r="D76" s="865">
        <v>74069</v>
      </c>
      <c r="E76" s="865">
        <v>30717</v>
      </c>
    </row>
    <row r="77" spans="1:5" ht="12.75">
      <c r="A77" s="864" t="s">
        <v>2492</v>
      </c>
      <c r="B77" s="859">
        <v>214110</v>
      </c>
      <c r="C77" s="865">
        <v>79994</v>
      </c>
      <c r="D77" s="865">
        <v>341833</v>
      </c>
      <c r="E77" s="865">
        <v>319153</v>
      </c>
    </row>
    <row r="78" spans="1:5" ht="12.75">
      <c r="A78" s="864" t="s">
        <v>2493</v>
      </c>
      <c r="B78" s="859">
        <v>214110</v>
      </c>
      <c r="C78" s="865">
        <v>51309</v>
      </c>
      <c r="D78" s="865">
        <v>154484</v>
      </c>
      <c r="E78" s="865">
        <v>139159</v>
      </c>
    </row>
    <row r="79" spans="1:5" ht="12.75">
      <c r="A79" s="864" t="s">
        <v>2494</v>
      </c>
      <c r="B79" s="859">
        <v>214110</v>
      </c>
      <c r="C79" s="865">
        <v>62383</v>
      </c>
      <c r="D79" s="865">
        <v>115763</v>
      </c>
      <c r="E79" s="865">
        <v>104364</v>
      </c>
    </row>
    <row r="80" spans="1:5" ht="12.75">
      <c r="A80" s="864" t="s">
        <v>2495</v>
      </c>
      <c r="B80" s="859">
        <v>214110</v>
      </c>
      <c r="C80" s="865">
        <v>61081</v>
      </c>
      <c r="D80" s="865">
        <v>122038</v>
      </c>
      <c r="E80" s="865">
        <v>86806</v>
      </c>
    </row>
    <row r="81" spans="1:5" ht="12.75">
      <c r="A81" s="864" t="s">
        <v>2496</v>
      </c>
      <c r="B81" s="859">
        <v>214110</v>
      </c>
      <c r="C81" s="865">
        <v>35251</v>
      </c>
      <c r="D81" s="865">
        <v>85981</v>
      </c>
      <c r="E81" s="865">
        <v>58022</v>
      </c>
    </row>
    <row r="82" spans="1:5" ht="13.5" thickBot="1">
      <c r="A82" s="864" t="s">
        <v>2497</v>
      </c>
      <c r="B82" s="859">
        <v>214110</v>
      </c>
      <c r="C82" s="865">
        <v>41874</v>
      </c>
      <c r="D82" s="865">
        <v>127239</v>
      </c>
      <c r="E82" s="865">
        <v>100020</v>
      </c>
    </row>
    <row r="83" spans="1:5" ht="14.25" thickBot="1" thickTop="1">
      <c r="A83" s="866" t="s">
        <v>2208</v>
      </c>
      <c r="B83" s="867"/>
      <c r="C83" s="868">
        <f>SUM(C75:C82)</f>
        <v>392577</v>
      </c>
      <c r="D83" s="868">
        <f>SUM(D75:D82)</f>
        <v>1127180</v>
      </c>
      <c r="E83" s="868">
        <f>SUM(E75:E82)</f>
        <v>926335</v>
      </c>
    </row>
    <row r="84" spans="1:5" ht="13.5" thickTop="1">
      <c r="A84" s="859" t="s">
        <v>2498</v>
      </c>
      <c r="B84" s="859">
        <v>114070</v>
      </c>
      <c r="C84" s="209">
        <v>0</v>
      </c>
      <c r="D84" s="209">
        <v>0</v>
      </c>
      <c r="E84" s="209">
        <v>2135</v>
      </c>
    </row>
    <row r="85" spans="1:5" ht="12.75">
      <c r="A85" s="859" t="s">
        <v>2498</v>
      </c>
      <c r="B85" s="859">
        <v>214030</v>
      </c>
      <c r="C85" s="209">
        <v>0</v>
      </c>
      <c r="D85" s="209">
        <v>400</v>
      </c>
      <c r="E85" s="209">
        <v>398</v>
      </c>
    </row>
    <row r="86" spans="1:5" ht="12.75">
      <c r="A86" s="864" t="s">
        <v>2498</v>
      </c>
      <c r="B86" s="864"/>
      <c r="C86" s="865">
        <f>SUM(C84:C85)</f>
        <v>0</v>
      </c>
      <c r="D86" s="865">
        <f>SUM(D84:D85)</f>
        <v>400</v>
      </c>
      <c r="E86" s="865">
        <f>SUM(E84:E85)</f>
        <v>2533</v>
      </c>
    </row>
    <row r="87" spans="1:5" ht="12.75">
      <c r="A87" s="864" t="s">
        <v>2499</v>
      </c>
      <c r="B87" s="859">
        <v>214030</v>
      </c>
      <c r="C87" s="865">
        <v>151846</v>
      </c>
      <c r="D87" s="865">
        <v>134313</v>
      </c>
      <c r="E87" s="865">
        <v>134406</v>
      </c>
    </row>
    <row r="88" spans="1:5" ht="12.75">
      <c r="A88" s="864" t="s">
        <v>2500</v>
      </c>
      <c r="B88" s="859">
        <v>214030</v>
      </c>
      <c r="C88" s="865">
        <v>1100</v>
      </c>
      <c r="D88" s="865">
        <v>15936</v>
      </c>
      <c r="E88" s="865">
        <v>15952</v>
      </c>
    </row>
    <row r="89" spans="1:5" ht="12.75">
      <c r="A89" s="864" t="s">
        <v>2501</v>
      </c>
      <c r="B89" s="859">
        <v>214030</v>
      </c>
      <c r="C89" s="865">
        <v>900</v>
      </c>
      <c r="D89" s="865">
        <v>2900</v>
      </c>
      <c r="E89" s="865">
        <v>2884</v>
      </c>
    </row>
    <row r="90" spans="1:5" ht="12.75">
      <c r="A90" s="864" t="s">
        <v>2502</v>
      </c>
      <c r="B90" s="859">
        <v>214030</v>
      </c>
      <c r="C90" s="865">
        <v>300</v>
      </c>
      <c r="D90" s="865">
        <v>2671</v>
      </c>
      <c r="E90" s="865">
        <v>2668</v>
      </c>
    </row>
    <row r="91" spans="1:5" ht="12.75">
      <c r="A91" s="864" t="s">
        <v>2503</v>
      </c>
      <c r="B91" s="859">
        <v>214030</v>
      </c>
      <c r="C91" s="865">
        <v>730</v>
      </c>
      <c r="D91" s="865">
        <v>29564</v>
      </c>
      <c r="E91" s="865">
        <v>29553</v>
      </c>
    </row>
    <row r="92" spans="1:5" ht="12.75">
      <c r="A92" s="864" t="s">
        <v>2504</v>
      </c>
      <c r="B92" s="859">
        <v>214030</v>
      </c>
      <c r="C92" s="865">
        <v>1050</v>
      </c>
      <c r="D92" s="865">
        <v>700</v>
      </c>
      <c r="E92" s="865">
        <v>1549</v>
      </c>
    </row>
    <row r="93" spans="1:5" ht="13.5" thickBot="1">
      <c r="A93" s="864" t="s">
        <v>2505</v>
      </c>
      <c r="B93" s="859">
        <v>214030</v>
      </c>
      <c r="C93" s="865">
        <v>5020</v>
      </c>
      <c r="D93" s="865">
        <v>5804</v>
      </c>
      <c r="E93" s="865">
        <v>5801</v>
      </c>
    </row>
    <row r="94" spans="1:5" ht="14.25" thickBot="1" thickTop="1">
      <c r="A94" s="866" t="s">
        <v>2506</v>
      </c>
      <c r="B94" s="867"/>
      <c r="C94" s="868">
        <f>SUM(C86:C93)</f>
        <v>160946</v>
      </c>
      <c r="D94" s="868">
        <f>SUM(D86:D93)</f>
        <v>192288</v>
      </c>
      <c r="E94" s="868">
        <f>SUM(E86:E93)</f>
        <v>195346</v>
      </c>
    </row>
    <row r="95" spans="1:5" ht="13.5" thickTop="1">
      <c r="A95" s="864" t="s">
        <v>2507</v>
      </c>
      <c r="B95" s="859">
        <v>214020</v>
      </c>
      <c r="C95" s="865">
        <v>17835</v>
      </c>
      <c r="D95" s="865">
        <v>21430</v>
      </c>
      <c r="E95" s="865">
        <v>6900</v>
      </c>
    </row>
    <row r="96" spans="1:5" s="154" customFormat="1" ht="12.75">
      <c r="A96" s="864" t="s">
        <v>2508</v>
      </c>
      <c r="B96" s="859">
        <v>214020</v>
      </c>
      <c r="C96" s="865">
        <v>60075</v>
      </c>
      <c r="D96" s="865">
        <v>62225</v>
      </c>
      <c r="E96" s="865">
        <v>19096</v>
      </c>
    </row>
    <row r="97" spans="1:5" ht="12.75">
      <c r="A97" s="864" t="s">
        <v>2509</v>
      </c>
      <c r="B97" s="859">
        <v>214020</v>
      </c>
      <c r="C97" s="865">
        <v>9180</v>
      </c>
      <c r="D97" s="865">
        <v>2296</v>
      </c>
      <c r="E97" s="865">
        <v>2294</v>
      </c>
    </row>
    <row r="98" spans="1:5" ht="12.75">
      <c r="A98" s="864" t="s">
        <v>2510</v>
      </c>
      <c r="B98" s="859">
        <v>214020</v>
      </c>
      <c r="C98" s="865">
        <v>9662</v>
      </c>
      <c r="D98" s="865">
        <v>2345</v>
      </c>
      <c r="E98" s="865">
        <v>2342</v>
      </c>
    </row>
    <row r="99" spans="1:5" ht="12.75" customHeight="1">
      <c r="A99" s="864" t="s">
        <v>2511</v>
      </c>
      <c r="B99" s="859">
        <v>214020</v>
      </c>
      <c r="C99" s="865">
        <v>3949</v>
      </c>
      <c r="D99" s="865">
        <v>3549</v>
      </c>
      <c r="E99" s="865">
        <v>3539</v>
      </c>
    </row>
    <row r="100" spans="1:5" ht="13.5" thickBot="1">
      <c r="A100" s="864" t="s">
        <v>2512</v>
      </c>
      <c r="B100" s="859">
        <v>214020</v>
      </c>
      <c r="C100" s="865">
        <v>1396</v>
      </c>
      <c r="D100" s="865">
        <v>1152</v>
      </c>
      <c r="E100" s="865">
        <v>1146</v>
      </c>
    </row>
    <row r="101" spans="1:5" ht="14.25" thickBot="1" thickTop="1">
      <c r="A101" s="866" t="s">
        <v>2513</v>
      </c>
      <c r="B101" s="867"/>
      <c r="C101" s="868">
        <f>SUM(C95:C100)</f>
        <v>102097</v>
      </c>
      <c r="D101" s="868">
        <f>SUM(D95:D100)</f>
        <v>92997</v>
      </c>
      <c r="E101" s="868">
        <f>SUM(E95:E100)</f>
        <v>35317</v>
      </c>
    </row>
    <row r="102" spans="1:5" ht="14.25" thickBot="1" thickTop="1">
      <c r="A102" s="864" t="s">
        <v>2514</v>
      </c>
      <c r="B102" s="864">
        <v>214020</v>
      </c>
      <c r="C102" s="865">
        <v>4500</v>
      </c>
      <c r="D102" s="865">
        <v>2907</v>
      </c>
      <c r="E102" s="865">
        <v>2873</v>
      </c>
    </row>
    <row r="103" spans="1:5" ht="14.25" thickBot="1" thickTop="1">
      <c r="A103" s="866" t="s">
        <v>2419</v>
      </c>
      <c r="B103" s="867"/>
      <c r="C103" s="868">
        <f>SUM(C101:C102)</f>
        <v>106597</v>
      </c>
      <c r="D103" s="868">
        <f>SUM(D101:D102)</f>
        <v>95904</v>
      </c>
      <c r="E103" s="868">
        <f>SUM(E101:E102)</f>
        <v>38190</v>
      </c>
    </row>
    <row r="104" spans="1:5" ht="14.25" thickBot="1" thickTop="1">
      <c r="A104" s="864" t="s">
        <v>5</v>
      </c>
      <c r="B104" s="864">
        <v>114210</v>
      </c>
      <c r="C104" s="865">
        <v>430</v>
      </c>
      <c r="D104" s="865">
        <v>430</v>
      </c>
      <c r="E104" s="865">
        <v>429</v>
      </c>
    </row>
    <row r="105" spans="1:5" ht="14.25" thickBot="1" thickTop="1">
      <c r="A105" s="866" t="s">
        <v>2515</v>
      </c>
      <c r="B105" s="867"/>
      <c r="C105" s="868">
        <f>SUM(C103:C104)</f>
        <v>107027</v>
      </c>
      <c r="D105" s="868">
        <f>SUM(D103:D104)</f>
        <v>96334</v>
      </c>
      <c r="E105" s="868">
        <f>SUM(E103:E104)</f>
        <v>38619</v>
      </c>
    </row>
    <row r="106" spans="1:5" ht="13.5" thickTop="1">
      <c r="A106" s="864" t="s">
        <v>2516</v>
      </c>
      <c r="B106" s="864">
        <v>214020</v>
      </c>
      <c r="C106" s="865">
        <v>8264</v>
      </c>
      <c r="D106" s="865">
        <v>6713</v>
      </c>
      <c r="E106" s="865">
        <v>6711</v>
      </c>
    </row>
    <row r="107" spans="1:5" ht="12.75">
      <c r="A107" s="864" t="s">
        <v>2517</v>
      </c>
      <c r="B107" s="864">
        <v>214020</v>
      </c>
      <c r="C107" s="865">
        <v>1800</v>
      </c>
      <c r="D107" s="865">
        <v>4094</v>
      </c>
      <c r="E107" s="865">
        <v>4141</v>
      </c>
    </row>
    <row r="108" spans="1:5" ht="12.75">
      <c r="A108" s="864" t="s">
        <v>2518</v>
      </c>
      <c r="B108" s="864">
        <v>114040</v>
      </c>
      <c r="C108" s="865">
        <v>14630</v>
      </c>
      <c r="D108" s="865">
        <v>15230</v>
      </c>
      <c r="E108" s="865">
        <v>14470</v>
      </c>
    </row>
    <row r="109" spans="1:5" ht="13.5" thickBot="1">
      <c r="A109" s="871" t="s">
        <v>2519</v>
      </c>
      <c r="B109" s="872">
        <v>114040</v>
      </c>
      <c r="C109" s="873">
        <v>0</v>
      </c>
      <c r="D109" s="873">
        <v>2200</v>
      </c>
      <c r="E109" s="873">
        <v>2192</v>
      </c>
    </row>
    <row r="110" spans="1:5" ht="14.25" thickBot="1" thickTop="1">
      <c r="A110" s="866" t="s">
        <v>2520</v>
      </c>
      <c r="B110" s="867"/>
      <c r="C110" s="868">
        <f>SUM(C106:C109)</f>
        <v>24694</v>
      </c>
      <c r="D110" s="868">
        <f>SUM(D106:D109)</f>
        <v>28237</v>
      </c>
      <c r="E110" s="868">
        <f>SUM(E106:E109)</f>
        <v>27514</v>
      </c>
    </row>
    <row r="111" spans="1:5" ht="13.5" thickTop="1">
      <c r="A111" s="874" t="s">
        <v>2521</v>
      </c>
      <c r="B111" s="859">
        <v>114040</v>
      </c>
      <c r="C111" s="865">
        <v>4000</v>
      </c>
      <c r="D111" s="865">
        <v>9500</v>
      </c>
      <c r="E111" s="865">
        <v>9500</v>
      </c>
    </row>
    <row r="112" spans="1:5" ht="12.75">
      <c r="A112" s="859" t="s">
        <v>2344</v>
      </c>
      <c r="B112" s="859">
        <v>114040</v>
      </c>
      <c r="C112" s="209">
        <v>11606</v>
      </c>
      <c r="D112" s="209">
        <v>47189</v>
      </c>
      <c r="E112" s="209">
        <v>47176</v>
      </c>
    </row>
    <row r="113" spans="1:5" ht="12.75">
      <c r="A113" s="859" t="s">
        <v>2344</v>
      </c>
      <c r="B113" s="859">
        <v>214010</v>
      </c>
      <c r="C113" s="209">
        <v>12528</v>
      </c>
      <c r="D113" s="209">
        <v>12528</v>
      </c>
      <c r="E113" s="209">
        <v>12528</v>
      </c>
    </row>
    <row r="114" spans="1:5" ht="13.5" thickBot="1">
      <c r="A114" s="864" t="s">
        <v>2522</v>
      </c>
      <c r="B114" s="864"/>
      <c r="C114" s="865">
        <f>SUM(C112:C113)</f>
        <v>24134</v>
      </c>
      <c r="D114" s="865">
        <f>SUM(D112:D113)</f>
        <v>59717</v>
      </c>
      <c r="E114" s="865">
        <f>SUM(E112:E113)</f>
        <v>59704</v>
      </c>
    </row>
    <row r="115" spans="1:5" ht="14.25" thickBot="1" thickTop="1">
      <c r="A115" s="866" t="s">
        <v>2523</v>
      </c>
      <c r="B115" s="867"/>
      <c r="C115" s="868">
        <f>SUM(C111,C114)</f>
        <v>28134</v>
      </c>
      <c r="D115" s="868">
        <f>SUM(D111,D114)</f>
        <v>69217</v>
      </c>
      <c r="E115" s="868">
        <f>SUM(E111,E114)</f>
        <v>69204</v>
      </c>
    </row>
    <row r="116" spans="1:5" ht="14.25" thickBot="1" thickTop="1">
      <c r="A116" s="866" t="s">
        <v>2524</v>
      </c>
      <c r="B116" s="867"/>
      <c r="C116" s="868">
        <f>SUM(C21,C74,C83,C94,C105,C110,C115)</f>
        <v>5916057</v>
      </c>
      <c r="D116" s="868">
        <f>SUM(D21,D74,D83,D94,D105,D110,D115)</f>
        <v>5459175</v>
      </c>
      <c r="E116" s="868">
        <f>SUM(E21,E74,E83,E94,E105,E110,E115)</f>
        <v>3743533</v>
      </c>
    </row>
    <row r="117" spans="1:5" ht="13.5" thickTop="1">
      <c r="A117" s="864" t="s">
        <v>2525</v>
      </c>
      <c r="B117" s="864"/>
      <c r="C117" s="865">
        <v>0</v>
      </c>
      <c r="D117" s="865">
        <v>26000</v>
      </c>
      <c r="E117" s="865">
        <v>25993</v>
      </c>
    </row>
    <row r="118" spans="1:5" ht="13.5" thickBot="1">
      <c r="A118" s="864" t="s">
        <v>2526</v>
      </c>
      <c r="B118" s="872"/>
      <c r="C118" s="873">
        <v>0</v>
      </c>
      <c r="D118" s="873">
        <v>35757</v>
      </c>
      <c r="E118" s="873">
        <v>35756</v>
      </c>
    </row>
    <row r="119" spans="1:5" ht="14.25" thickBot="1" thickTop="1">
      <c r="A119" s="866" t="s">
        <v>2527</v>
      </c>
      <c r="B119" s="867"/>
      <c r="C119" s="868">
        <f>SUM(C116:C118)</f>
        <v>5916057</v>
      </c>
      <c r="D119" s="868">
        <f>SUM(D116:D118)</f>
        <v>5520932</v>
      </c>
      <c r="E119" s="868">
        <f>SUM(E116:E118)</f>
        <v>3805282</v>
      </c>
    </row>
    <row r="120" ht="13.5" thickTop="1"/>
    <row r="121" spans="1:6" ht="12.75">
      <c r="A121" s="1042" t="s">
        <v>2528</v>
      </c>
      <c r="B121" s="1042"/>
      <c r="C121" s="1042"/>
      <c r="D121" s="1041" t="s">
        <v>2462</v>
      </c>
      <c r="E121" s="1041"/>
      <c r="F121" s="879"/>
    </row>
  </sheetData>
  <mergeCells count="3">
    <mergeCell ref="A2:E2"/>
    <mergeCell ref="D121:E121"/>
    <mergeCell ref="A121:C121"/>
  </mergeCells>
  <printOptions horizontalCentered="1"/>
  <pageMargins left="0.984251968503937" right="0.7874015748031497" top="0.984251968503937" bottom="0.7874015748031497" header="0.7086614173228347" footer="0.31496062992125984"/>
  <pageSetup fitToHeight="2" horizontalDpi="600" verticalDpi="600" orientation="portrait" paperSize="9" scale="82" r:id="rId1"/>
  <headerFooter alignWithMargins="0">
    <oddHeader>&amp;L&amp;11  &amp;"Arial CE,Tučné" Kapitola: 314 - Ministerstvo vnitra&amp;C&amp;"Arial CE,Tučné"&amp;12
&amp;R&amp;"Arial CE,Tučné"&amp;12  &amp;11 Tabulka č. 14/1&amp;"Arial CE,Obyčejné"
List:&amp;P/&amp;N</oddHeader>
    <oddFooter xml:space="preserve">&amp;C&amp;12
&amp;10&amp;P+115
&amp;11
&amp;R&amp;12          </oddFooter>
  </headerFooter>
  <rowBreaks count="1" manualBreakCount="1">
    <brk id="6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18"/>
  <sheetViews>
    <sheetView tabSelected="1" workbookViewId="0" topLeftCell="E13">
      <selection activeCell="F39" sqref="F39"/>
    </sheetView>
  </sheetViews>
  <sheetFormatPr defaultColWidth="9.00390625" defaultRowHeight="12.75"/>
  <cols>
    <col min="1" max="1" width="7.125" style="0" hidden="1" customWidth="1"/>
    <col min="2" max="2" width="4.875" style="0" hidden="1" customWidth="1"/>
    <col min="3" max="3" width="8.625" style="0" hidden="1" customWidth="1"/>
    <col min="4" max="4" width="11.25390625" style="0" hidden="1" customWidth="1"/>
    <col min="5" max="5" width="15.00390625" style="0" customWidth="1"/>
    <col min="6" max="6" width="96.75390625" style="0" customWidth="1"/>
    <col min="7" max="7" width="31.125" style="0" customWidth="1"/>
    <col min="8" max="8" width="4.75390625" style="0" customWidth="1"/>
    <col min="9" max="9" width="13.00390625" style="0" customWidth="1"/>
    <col min="10" max="10" width="10.00390625" style="0" customWidth="1"/>
    <col min="11" max="11" width="10.125" style="0" customWidth="1"/>
    <col min="12" max="12" width="16.00390625" style="0" customWidth="1"/>
  </cols>
  <sheetData>
    <row r="1" spans="5:12" ht="15">
      <c r="E1" s="1048" t="s">
        <v>2529</v>
      </c>
      <c r="F1" s="1048"/>
      <c r="G1" s="1048"/>
      <c r="H1" s="1048"/>
      <c r="I1" s="1048"/>
      <c r="J1" s="1048"/>
      <c r="K1" s="1048"/>
      <c r="L1" s="1048"/>
    </row>
    <row r="2" spans="5:12" ht="12.75">
      <c r="E2" s="173"/>
      <c r="F2" s="173"/>
      <c r="G2" s="173"/>
      <c r="H2" s="173"/>
      <c r="I2" s="173"/>
      <c r="J2" s="173"/>
      <c r="K2" s="173"/>
      <c r="L2" s="875" t="s">
        <v>910</v>
      </c>
    </row>
    <row r="3" spans="5:12" s="971" customFormat="1" ht="38.25">
      <c r="E3" s="972" t="s">
        <v>2530</v>
      </c>
      <c r="F3" s="972" t="s">
        <v>2531</v>
      </c>
      <c r="G3" s="972" t="s">
        <v>2532</v>
      </c>
      <c r="H3" s="973" t="s">
        <v>2533</v>
      </c>
      <c r="I3" s="972" t="s">
        <v>2534</v>
      </c>
      <c r="J3" s="972" t="s">
        <v>2119</v>
      </c>
      <c r="K3" s="972" t="s">
        <v>2120</v>
      </c>
      <c r="L3" s="972" t="s">
        <v>2535</v>
      </c>
    </row>
    <row r="4" spans="5:12" ht="3.75" customHeight="1">
      <c r="E4" s="880"/>
      <c r="F4" s="880"/>
      <c r="G4" s="880"/>
      <c r="H4" s="881"/>
      <c r="I4" s="880"/>
      <c r="J4" s="880"/>
      <c r="K4" s="880"/>
      <c r="L4" s="880"/>
    </row>
    <row r="5" spans="1:13" ht="12.75">
      <c r="A5" s="882"/>
      <c r="B5" s="882"/>
      <c r="C5" s="882"/>
      <c r="D5" s="882"/>
      <c r="E5" s="883" t="s">
        <v>2536</v>
      </c>
      <c r="F5" s="883" t="s">
        <v>2537</v>
      </c>
      <c r="G5" s="883" t="s">
        <v>2170</v>
      </c>
      <c r="H5" s="883" t="s">
        <v>2063</v>
      </c>
      <c r="I5" s="883" t="s">
        <v>2538</v>
      </c>
      <c r="J5" s="884">
        <v>0.93</v>
      </c>
      <c r="K5" s="885">
        <v>1.484</v>
      </c>
      <c r="L5" s="886">
        <v>1.483205</v>
      </c>
      <c r="M5" s="882"/>
    </row>
    <row r="6" spans="1:13" ht="12.75">
      <c r="A6" s="882"/>
      <c r="B6" s="882"/>
      <c r="C6" s="882"/>
      <c r="D6" s="882"/>
      <c r="E6" s="883" t="s">
        <v>2539</v>
      </c>
      <c r="F6" s="883" t="s">
        <v>2540</v>
      </c>
      <c r="G6" s="883" t="s">
        <v>2170</v>
      </c>
      <c r="H6" s="883" t="s">
        <v>2063</v>
      </c>
      <c r="I6" s="883" t="s">
        <v>2538</v>
      </c>
      <c r="J6" s="884">
        <v>3.55</v>
      </c>
      <c r="K6" s="885">
        <v>2.103</v>
      </c>
      <c r="L6" s="886">
        <v>2.102611</v>
      </c>
      <c r="M6" s="882"/>
    </row>
    <row r="7" spans="1:13" ht="12.75">
      <c r="A7" s="882"/>
      <c r="B7" s="882"/>
      <c r="C7" s="882"/>
      <c r="D7" s="882"/>
      <c r="E7" s="883" t="s">
        <v>2541</v>
      </c>
      <c r="F7" s="883" t="s">
        <v>2542</v>
      </c>
      <c r="G7" s="883" t="s">
        <v>2170</v>
      </c>
      <c r="H7" s="883" t="s">
        <v>2543</v>
      </c>
      <c r="I7" s="883" t="s">
        <v>2538</v>
      </c>
      <c r="J7" s="884">
        <v>0.3</v>
      </c>
      <c r="K7" s="885">
        <v>0</v>
      </c>
      <c r="L7" s="886">
        <v>0</v>
      </c>
      <c r="M7" s="882"/>
    </row>
    <row r="8" spans="1:13" ht="12.75">
      <c r="A8" s="882"/>
      <c r="B8" s="882"/>
      <c r="C8" s="882"/>
      <c r="D8" s="882"/>
      <c r="E8" s="883" t="s">
        <v>2544</v>
      </c>
      <c r="F8" s="883" t="s">
        <v>2545</v>
      </c>
      <c r="G8" s="883" t="s">
        <v>2170</v>
      </c>
      <c r="H8" s="883" t="s">
        <v>2063</v>
      </c>
      <c r="I8" s="883" t="s">
        <v>2538</v>
      </c>
      <c r="J8" s="884">
        <v>0.75</v>
      </c>
      <c r="K8" s="885">
        <v>0.5</v>
      </c>
      <c r="L8" s="886">
        <v>0.496413</v>
      </c>
      <c r="M8" s="882"/>
    </row>
    <row r="9" spans="1:13" ht="12.75">
      <c r="A9" s="882"/>
      <c r="B9" s="882"/>
      <c r="C9" s="882"/>
      <c r="D9" s="882"/>
      <c r="E9" s="883" t="s">
        <v>2546</v>
      </c>
      <c r="F9" s="883" t="s">
        <v>2547</v>
      </c>
      <c r="G9" s="883" t="s">
        <v>2170</v>
      </c>
      <c r="H9" s="883" t="s">
        <v>2063</v>
      </c>
      <c r="I9" s="883" t="s">
        <v>2538</v>
      </c>
      <c r="J9" s="884">
        <v>0.3</v>
      </c>
      <c r="K9" s="885">
        <v>0.299</v>
      </c>
      <c r="L9" s="886">
        <v>0.298464</v>
      </c>
      <c r="M9" s="882"/>
    </row>
    <row r="10" spans="1:13" ht="12.75">
      <c r="A10" s="882"/>
      <c r="B10" s="882"/>
      <c r="C10" s="882"/>
      <c r="D10" s="882"/>
      <c r="E10" s="883" t="s">
        <v>2548</v>
      </c>
      <c r="F10" s="883" t="s">
        <v>2549</v>
      </c>
      <c r="G10" s="883" t="s">
        <v>2170</v>
      </c>
      <c r="H10" s="883" t="s">
        <v>2543</v>
      </c>
      <c r="I10" s="883" t="s">
        <v>2538</v>
      </c>
      <c r="J10" s="884">
        <v>0.4</v>
      </c>
      <c r="K10" s="885">
        <v>0</v>
      </c>
      <c r="L10" s="886">
        <v>0</v>
      </c>
      <c r="M10" s="882"/>
    </row>
    <row r="11" spans="1:13" ht="12.75">
      <c r="A11" s="882"/>
      <c r="B11" s="882"/>
      <c r="C11" s="882"/>
      <c r="D11" s="882"/>
      <c r="E11" s="883" t="s">
        <v>2550</v>
      </c>
      <c r="F11" s="883" t="s">
        <v>2551</v>
      </c>
      <c r="G11" s="883" t="s">
        <v>2170</v>
      </c>
      <c r="H11" s="883" t="s">
        <v>2063</v>
      </c>
      <c r="I11" s="883" t="s">
        <v>2538</v>
      </c>
      <c r="J11" s="884">
        <v>0.2</v>
      </c>
      <c r="K11" s="885">
        <v>0.134</v>
      </c>
      <c r="L11" s="886">
        <v>0.133173</v>
      </c>
      <c r="M11" s="882"/>
    </row>
    <row r="12" spans="1:13" ht="12.75">
      <c r="A12" s="882"/>
      <c r="B12" s="882"/>
      <c r="C12" s="882"/>
      <c r="D12" s="882"/>
      <c r="E12" s="883" t="s">
        <v>2552</v>
      </c>
      <c r="F12" s="883" t="s">
        <v>2553</v>
      </c>
      <c r="G12" s="883" t="s">
        <v>2170</v>
      </c>
      <c r="H12" s="883" t="s">
        <v>2063</v>
      </c>
      <c r="I12" s="883" t="s">
        <v>2538</v>
      </c>
      <c r="J12" s="884">
        <v>0.5</v>
      </c>
      <c r="K12" s="885">
        <v>0.681</v>
      </c>
      <c r="L12" s="886">
        <v>0.680321</v>
      </c>
      <c r="M12" s="882"/>
    </row>
    <row r="13" spans="1:13" ht="12.75">
      <c r="A13" s="882"/>
      <c r="B13" s="882"/>
      <c r="C13" s="882"/>
      <c r="D13" s="882"/>
      <c r="E13" s="883" t="s">
        <v>2554</v>
      </c>
      <c r="F13" s="883" t="s">
        <v>2555</v>
      </c>
      <c r="G13" s="883" t="s">
        <v>2170</v>
      </c>
      <c r="H13" s="883" t="s">
        <v>2543</v>
      </c>
      <c r="I13" s="883" t="s">
        <v>2538</v>
      </c>
      <c r="J13" s="884">
        <v>0.9</v>
      </c>
      <c r="K13" s="885">
        <v>0</v>
      </c>
      <c r="L13" s="886">
        <v>0</v>
      </c>
      <c r="M13" s="882"/>
    </row>
    <row r="14" spans="1:13" ht="12.75">
      <c r="A14" s="882"/>
      <c r="B14" s="882"/>
      <c r="C14" s="882"/>
      <c r="D14" s="882"/>
      <c r="E14" s="883" t="s">
        <v>2556</v>
      </c>
      <c r="F14" s="883" t="s">
        <v>2557</v>
      </c>
      <c r="G14" s="883" t="s">
        <v>2170</v>
      </c>
      <c r="H14" s="883" t="s">
        <v>2543</v>
      </c>
      <c r="I14" s="883" t="s">
        <v>2538</v>
      </c>
      <c r="J14" s="884">
        <v>0.65</v>
      </c>
      <c r="K14" s="885">
        <v>0</v>
      </c>
      <c r="L14" s="886">
        <v>0</v>
      </c>
      <c r="M14" s="882"/>
    </row>
    <row r="15" spans="1:13" ht="12.75">
      <c r="A15" s="882"/>
      <c r="B15" s="882"/>
      <c r="C15" s="882"/>
      <c r="D15" s="882"/>
      <c r="E15" s="883" t="s">
        <v>2558</v>
      </c>
      <c r="F15" s="883" t="s">
        <v>2559</v>
      </c>
      <c r="G15" s="883" t="s">
        <v>2170</v>
      </c>
      <c r="H15" s="883" t="s">
        <v>2063</v>
      </c>
      <c r="I15" s="883" t="s">
        <v>2538</v>
      </c>
      <c r="J15" s="884">
        <v>3</v>
      </c>
      <c r="K15" s="885">
        <v>2.202</v>
      </c>
      <c r="L15" s="886">
        <v>2.201675</v>
      </c>
      <c r="M15" s="882"/>
    </row>
    <row r="16" spans="1:13" ht="12.75">
      <c r="A16" s="882"/>
      <c r="B16" s="882"/>
      <c r="C16" s="882"/>
      <c r="D16" s="882"/>
      <c r="E16" s="883" t="s">
        <v>2560</v>
      </c>
      <c r="F16" s="883" t="s">
        <v>2561</v>
      </c>
      <c r="G16" s="883" t="s">
        <v>2170</v>
      </c>
      <c r="H16" s="883" t="s">
        <v>2543</v>
      </c>
      <c r="I16" s="883" t="s">
        <v>2538</v>
      </c>
      <c r="J16" s="884">
        <v>0.4</v>
      </c>
      <c r="K16" s="885">
        <v>0</v>
      </c>
      <c r="L16" s="886">
        <v>0</v>
      </c>
      <c r="M16" s="882"/>
    </row>
    <row r="17" spans="1:13" ht="12.75">
      <c r="A17" s="882"/>
      <c r="B17" s="882"/>
      <c r="C17" s="882"/>
      <c r="D17" s="882"/>
      <c r="E17" s="883" t="s">
        <v>2562</v>
      </c>
      <c r="F17" s="883" t="s">
        <v>2563</v>
      </c>
      <c r="G17" s="883" t="s">
        <v>2170</v>
      </c>
      <c r="H17" s="883" t="s">
        <v>2543</v>
      </c>
      <c r="I17" s="883" t="s">
        <v>2564</v>
      </c>
      <c r="J17" s="884">
        <v>0.6</v>
      </c>
      <c r="K17" s="885">
        <v>0.6</v>
      </c>
      <c r="L17" s="886">
        <v>0</v>
      </c>
      <c r="M17" s="882"/>
    </row>
    <row r="18" spans="1:13" ht="12.75">
      <c r="A18" s="882"/>
      <c r="B18" s="882"/>
      <c r="C18" s="882"/>
      <c r="D18" s="882"/>
      <c r="E18" s="883" t="s">
        <v>2562</v>
      </c>
      <c r="F18" s="883" t="s">
        <v>2563</v>
      </c>
      <c r="G18" s="883" t="s">
        <v>2170</v>
      </c>
      <c r="H18" s="883" t="s">
        <v>2543</v>
      </c>
      <c r="I18" s="883" t="s">
        <v>2538</v>
      </c>
      <c r="J18" s="884">
        <v>0.2</v>
      </c>
      <c r="K18" s="885">
        <v>0</v>
      </c>
      <c r="L18" s="886">
        <v>0</v>
      </c>
      <c r="M18" s="882"/>
    </row>
    <row r="19" spans="1:13" ht="12.75">
      <c r="A19" s="882"/>
      <c r="B19" s="882"/>
      <c r="C19" s="882"/>
      <c r="D19" s="882"/>
      <c r="E19" s="883" t="s">
        <v>2565</v>
      </c>
      <c r="F19" s="883" t="s">
        <v>2566</v>
      </c>
      <c r="G19" s="883" t="s">
        <v>2170</v>
      </c>
      <c r="H19" s="883" t="s">
        <v>2543</v>
      </c>
      <c r="I19" s="883" t="s">
        <v>2538</v>
      </c>
      <c r="J19" s="884">
        <v>0.25</v>
      </c>
      <c r="K19" s="885">
        <v>0</v>
      </c>
      <c r="L19" s="886">
        <v>0</v>
      </c>
      <c r="M19" s="882"/>
    </row>
    <row r="20" spans="1:13" ht="12.75">
      <c r="A20" s="882"/>
      <c r="B20" s="882"/>
      <c r="C20" s="882"/>
      <c r="D20" s="882"/>
      <c r="E20" s="883" t="s">
        <v>2567</v>
      </c>
      <c r="F20" s="883" t="s">
        <v>2568</v>
      </c>
      <c r="G20" s="883" t="s">
        <v>2170</v>
      </c>
      <c r="H20" s="883" t="s">
        <v>2543</v>
      </c>
      <c r="I20" s="883" t="s">
        <v>2538</v>
      </c>
      <c r="J20" s="884">
        <v>0.8</v>
      </c>
      <c r="K20" s="885">
        <v>0</v>
      </c>
      <c r="L20" s="886">
        <v>0</v>
      </c>
      <c r="M20" s="882"/>
    </row>
    <row r="21" spans="1:13" ht="12.75">
      <c r="A21" s="882"/>
      <c r="B21" s="882"/>
      <c r="C21" s="882"/>
      <c r="D21" s="882"/>
      <c r="E21" s="883" t="s">
        <v>2569</v>
      </c>
      <c r="F21" s="883" t="s">
        <v>2570</v>
      </c>
      <c r="G21" s="883" t="s">
        <v>2170</v>
      </c>
      <c r="H21" s="883" t="s">
        <v>2063</v>
      </c>
      <c r="I21" s="883" t="s">
        <v>2538</v>
      </c>
      <c r="J21" s="884">
        <v>0.25</v>
      </c>
      <c r="K21" s="885">
        <v>0.162</v>
      </c>
      <c r="L21" s="886">
        <v>0.161751</v>
      </c>
      <c r="M21" s="882"/>
    </row>
    <row r="22" spans="1:13" ht="12.75">
      <c r="A22" s="882"/>
      <c r="B22" s="882"/>
      <c r="C22" s="882"/>
      <c r="D22" s="882"/>
      <c r="E22" s="883" t="s">
        <v>2571</v>
      </c>
      <c r="F22" s="883" t="s">
        <v>2572</v>
      </c>
      <c r="G22" s="883" t="s">
        <v>2170</v>
      </c>
      <c r="H22" s="883" t="s">
        <v>2543</v>
      </c>
      <c r="I22" s="883" t="s">
        <v>2538</v>
      </c>
      <c r="J22" s="884">
        <v>0.4</v>
      </c>
      <c r="K22" s="885">
        <v>0</v>
      </c>
      <c r="L22" s="886">
        <v>0</v>
      </c>
      <c r="M22" s="882"/>
    </row>
    <row r="23" spans="1:13" ht="12.75">
      <c r="A23" s="882"/>
      <c r="B23" s="882"/>
      <c r="C23" s="882"/>
      <c r="D23" s="882"/>
      <c r="E23" s="883" t="s">
        <v>2573</v>
      </c>
      <c r="F23" s="883" t="s">
        <v>2574</v>
      </c>
      <c r="G23" s="883" t="s">
        <v>2170</v>
      </c>
      <c r="H23" s="883" t="s">
        <v>2543</v>
      </c>
      <c r="I23" s="883" t="s">
        <v>2538</v>
      </c>
      <c r="J23" s="884">
        <v>0.25</v>
      </c>
      <c r="K23" s="885">
        <v>0</v>
      </c>
      <c r="L23" s="886">
        <v>0</v>
      </c>
      <c r="M23" s="882"/>
    </row>
    <row r="24" spans="1:13" ht="12.75">
      <c r="A24" s="882"/>
      <c r="B24" s="882"/>
      <c r="C24" s="882"/>
      <c r="D24" s="882"/>
      <c r="E24" s="883" t="s">
        <v>2575</v>
      </c>
      <c r="F24" s="883" t="s">
        <v>2576</v>
      </c>
      <c r="G24" s="883" t="s">
        <v>2170</v>
      </c>
      <c r="H24" s="883" t="s">
        <v>2063</v>
      </c>
      <c r="I24" s="883" t="s">
        <v>2538</v>
      </c>
      <c r="J24" s="885">
        <v>0</v>
      </c>
      <c r="K24" s="885">
        <v>2.106</v>
      </c>
      <c r="L24" s="886">
        <v>2.10562</v>
      </c>
      <c r="M24" s="882"/>
    </row>
    <row r="25" spans="1:13" ht="12.75">
      <c r="A25" s="882"/>
      <c r="B25" s="882"/>
      <c r="C25" s="882"/>
      <c r="D25" s="882"/>
      <c r="E25" s="883" t="s">
        <v>2577</v>
      </c>
      <c r="F25" s="883" t="s">
        <v>2578</v>
      </c>
      <c r="G25" s="883" t="s">
        <v>2170</v>
      </c>
      <c r="H25" s="883" t="s">
        <v>2063</v>
      </c>
      <c r="I25" s="883" t="s">
        <v>2538</v>
      </c>
      <c r="J25" s="885">
        <v>0</v>
      </c>
      <c r="K25" s="885">
        <v>2.326</v>
      </c>
      <c r="L25" s="886">
        <v>2.325722</v>
      </c>
      <c r="M25" s="882"/>
    </row>
    <row r="26" spans="1:13" ht="12.75">
      <c r="A26" s="882"/>
      <c r="B26" s="882"/>
      <c r="C26" s="882"/>
      <c r="D26" s="882"/>
      <c r="E26" s="883" t="s">
        <v>2579</v>
      </c>
      <c r="F26" s="883" t="s">
        <v>2580</v>
      </c>
      <c r="G26" s="883" t="s">
        <v>2170</v>
      </c>
      <c r="H26" s="883" t="s">
        <v>2063</v>
      </c>
      <c r="I26" s="883" t="s">
        <v>2538</v>
      </c>
      <c r="J26" s="885">
        <v>0</v>
      </c>
      <c r="K26" s="885">
        <v>0.253</v>
      </c>
      <c r="L26" s="886">
        <v>0.252392</v>
      </c>
      <c r="M26" s="882"/>
    </row>
    <row r="27" spans="1:13" ht="12.75">
      <c r="A27" s="882"/>
      <c r="B27" s="882"/>
      <c r="C27" s="882"/>
      <c r="D27" s="882"/>
      <c r="E27" s="883" t="s">
        <v>2581</v>
      </c>
      <c r="F27" s="883" t="s">
        <v>2582</v>
      </c>
      <c r="G27" s="883" t="s">
        <v>2170</v>
      </c>
      <c r="H27" s="883" t="s">
        <v>2063</v>
      </c>
      <c r="I27" s="883" t="s">
        <v>2538</v>
      </c>
      <c r="J27" s="885">
        <v>0</v>
      </c>
      <c r="K27" s="885">
        <v>0.25</v>
      </c>
      <c r="L27" s="886">
        <v>0.2491265</v>
      </c>
      <c r="M27" s="882"/>
    </row>
    <row r="28" spans="1:13" ht="12.75">
      <c r="A28" s="882"/>
      <c r="B28" s="882"/>
      <c r="C28" s="882"/>
      <c r="D28" s="882"/>
      <c r="E28" s="883" t="s">
        <v>2583</v>
      </c>
      <c r="F28" s="883" t="s">
        <v>2584</v>
      </c>
      <c r="G28" s="883" t="s">
        <v>2170</v>
      </c>
      <c r="H28" s="883" t="s">
        <v>2063</v>
      </c>
      <c r="I28" s="883" t="s">
        <v>2538</v>
      </c>
      <c r="J28" s="885">
        <v>0</v>
      </c>
      <c r="K28" s="885">
        <v>0.72</v>
      </c>
      <c r="L28" s="886">
        <v>0.713384</v>
      </c>
      <c r="M28" s="882"/>
    </row>
    <row r="29" spans="1:13" ht="12.75">
      <c r="A29" s="882"/>
      <c r="B29" s="882"/>
      <c r="C29" s="882"/>
      <c r="D29" s="882"/>
      <c r="E29" s="883" t="s">
        <v>2583</v>
      </c>
      <c r="F29" s="883" t="s">
        <v>2584</v>
      </c>
      <c r="G29" s="883" t="s">
        <v>2170</v>
      </c>
      <c r="H29" s="883" t="s">
        <v>2063</v>
      </c>
      <c r="I29" s="883" t="s">
        <v>2564</v>
      </c>
      <c r="J29" s="885">
        <v>0</v>
      </c>
      <c r="K29" s="885">
        <v>0.08</v>
      </c>
      <c r="L29" s="886">
        <v>0.01209</v>
      </c>
      <c r="M29" s="882"/>
    </row>
    <row r="30" spans="1:13" ht="12.75">
      <c r="A30" s="882"/>
      <c r="B30" s="882"/>
      <c r="C30" s="882"/>
      <c r="D30" s="882"/>
      <c r="E30" s="883" t="s">
        <v>2585</v>
      </c>
      <c r="F30" s="883" t="s">
        <v>2586</v>
      </c>
      <c r="G30" s="883" t="s">
        <v>2170</v>
      </c>
      <c r="H30" s="883" t="s">
        <v>2063</v>
      </c>
      <c r="I30" s="883" t="s">
        <v>2538</v>
      </c>
      <c r="J30" s="885">
        <v>0</v>
      </c>
      <c r="K30" s="885">
        <v>0.72</v>
      </c>
      <c r="L30" s="886">
        <v>0.713384</v>
      </c>
      <c r="M30" s="882"/>
    </row>
    <row r="31" spans="1:13" ht="12.75">
      <c r="A31" s="882"/>
      <c r="B31" s="882"/>
      <c r="C31" s="882"/>
      <c r="D31" s="882"/>
      <c r="E31" s="883" t="s">
        <v>2585</v>
      </c>
      <c r="F31" s="883" t="s">
        <v>2586</v>
      </c>
      <c r="G31" s="883" t="s">
        <v>2170</v>
      </c>
      <c r="H31" s="883" t="s">
        <v>2063</v>
      </c>
      <c r="I31" s="883" t="s">
        <v>2564</v>
      </c>
      <c r="J31" s="885">
        <v>0</v>
      </c>
      <c r="K31" s="885">
        <v>0.08</v>
      </c>
      <c r="L31" s="886">
        <v>0.01209</v>
      </c>
      <c r="M31" s="882"/>
    </row>
    <row r="32" spans="1:13" ht="12.75">
      <c r="A32" s="882"/>
      <c r="B32" s="882"/>
      <c r="C32" s="882"/>
      <c r="D32" s="882"/>
      <c r="E32" s="883" t="s">
        <v>2587</v>
      </c>
      <c r="F32" s="883" t="s">
        <v>2588</v>
      </c>
      <c r="G32" s="883" t="s">
        <v>2170</v>
      </c>
      <c r="H32" s="883" t="s">
        <v>2063</v>
      </c>
      <c r="I32" s="883" t="s">
        <v>2538</v>
      </c>
      <c r="J32" s="885">
        <v>0</v>
      </c>
      <c r="K32" s="885">
        <v>0.41</v>
      </c>
      <c r="L32" s="886">
        <v>0.409034</v>
      </c>
      <c r="M32" s="882"/>
    </row>
    <row r="33" spans="1:13" ht="12.75">
      <c r="A33" s="882"/>
      <c r="B33" s="882"/>
      <c r="C33" s="882"/>
      <c r="D33" s="882"/>
      <c r="E33" s="883" t="s">
        <v>2589</v>
      </c>
      <c r="F33" s="883" t="s">
        <v>2590</v>
      </c>
      <c r="G33" s="883" t="s">
        <v>2170</v>
      </c>
      <c r="H33" s="883" t="s">
        <v>2063</v>
      </c>
      <c r="I33" s="883" t="s">
        <v>2538</v>
      </c>
      <c r="J33" s="885">
        <v>0</v>
      </c>
      <c r="K33" s="885">
        <v>0.12</v>
      </c>
      <c r="L33" s="886">
        <v>0.119344</v>
      </c>
      <c r="M33" s="882"/>
    </row>
    <row r="34" spans="1:13" ht="12.75">
      <c r="A34" s="882"/>
      <c r="B34" s="882"/>
      <c r="C34" s="882"/>
      <c r="D34" s="882"/>
      <c r="E34" s="883" t="s">
        <v>2591</v>
      </c>
      <c r="F34" s="883" t="s">
        <v>2592</v>
      </c>
      <c r="G34" s="883" t="s">
        <v>2344</v>
      </c>
      <c r="H34" s="883" t="s">
        <v>2063</v>
      </c>
      <c r="I34" s="883" t="s">
        <v>2538</v>
      </c>
      <c r="J34" s="885">
        <v>0</v>
      </c>
      <c r="K34" s="885">
        <v>10</v>
      </c>
      <c r="L34" s="886">
        <v>10</v>
      </c>
      <c r="M34" s="882"/>
    </row>
    <row r="35" spans="1:13" ht="12.75">
      <c r="A35" s="882"/>
      <c r="B35" s="882"/>
      <c r="C35" s="882"/>
      <c r="D35" s="882"/>
      <c r="E35" s="883" t="s">
        <v>2593</v>
      </c>
      <c r="F35" s="1127" t="s">
        <v>0</v>
      </c>
      <c r="G35" s="883" t="s">
        <v>2344</v>
      </c>
      <c r="H35" s="883" t="s">
        <v>2063</v>
      </c>
      <c r="I35" s="883" t="s">
        <v>2538</v>
      </c>
      <c r="J35" s="885">
        <v>0</v>
      </c>
      <c r="K35" s="885">
        <v>1.752</v>
      </c>
      <c r="L35" s="886">
        <v>1.75136876</v>
      </c>
      <c r="M35" s="882"/>
    </row>
    <row r="36" spans="1:13" ht="12.75">
      <c r="A36" s="882"/>
      <c r="B36" s="882"/>
      <c r="C36" s="882"/>
      <c r="D36" s="882"/>
      <c r="E36" s="883" t="s">
        <v>2594</v>
      </c>
      <c r="F36" s="883" t="s">
        <v>2595</v>
      </c>
      <c r="G36" s="883" t="s">
        <v>2344</v>
      </c>
      <c r="H36" s="883" t="s">
        <v>2063</v>
      </c>
      <c r="I36" s="883" t="s">
        <v>2538</v>
      </c>
      <c r="J36" s="885">
        <v>0</v>
      </c>
      <c r="K36" s="885">
        <v>2.5</v>
      </c>
      <c r="L36" s="886">
        <v>2.500251</v>
      </c>
      <c r="M36" s="882"/>
    </row>
    <row r="37" spans="1:13" ht="12.75">
      <c r="A37" s="882"/>
      <c r="B37" s="882"/>
      <c r="C37" s="882"/>
      <c r="D37" s="882"/>
      <c r="E37" s="883" t="s">
        <v>2596</v>
      </c>
      <c r="F37" s="883" t="s">
        <v>2597</v>
      </c>
      <c r="G37" s="883" t="s">
        <v>2344</v>
      </c>
      <c r="H37" s="883" t="s">
        <v>2063</v>
      </c>
      <c r="I37" s="883" t="s">
        <v>2538</v>
      </c>
      <c r="J37" s="885">
        <v>0</v>
      </c>
      <c r="K37" s="885">
        <v>6</v>
      </c>
      <c r="L37" s="886">
        <v>6</v>
      </c>
      <c r="M37" s="882"/>
    </row>
    <row r="38" spans="1:13" ht="12.75">
      <c r="A38" s="882"/>
      <c r="B38" s="882"/>
      <c r="C38" s="882"/>
      <c r="D38" s="882"/>
      <c r="E38" s="883" t="s">
        <v>2598</v>
      </c>
      <c r="F38" s="883" t="s">
        <v>2599</v>
      </c>
      <c r="G38" s="883" t="s">
        <v>2344</v>
      </c>
      <c r="H38" s="883" t="s">
        <v>2063</v>
      </c>
      <c r="I38" s="883" t="s">
        <v>2538</v>
      </c>
      <c r="J38" s="884">
        <v>5.106</v>
      </c>
      <c r="K38" s="885">
        <v>4.492</v>
      </c>
      <c r="L38" s="886">
        <v>4.491536</v>
      </c>
      <c r="M38" s="882"/>
    </row>
    <row r="39" spans="1:13" ht="12.75">
      <c r="A39" s="882"/>
      <c r="B39" s="882"/>
      <c r="C39" s="882"/>
      <c r="D39" s="882"/>
      <c r="E39" s="883" t="s">
        <v>2600</v>
      </c>
      <c r="F39" s="883" t="s">
        <v>2601</v>
      </c>
      <c r="G39" s="883" t="s">
        <v>2344</v>
      </c>
      <c r="H39" s="883" t="s">
        <v>2543</v>
      </c>
      <c r="I39" s="883" t="s">
        <v>2538</v>
      </c>
      <c r="J39" s="884">
        <v>6.5</v>
      </c>
      <c r="K39" s="885">
        <v>0</v>
      </c>
      <c r="L39" s="886">
        <v>0</v>
      </c>
      <c r="M39" s="882"/>
    </row>
    <row r="40" spans="1:13" ht="12.75">
      <c r="A40" s="882"/>
      <c r="B40" s="882"/>
      <c r="C40" s="882"/>
      <c r="D40" s="882"/>
      <c r="E40" s="883" t="s">
        <v>2602</v>
      </c>
      <c r="F40" s="883" t="s">
        <v>2603</v>
      </c>
      <c r="G40" s="883" t="s">
        <v>2344</v>
      </c>
      <c r="H40" s="883" t="s">
        <v>2063</v>
      </c>
      <c r="I40" s="883" t="s">
        <v>2538</v>
      </c>
      <c r="J40" s="885">
        <v>0</v>
      </c>
      <c r="K40" s="885">
        <v>9.532</v>
      </c>
      <c r="L40" s="886">
        <v>9.53104993</v>
      </c>
      <c r="M40" s="882"/>
    </row>
    <row r="41" spans="1:13" ht="12.75">
      <c r="A41" s="882"/>
      <c r="B41" s="882"/>
      <c r="C41" s="882"/>
      <c r="D41" s="882"/>
      <c r="E41" s="883" t="s">
        <v>2604</v>
      </c>
      <c r="F41" s="883" t="s">
        <v>2605</v>
      </c>
      <c r="G41" s="883" t="s">
        <v>2344</v>
      </c>
      <c r="H41" s="883" t="s">
        <v>2063</v>
      </c>
      <c r="I41" s="883" t="s">
        <v>2538</v>
      </c>
      <c r="J41" s="885">
        <v>0</v>
      </c>
      <c r="K41" s="885">
        <v>6.298</v>
      </c>
      <c r="L41" s="886">
        <v>6.28846905</v>
      </c>
      <c r="M41" s="882"/>
    </row>
    <row r="42" spans="1:13" ht="12.75">
      <c r="A42" s="882"/>
      <c r="B42" s="882"/>
      <c r="C42" s="882"/>
      <c r="D42" s="882"/>
      <c r="E42" s="883" t="s">
        <v>2606</v>
      </c>
      <c r="F42" s="883" t="s">
        <v>2607</v>
      </c>
      <c r="G42" s="883" t="s">
        <v>2344</v>
      </c>
      <c r="H42" s="883" t="s">
        <v>2063</v>
      </c>
      <c r="I42" s="883" t="s">
        <v>2538</v>
      </c>
      <c r="J42" s="885">
        <v>0</v>
      </c>
      <c r="K42" s="885">
        <v>5.941</v>
      </c>
      <c r="L42" s="886">
        <v>5.94026624</v>
      </c>
      <c r="M42" s="882"/>
    </row>
    <row r="43" spans="1:13" ht="12.75">
      <c r="A43" s="882"/>
      <c r="B43" s="882"/>
      <c r="C43" s="882"/>
      <c r="D43" s="882"/>
      <c r="E43" s="883" t="s">
        <v>2608</v>
      </c>
      <c r="F43" s="883" t="s">
        <v>2609</v>
      </c>
      <c r="G43" s="883" t="s">
        <v>2344</v>
      </c>
      <c r="H43" s="883" t="s">
        <v>2063</v>
      </c>
      <c r="I43" s="883" t="s">
        <v>2538</v>
      </c>
      <c r="J43" s="885">
        <v>0</v>
      </c>
      <c r="K43" s="885">
        <v>0.674</v>
      </c>
      <c r="L43" s="886">
        <v>0.673</v>
      </c>
      <c r="M43" s="882"/>
    </row>
    <row r="44" spans="1:13" ht="12.75">
      <c r="A44" s="882"/>
      <c r="B44" s="882"/>
      <c r="C44" s="882"/>
      <c r="D44" s="882"/>
      <c r="E44" s="883" t="s">
        <v>2610</v>
      </c>
      <c r="F44" s="883" t="s">
        <v>2611</v>
      </c>
      <c r="G44" s="883" t="s">
        <v>2348</v>
      </c>
      <c r="H44" s="883" t="s">
        <v>2063</v>
      </c>
      <c r="I44" s="883" t="s">
        <v>2538</v>
      </c>
      <c r="J44" s="885">
        <v>0</v>
      </c>
      <c r="K44" s="885">
        <v>4</v>
      </c>
      <c r="L44" s="886">
        <v>4</v>
      </c>
      <c r="M44" s="882"/>
    </row>
    <row r="45" spans="1:13" ht="12.75">
      <c r="A45" s="882"/>
      <c r="B45" s="882"/>
      <c r="C45" s="882"/>
      <c r="D45" s="882"/>
      <c r="E45" s="883" t="s">
        <v>2612</v>
      </c>
      <c r="F45" s="883" t="s">
        <v>2613</v>
      </c>
      <c r="G45" s="883" t="s">
        <v>2348</v>
      </c>
      <c r="H45" s="883" t="s">
        <v>2063</v>
      </c>
      <c r="I45" s="883" t="s">
        <v>2538</v>
      </c>
      <c r="J45" s="885">
        <v>0</v>
      </c>
      <c r="K45" s="885">
        <v>4.2</v>
      </c>
      <c r="L45" s="886">
        <v>4.2</v>
      </c>
      <c r="M45" s="882"/>
    </row>
    <row r="46" spans="1:13" ht="11.25" customHeight="1">
      <c r="A46" s="882"/>
      <c r="B46" s="882"/>
      <c r="C46" s="882"/>
      <c r="D46" s="882"/>
      <c r="E46" s="883" t="s">
        <v>2614</v>
      </c>
      <c r="F46" s="883" t="s">
        <v>2615</v>
      </c>
      <c r="G46" s="883" t="s">
        <v>2348</v>
      </c>
      <c r="H46" s="883" t="s">
        <v>2063</v>
      </c>
      <c r="I46" s="883" t="s">
        <v>2538</v>
      </c>
      <c r="J46" s="885">
        <v>0</v>
      </c>
      <c r="K46" s="885">
        <v>1.3</v>
      </c>
      <c r="L46" s="886">
        <v>1.3</v>
      </c>
      <c r="M46" s="882"/>
    </row>
    <row r="47" spans="1:13" ht="12.75">
      <c r="A47" s="882"/>
      <c r="B47" s="882"/>
      <c r="C47" s="882"/>
      <c r="D47" s="882"/>
      <c r="E47" s="883" t="s">
        <v>2616</v>
      </c>
      <c r="F47" s="883" t="s">
        <v>2617</v>
      </c>
      <c r="G47" s="883" t="s">
        <v>2348</v>
      </c>
      <c r="H47" s="883" t="s">
        <v>2543</v>
      </c>
      <c r="I47" s="883" t="s">
        <v>2538</v>
      </c>
      <c r="J47" s="884">
        <v>4</v>
      </c>
      <c r="K47" s="885">
        <v>0</v>
      </c>
      <c r="L47" s="886">
        <v>0</v>
      </c>
      <c r="M47" s="882"/>
    </row>
    <row r="48" spans="1:13" ht="12.75">
      <c r="A48" s="882"/>
      <c r="B48" s="882"/>
      <c r="C48" s="882"/>
      <c r="D48" s="882"/>
      <c r="E48" s="883" t="s">
        <v>2618</v>
      </c>
      <c r="F48" s="883" t="s">
        <v>2619</v>
      </c>
      <c r="G48" s="883" t="s">
        <v>2047</v>
      </c>
      <c r="H48" s="883" t="s">
        <v>2063</v>
      </c>
      <c r="I48" s="883" t="s">
        <v>2538</v>
      </c>
      <c r="J48" s="885">
        <v>0</v>
      </c>
      <c r="K48" s="885">
        <v>0.11</v>
      </c>
      <c r="L48" s="886">
        <v>0.109499</v>
      </c>
      <c r="M48" s="882"/>
    </row>
    <row r="49" spans="1:13" ht="12.75">
      <c r="A49" s="882"/>
      <c r="B49" s="882"/>
      <c r="C49" s="882"/>
      <c r="D49" s="882"/>
      <c r="E49" s="883" t="s">
        <v>2620</v>
      </c>
      <c r="F49" s="883" t="s">
        <v>2621</v>
      </c>
      <c r="G49" s="883" t="s">
        <v>2047</v>
      </c>
      <c r="H49" s="883" t="s">
        <v>2063</v>
      </c>
      <c r="I49" s="883" t="s">
        <v>2538</v>
      </c>
      <c r="J49" s="885">
        <v>0</v>
      </c>
      <c r="K49" s="885">
        <v>0.14</v>
      </c>
      <c r="L49" s="886">
        <v>0.132631</v>
      </c>
      <c r="M49" s="882"/>
    </row>
    <row r="50" spans="1:13" ht="13.5" thickBot="1">
      <c r="A50" s="882"/>
      <c r="B50" s="882"/>
      <c r="C50" s="882"/>
      <c r="D50" s="882"/>
      <c r="E50" s="887" t="s">
        <v>2622</v>
      </c>
      <c r="F50" s="887" t="s">
        <v>2623</v>
      </c>
      <c r="G50" s="887" t="s">
        <v>2047</v>
      </c>
      <c r="H50" s="887" t="s">
        <v>2063</v>
      </c>
      <c r="I50" s="887" t="s">
        <v>2538</v>
      </c>
      <c r="J50" s="888">
        <v>0</v>
      </c>
      <c r="K50" s="888">
        <v>1.95</v>
      </c>
      <c r="L50" s="889">
        <v>1.9495109</v>
      </c>
      <c r="M50" s="882"/>
    </row>
    <row r="51" spans="1:13" ht="13.5" thickBot="1">
      <c r="A51" s="882"/>
      <c r="B51" s="882"/>
      <c r="C51" s="882"/>
      <c r="D51" s="882"/>
      <c r="E51" s="1043" t="s">
        <v>2624</v>
      </c>
      <c r="F51" s="1044"/>
      <c r="G51" s="1044"/>
      <c r="H51" s="1044"/>
      <c r="I51" s="1044"/>
      <c r="J51" s="890">
        <f>SUM(J5:J50)</f>
        <v>30.236</v>
      </c>
      <c r="K51" s="890">
        <f>SUM(K5:K50)</f>
        <v>74.11900000000001</v>
      </c>
      <c r="L51" s="891">
        <f>SUM(L5:L50)</f>
        <v>73.33738138000001</v>
      </c>
      <c r="M51" s="882"/>
    </row>
    <row r="52" spans="1:13" ht="12.75">
      <c r="A52" s="882"/>
      <c r="B52" s="882"/>
      <c r="C52" s="882"/>
      <c r="D52" s="882"/>
      <c r="E52" s="892" t="s">
        <v>2625</v>
      </c>
      <c r="F52" s="892" t="s">
        <v>2626</v>
      </c>
      <c r="G52" s="892" t="s">
        <v>2469</v>
      </c>
      <c r="H52" s="892" t="s">
        <v>2063</v>
      </c>
      <c r="I52" s="892" t="s">
        <v>2627</v>
      </c>
      <c r="J52" s="893">
        <v>0</v>
      </c>
      <c r="K52" s="893">
        <v>0</v>
      </c>
      <c r="L52" s="894">
        <v>0.796</v>
      </c>
      <c r="M52" s="882"/>
    </row>
    <row r="53" spans="1:13" ht="12.75">
      <c r="A53" s="882"/>
      <c r="B53" s="882"/>
      <c r="C53" s="882"/>
      <c r="D53" s="882"/>
      <c r="E53" s="883" t="s">
        <v>2628</v>
      </c>
      <c r="F53" s="883" t="s">
        <v>2629</v>
      </c>
      <c r="G53" s="883" t="s">
        <v>2469</v>
      </c>
      <c r="H53" s="883" t="s">
        <v>2063</v>
      </c>
      <c r="I53" s="883" t="s">
        <v>2538</v>
      </c>
      <c r="J53" s="885">
        <v>0</v>
      </c>
      <c r="K53" s="885">
        <v>1.1</v>
      </c>
      <c r="L53" s="886">
        <v>1.1</v>
      </c>
      <c r="M53" s="882"/>
    </row>
    <row r="54" spans="1:13" ht="12.75">
      <c r="A54" s="882"/>
      <c r="B54" s="882"/>
      <c r="C54" s="882"/>
      <c r="D54" s="882"/>
      <c r="E54" s="883" t="s">
        <v>2630</v>
      </c>
      <c r="F54" s="883" t="s">
        <v>2631</v>
      </c>
      <c r="G54" s="883" t="s">
        <v>2469</v>
      </c>
      <c r="H54" s="883" t="s">
        <v>2063</v>
      </c>
      <c r="I54" s="883" t="s">
        <v>2538</v>
      </c>
      <c r="J54" s="885">
        <v>0</v>
      </c>
      <c r="K54" s="885">
        <v>0.85</v>
      </c>
      <c r="L54" s="886">
        <v>0</v>
      </c>
      <c r="M54" s="882"/>
    </row>
    <row r="55" spans="1:13" ht="12.75">
      <c r="A55" s="882"/>
      <c r="B55" s="882"/>
      <c r="C55" s="882"/>
      <c r="D55" s="882"/>
      <c r="E55" s="883" t="s">
        <v>2632</v>
      </c>
      <c r="F55" s="883" t="s">
        <v>2633</v>
      </c>
      <c r="G55" s="883" t="s">
        <v>2469</v>
      </c>
      <c r="H55" s="883" t="s">
        <v>2063</v>
      </c>
      <c r="I55" s="883" t="s">
        <v>2538</v>
      </c>
      <c r="J55" s="885">
        <v>0</v>
      </c>
      <c r="K55" s="885">
        <v>0.9</v>
      </c>
      <c r="L55" s="886">
        <v>0.9</v>
      </c>
      <c r="M55" s="882"/>
    </row>
    <row r="56" spans="1:13" ht="12.75">
      <c r="A56" s="882"/>
      <c r="B56" s="882"/>
      <c r="C56" s="882"/>
      <c r="D56" s="882"/>
      <c r="E56" s="883" t="s">
        <v>2634</v>
      </c>
      <c r="F56" s="883" t="s">
        <v>2635</v>
      </c>
      <c r="G56" s="883" t="s">
        <v>2469</v>
      </c>
      <c r="H56" s="883" t="s">
        <v>2063</v>
      </c>
      <c r="I56" s="883" t="s">
        <v>2538</v>
      </c>
      <c r="J56" s="885">
        <v>0</v>
      </c>
      <c r="K56" s="885">
        <v>0.536</v>
      </c>
      <c r="L56" s="886">
        <v>0.536</v>
      </c>
      <c r="M56" s="882"/>
    </row>
    <row r="57" spans="1:13" ht="12.75">
      <c r="A57" s="882"/>
      <c r="B57" s="882"/>
      <c r="C57" s="882"/>
      <c r="D57" s="882"/>
      <c r="E57" s="883" t="s">
        <v>2636</v>
      </c>
      <c r="F57" s="883" t="s">
        <v>2637</v>
      </c>
      <c r="G57" s="883" t="s">
        <v>2469</v>
      </c>
      <c r="H57" s="883" t="s">
        <v>2063</v>
      </c>
      <c r="I57" s="883" t="s">
        <v>2538</v>
      </c>
      <c r="J57" s="885">
        <v>0</v>
      </c>
      <c r="K57" s="885">
        <v>0.1</v>
      </c>
      <c r="L57" s="886">
        <v>0.1</v>
      </c>
      <c r="M57" s="882"/>
    </row>
    <row r="58" spans="1:13" ht="12.75">
      <c r="A58" s="882"/>
      <c r="B58" s="882"/>
      <c r="C58" s="882"/>
      <c r="D58" s="882"/>
      <c r="E58" s="883" t="s">
        <v>2638</v>
      </c>
      <c r="F58" s="883" t="s">
        <v>2639</v>
      </c>
      <c r="G58" s="883" t="s">
        <v>2469</v>
      </c>
      <c r="H58" s="883" t="s">
        <v>2063</v>
      </c>
      <c r="I58" s="883" t="s">
        <v>2538</v>
      </c>
      <c r="J58" s="885">
        <v>0</v>
      </c>
      <c r="K58" s="885">
        <v>0.219</v>
      </c>
      <c r="L58" s="886">
        <v>0.219</v>
      </c>
      <c r="M58" s="882"/>
    </row>
    <row r="59" spans="1:13" ht="12.75">
      <c r="A59" s="882"/>
      <c r="B59" s="882"/>
      <c r="C59" s="882"/>
      <c r="D59" s="882"/>
      <c r="E59" s="883" t="s">
        <v>2640</v>
      </c>
      <c r="F59" s="883" t="s">
        <v>2641</v>
      </c>
      <c r="G59" s="883" t="s">
        <v>2469</v>
      </c>
      <c r="H59" s="883" t="s">
        <v>2063</v>
      </c>
      <c r="I59" s="883" t="s">
        <v>2538</v>
      </c>
      <c r="J59" s="885">
        <v>0</v>
      </c>
      <c r="K59" s="885">
        <v>0.5</v>
      </c>
      <c r="L59" s="886">
        <v>0.5</v>
      </c>
      <c r="M59" s="882"/>
    </row>
    <row r="60" spans="1:13" ht="12.75">
      <c r="A60" s="882"/>
      <c r="B60" s="882"/>
      <c r="C60" s="882"/>
      <c r="D60" s="882"/>
      <c r="E60" s="883" t="s">
        <v>2642</v>
      </c>
      <c r="F60" s="883" t="s">
        <v>2643</v>
      </c>
      <c r="G60" s="883" t="s">
        <v>2469</v>
      </c>
      <c r="H60" s="883" t="s">
        <v>2063</v>
      </c>
      <c r="I60" s="883" t="s">
        <v>2538</v>
      </c>
      <c r="J60" s="885">
        <v>0</v>
      </c>
      <c r="K60" s="885">
        <v>0.449</v>
      </c>
      <c r="L60" s="886">
        <v>0.449</v>
      </c>
      <c r="M60" s="882"/>
    </row>
    <row r="61" spans="1:13" ht="12.75">
      <c r="A61" s="882"/>
      <c r="B61" s="882"/>
      <c r="C61" s="882"/>
      <c r="D61" s="882"/>
      <c r="E61" s="883" t="s">
        <v>2644</v>
      </c>
      <c r="F61" s="883" t="s">
        <v>2645</v>
      </c>
      <c r="G61" s="883" t="s">
        <v>2469</v>
      </c>
      <c r="H61" s="883" t="s">
        <v>2063</v>
      </c>
      <c r="I61" s="883" t="s">
        <v>2538</v>
      </c>
      <c r="J61" s="885">
        <v>0</v>
      </c>
      <c r="K61" s="885">
        <v>0.246</v>
      </c>
      <c r="L61" s="886">
        <v>0.246</v>
      </c>
      <c r="M61" s="882"/>
    </row>
    <row r="62" spans="1:13" ht="12.75">
      <c r="A62" s="882"/>
      <c r="B62" s="882"/>
      <c r="C62" s="882"/>
      <c r="D62" s="882"/>
      <c r="E62" s="883" t="s">
        <v>2646</v>
      </c>
      <c r="F62" s="883" t="s">
        <v>2647</v>
      </c>
      <c r="G62" s="883" t="s">
        <v>2469</v>
      </c>
      <c r="H62" s="883" t="s">
        <v>2063</v>
      </c>
      <c r="I62" s="883" t="s">
        <v>2538</v>
      </c>
      <c r="J62" s="885">
        <v>0</v>
      </c>
      <c r="K62" s="885">
        <v>0.957</v>
      </c>
      <c r="L62" s="886">
        <v>0.957</v>
      </c>
      <c r="M62" s="882"/>
    </row>
    <row r="63" spans="1:13" ht="12.75">
      <c r="A63" s="882"/>
      <c r="B63" s="882"/>
      <c r="C63" s="882"/>
      <c r="D63" s="882"/>
      <c r="E63" s="883" t="s">
        <v>2648</v>
      </c>
      <c r="F63" s="883" t="s">
        <v>2649</v>
      </c>
      <c r="G63" s="883" t="s">
        <v>2469</v>
      </c>
      <c r="H63" s="883" t="s">
        <v>2063</v>
      </c>
      <c r="I63" s="883" t="s">
        <v>2538</v>
      </c>
      <c r="J63" s="885">
        <v>0</v>
      </c>
      <c r="K63" s="885">
        <v>0.37</v>
      </c>
      <c r="L63" s="886">
        <v>0.37</v>
      </c>
      <c r="M63" s="882"/>
    </row>
    <row r="64" spans="1:13" ht="12.75">
      <c r="A64" s="882"/>
      <c r="B64" s="882"/>
      <c r="C64" s="882"/>
      <c r="D64" s="882"/>
      <c r="E64" s="883" t="s">
        <v>2650</v>
      </c>
      <c r="F64" s="883" t="s">
        <v>2651</v>
      </c>
      <c r="G64" s="883" t="s">
        <v>2469</v>
      </c>
      <c r="H64" s="883" t="s">
        <v>2063</v>
      </c>
      <c r="I64" s="883" t="s">
        <v>2538</v>
      </c>
      <c r="J64" s="885">
        <v>0</v>
      </c>
      <c r="K64" s="885">
        <v>0.336</v>
      </c>
      <c r="L64" s="886">
        <v>0.336</v>
      </c>
      <c r="M64" s="882"/>
    </row>
    <row r="65" spans="1:13" ht="12.75">
      <c r="A65" s="882"/>
      <c r="B65" s="882"/>
      <c r="C65" s="882"/>
      <c r="D65" s="882"/>
      <c r="E65" s="883" t="s">
        <v>2652</v>
      </c>
      <c r="F65" s="883" t="s">
        <v>2653</v>
      </c>
      <c r="G65" s="883" t="s">
        <v>2469</v>
      </c>
      <c r="H65" s="883" t="s">
        <v>2063</v>
      </c>
      <c r="I65" s="883" t="s">
        <v>2538</v>
      </c>
      <c r="J65" s="885">
        <v>0</v>
      </c>
      <c r="K65" s="885">
        <v>0.218</v>
      </c>
      <c r="L65" s="886">
        <v>0.218</v>
      </c>
      <c r="M65" s="882"/>
    </row>
    <row r="66" spans="1:13" ht="12.75">
      <c r="A66" s="882"/>
      <c r="B66" s="882"/>
      <c r="C66" s="882"/>
      <c r="D66" s="882"/>
      <c r="E66" s="883" t="s">
        <v>2654</v>
      </c>
      <c r="F66" s="883" t="s">
        <v>2655</v>
      </c>
      <c r="G66" s="883" t="s">
        <v>2469</v>
      </c>
      <c r="H66" s="883" t="s">
        <v>2063</v>
      </c>
      <c r="I66" s="883" t="s">
        <v>2538</v>
      </c>
      <c r="J66" s="885">
        <v>0</v>
      </c>
      <c r="K66" s="885">
        <v>0.111</v>
      </c>
      <c r="L66" s="886">
        <v>0.111</v>
      </c>
      <c r="M66" s="882"/>
    </row>
    <row r="67" spans="1:13" ht="12.75">
      <c r="A67" s="882"/>
      <c r="B67" s="882"/>
      <c r="C67" s="882"/>
      <c r="D67" s="882"/>
      <c r="E67" s="883" t="s">
        <v>2656</v>
      </c>
      <c r="F67" s="883" t="s">
        <v>2657</v>
      </c>
      <c r="G67" s="883" t="s">
        <v>2469</v>
      </c>
      <c r="H67" s="883" t="s">
        <v>2063</v>
      </c>
      <c r="I67" s="883" t="s">
        <v>2538</v>
      </c>
      <c r="J67" s="885">
        <v>0</v>
      </c>
      <c r="K67" s="885">
        <v>0.6</v>
      </c>
      <c r="L67" s="886">
        <v>0.6</v>
      </c>
      <c r="M67" s="882"/>
    </row>
    <row r="68" spans="1:13" ht="12.75">
      <c r="A68" s="882"/>
      <c r="B68" s="882"/>
      <c r="C68" s="882"/>
      <c r="D68" s="882"/>
      <c r="E68" s="883" t="s">
        <v>2658</v>
      </c>
      <c r="F68" s="883" t="s">
        <v>2659</v>
      </c>
      <c r="G68" s="883" t="s">
        <v>2469</v>
      </c>
      <c r="H68" s="883" t="s">
        <v>2063</v>
      </c>
      <c r="I68" s="883" t="s">
        <v>2538</v>
      </c>
      <c r="J68" s="885">
        <v>0</v>
      </c>
      <c r="K68" s="885">
        <v>0.224</v>
      </c>
      <c r="L68" s="886">
        <v>0.224</v>
      </c>
      <c r="M68" s="882"/>
    </row>
    <row r="69" spans="1:13" ht="12.75">
      <c r="A69" s="882"/>
      <c r="B69" s="882"/>
      <c r="C69" s="882"/>
      <c r="D69" s="882"/>
      <c r="E69" s="883" t="s">
        <v>2660</v>
      </c>
      <c r="F69" s="883" t="s">
        <v>2661</v>
      </c>
      <c r="G69" s="883" t="s">
        <v>2469</v>
      </c>
      <c r="H69" s="883" t="s">
        <v>2063</v>
      </c>
      <c r="I69" s="883" t="s">
        <v>2538</v>
      </c>
      <c r="J69" s="885">
        <v>0</v>
      </c>
      <c r="K69" s="885">
        <v>0.349</v>
      </c>
      <c r="L69" s="886">
        <v>0.349</v>
      </c>
      <c r="M69" s="882"/>
    </row>
    <row r="70" spans="1:13" ht="12.75">
      <c r="A70" s="882"/>
      <c r="B70" s="882"/>
      <c r="C70" s="882"/>
      <c r="D70" s="882"/>
      <c r="E70" s="883" t="s">
        <v>2662</v>
      </c>
      <c r="F70" s="883" t="s">
        <v>2663</v>
      </c>
      <c r="G70" s="883" t="s">
        <v>2469</v>
      </c>
      <c r="H70" s="883" t="s">
        <v>2063</v>
      </c>
      <c r="I70" s="883" t="s">
        <v>2538</v>
      </c>
      <c r="J70" s="885">
        <v>0</v>
      </c>
      <c r="K70" s="885">
        <v>0.25</v>
      </c>
      <c r="L70" s="886">
        <v>0.25</v>
      </c>
      <c r="M70" s="882"/>
    </row>
    <row r="71" spans="1:13" ht="12.75">
      <c r="A71" s="882"/>
      <c r="B71" s="882"/>
      <c r="C71" s="882"/>
      <c r="D71" s="882"/>
      <c r="E71" s="883" t="s">
        <v>2664</v>
      </c>
      <c r="F71" s="883" t="s">
        <v>2665</v>
      </c>
      <c r="G71" s="883" t="s">
        <v>2469</v>
      </c>
      <c r="H71" s="883" t="s">
        <v>2063</v>
      </c>
      <c r="I71" s="883" t="s">
        <v>2538</v>
      </c>
      <c r="J71" s="885">
        <v>0</v>
      </c>
      <c r="K71" s="885">
        <v>0.228</v>
      </c>
      <c r="L71" s="886">
        <v>0.228</v>
      </c>
      <c r="M71" s="882"/>
    </row>
    <row r="72" spans="1:13" ht="12.75">
      <c r="A72" s="882"/>
      <c r="B72" s="882"/>
      <c r="C72" s="882"/>
      <c r="D72" s="882"/>
      <c r="E72" s="883" t="s">
        <v>2666</v>
      </c>
      <c r="F72" s="883" t="s">
        <v>2667</v>
      </c>
      <c r="G72" s="883" t="s">
        <v>2469</v>
      </c>
      <c r="H72" s="883" t="s">
        <v>2063</v>
      </c>
      <c r="I72" s="883" t="s">
        <v>2538</v>
      </c>
      <c r="J72" s="885">
        <v>0</v>
      </c>
      <c r="K72" s="885">
        <v>0.328</v>
      </c>
      <c r="L72" s="886">
        <v>0.328</v>
      </c>
      <c r="M72" s="882"/>
    </row>
    <row r="73" spans="1:13" ht="12.75">
      <c r="A73" s="882"/>
      <c r="B73" s="882"/>
      <c r="C73" s="882"/>
      <c r="D73" s="882"/>
      <c r="E73" s="883" t="s">
        <v>2668</v>
      </c>
      <c r="F73" s="883" t="s">
        <v>2669</v>
      </c>
      <c r="G73" s="883" t="s">
        <v>2469</v>
      </c>
      <c r="H73" s="883" t="s">
        <v>2063</v>
      </c>
      <c r="I73" s="883" t="s">
        <v>2538</v>
      </c>
      <c r="J73" s="885">
        <v>0</v>
      </c>
      <c r="K73" s="885">
        <v>0.397</v>
      </c>
      <c r="L73" s="886">
        <v>0.397</v>
      </c>
      <c r="M73" s="882"/>
    </row>
    <row r="74" spans="1:13" ht="12.75">
      <c r="A74" s="882"/>
      <c r="B74" s="882"/>
      <c r="C74" s="882"/>
      <c r="D74" s="882"/>
      <c r="E74" s="883" t="s">
        <v>2670</v>
      </c>
      <c r="F74" s="883" t="s">
        <v>2671</v>
      </c>
      <c r="G74" s="883" t="s">
        <v>2469</v>
      </c>
      <c r="H74" s="883" t="s">
        <v>2063</v>
      </c>
      <c r="I74" s="883" t="s">
        <v>2538</v>
      </c>
      <c r="J74" s="885">
        <v>0</v>
      </c>
      <c r="K74" s="885">
        <v>0.067</v>
      </c>
      <c r="L74" s="886">
        <v>0.067</v>
      </c>
      <c r="M74" s="882"/>
    </row>
    <row r="75" spans="1:13" ht="12.75">
      <c r="A75" s="882"/>
      <c r="B75" s="882"/>
      <c r="C75" s="882"/>
      <c r="D75" s="882"/>
      <c r="E75" s="883" t="s">
        <v>2672</v>
      </c>
      <c r="F75" s="883" t="s">
        <v>2673</v>
      </c>
      <c r="G75" s="883" t="s">
        <v>2469</v>
      </c>
      <c r="H75" s="883" t="s">
        <v>2063</v>
      </c>
      <c r="I75" s="883" t="s">
        <v>2538</v>
      </c>
      <c r="J75" s="885">
        <v>0</v>
      </c>
      <c r="K75" s="885">
        <v>0.2</v>
      </c>
      <c r="L75" s="886">
        <v>0.199961</v>
      </c>
      <c r="M75" s="882"/>
    </row>
    <row r="76" spans="1:13" ht="12.75">
      <c r="A76" s="882"/>
      <c r="B76" s="882"/>
      <c r="C76" s="882"/>
      <c r="D76" s="882"/>
      <c r="E76" s="883" t="s">
        <v>2674</v>
      </c>
      <c r="F76" s="883" t="s">
        <v>2675</v>
      </c>
      <c r="G76" s="883" t="s">
        <v>2469</v>
      </c>
      <c r="H76" s="883" t="s">
        <v>2063</v>
      </c>
      <c r="I76" s="883" t="s">
        <v>2538</v>
      </c>
      <c r="J76" s="885">
        <v>0</v>
      </c>
      <c r="K76" s="885">
        <v>0.4</v>
      </c>
      <c r="L76" s="886">
        <v>0.4</v>
      </c>
      <c r="M76" s="882"/>
    </row>
    <row r="77" spans="1:13" ht="12.75">
      <c r="A77" s="882"/>
      <c r="B77" s="882"/>
      <c r="C77" s="882"/>
      <c r="D77" s="882"/>
      <c r="E77" s="883" t="s">
        <v>2676</v>
      </c>
      <c r="F77" s="883" t="s">
        <v>2677</v>
      </c>
      <c r="G77" s="883" t="s">
        <v>2469</v>
      </c>
      <c r="H77" s="883" t="s">
        <v>2063</v>
      </c>
      <c r="I77" s="883" t="s">
        <v>2538</v>
      </c>
      <c r="J77" s="885">
        <v>0</v>
      </c>
      <c r="K77" s="885">
        <v>0.7</v>
      </c>
      <c r="L77" s="886">
        <v>0.7</v>
      </c>
      <c r="M77" s="882"/>
    </row>
    <row r="78" spans="1:13" ht="12.75">
      <c r="A78" s="882"/>
      <c r="B78" s="882"/>
      <c r="C78" s="882"/>
      <c r="D78" s="882"/>
      <c r="E78" s="883" t="s">
        <v>2678</v>
      </c>
      <c r="F78" s="883" t="s">
        <v>2679</v>
      </c>
      <c r="G78" s="883" t="s">
        <v>2469</v>
      </c>
      <c r="H78" s="883" t="s">
        <v>2063</v>
      </c>
      <c r="I78" s="883" t="s">
        <v>2538</v>
      </c>
      <c r="J78" s="885">
        <v>0</v>
      </c>
      <c r="K78" s="885">
        <v>0.08</v>
      </c>
      <c r="L78" s="886">
        <v>0.08</v>
      </c>
      <c r="M78" s="882"/>
    </row>
    <row r="79" spans="1:13" ht="12.75">
      <c r="A79" s="882"/>
      <c r="B79" s="882"/>
      <c r="C79" s="882"/>
      <c r="D79" s="882"/>
      <c r="E79" s="883" t="s">
        <v>2680</v>
      </c>
      <c r="F79" s="883" t="s">
        <v>2681</v>
      </c>
      <c r="G79" s="883" t="s">
        <v>2469</v>
      </c>
      <c r="H79" s="883" t="s">
        <v>2063</v>
      </c>
      <c r="I79" s="883" t="s">
        <v>2538</v>
      </c>
      <c r="J79" s="885">
        <v>0</v>
      </c>
      <c r="K79" s="885">
        <v>0.557</v>
      </c>
      <c r="L79" s="886">
        <v>0.557</v>
      </c>
      <c r="M79" s="882"/>
    </row>
    <row r="80" spans="1:13" ht="12.75">
      <c r="A80" s="882"/>
      <c r="B80" s="882"/>
      <c r="C80" s="882"/>
      <c r="D80" s="882"/>
      <c r="E80" s="883" t="s">
        <v>2682</v>
      </c>
      <c r="F80" s="883" t="s">
        <v>2683</v>
      </c>
      <c r="G80" s="883" t="s">
        <v>2469</v>
      </c>
      <c r="H80" s="883" t="s">
        <v>2063</v>
      </c>
      <c r="I80" s="883" t="s">
        <v>2538</v>
      </c>
      <c r="J80" s="885">
        <v>0</v>
      </c>
      <c r="K80" s="885">
        <v>0.07</v>
      </c>
      <c r="L80" s="886">
        <v>0.07</v>
      </c>
      <c r="M80" s="882"/>
    </row>
    <row r="81" spans="1:13" ht="12.75">
      <c r="A81" s="882"/>
      <c r="B81" s="882"/>
      <c r="C81" s="882"/>
      <c r="D81" s="882"/>
      <c r="E81" s="883" t="s">
        <v>2684</v>
      </c>
      <c r="F81" s="883" t="s">
        <v>2685</v>
      </c>
      <c r="G81" s="883" t="s">
        <v>2469</v>
      </c>
      <c r="H81" s="883" t="s">
        <v>2063</v>
      </c>
      <c r="I81" s="883" t="s">
        <v>2538</v>
      </c>
      <c r="J81" s="885">
        <v>0</v>
      </c>
      <c r="K81" s="885">
        <v>0.2</v>
      </c>
      <c r="L81" s="886">
        <v>0.2</v>
      </c>
      <c r="M81" s="882"/>
    </row>
    <row r="82" spans="1:13" ht="12.75">
      <c r="A82" s="882"/>
      <c r="B82" s="882"/>
      <c r="C82" s="882"/>
      <c r="D82" s="882"/>
      <c r="E82" s="883" t="s">
        <v>2686</v>
      </c>
      <c r="F82" s="883" t="s">
        <v>2687</v>
      </c>
      <c r="G82" s="883" t="s">
        <v>2469</v>
      </c>
      <c r="H82" s="883" t="s">
        <v>2063</v>
      </c>
      <c r="I82" s="883" t="s">
        <v>2538</v>
      </c>
      <c r="J82" s="885">
        <v>0</v>
      </c>
      <c r="K82" s="885">
        <v>0.04</v>
      </c>
      <c r="L82" s="886">
        <v>0.04</v>
      </c>
      <c r="M82" s="882"/>
    </row>
    <row r="83" spans="1:13" ht="12.75">
      <c r="A83" s="882"/>
      <c r="B83" s="882"/>
      <c r="C83" s="882"/>
      <c r="D83" s="882"/>
      <c r="E83" s="883" t="s">
        <v>2688</v>
      </c>
      <c r="F83" s="883" t="s">
        <v>2689</v>
      </c>
      <c r="G83" s="883" t="s">
        <v>2469</v>
      </c>
      <c r="H83" s="883" t="s">
        <v>2063</v>
      </c>
      <c r="I83" s="883" t="s">
        <v>2538</v>
      </c>
      <c r="J83" s="885">
        <v>0</v>
      </c>
      <c r="K83" s="885">
        <v>0.294</v>
      </c>
      <c r="L83" s="886">
        <v>0.294</v>
      </c>
      <c r="M83" s="882"/>
    </row>
    <row r="84" spans="1:13" ht="12.75">
      <c r="A84" s="882"/>
      <c r="B84" s="882"/>
      <c r="C84" s="882"/>
      <c r="D84" s="882"/>
      <c r="E84" s="883" t="s">
        <v>2690</v>
      </c>
      <c r="F84" s="883" t="s">
        <v>2691</v>
      </c>
      <c r="G84" s="883" t="s">
        <v>2469</v>
      </c>
      <c r="H84" s="883" t="s">
        <v>2063</v>
      </c>
      <c r="I84" s="883" t="s">
        <v>2538</v>
      </c>
      <c r="J84" s="885">
        <v>0</v>
      </c>
      <c r="K84" s="885">
        <v>0.12</v>
      </c>
      <c r="L84" s="886">
        <v>0.12</v>
      </c>
      <c r="M84" s="882"/>
    </row>
    <row r="85" spans="1:13" ht="12.75">
      <c r="A85" s="882"/>
      <c r="B85" s="882"/>
      <c r="C85" s="882"/>
      <c r="D85" s="882"/>
      <c r="E85" s="883" t="s">
        <v>2692</v>
      </c>
      <c r="F85" s="883" t="s">
        <v>2693</v>
      </c>
      <c r="G85" s="883" t="s">
        <v>2469</v>
      </c>
      <c r="H85" s="883" t="s">
        <v>2063</v>
      </c>
      <c r="I85" s="883" t="s">
        <v>2538</v>
      </c>
      <c r="J85" s="885">
        <v>0</v>
      </c>
      <c r="K85" s="885">
        <v>0.262</v>
      </c>
      <c r="L85" s="886">
        <v>0.262</v>
      </c>
      <c r="M85" s="882"/>
    </row>
    <row r="86" spans="1:13" ht="12.75">
      <c r="A86" s="882"/>
      <c r="B86" s="882"/>
      <c r="C86" s="882"/>
      <c r="D86" s="882"/>
      <c r="E86" s="883" t="s">
        <v>2694</v>
      </c>
      <c r="F86" s="883" t="s">
        <v>2695</v>
      </c>
      <c r="G86" s="883" t="s">
        <v>2469</v>
      </c>
      <c r="H86" s="883" t="s">
        <v>2063</v>
      </c>
      <c r="I86" s="883" t="s">
        <v>2538</v>
      </c>
      <c r="J86" s="885">
        <v>0</v>
      </c>
      <c r="K86" s="885">
        <v>0.34</v>
      </c>
      <c r="L86" s="886">
        <v>0.34</v>
      </c>
      <c r="M86" s="882"/>
    </row>
    <row r="87" spans="1:13" ht="12.75">
      <c r="A87" s="882"/>
      <c r="B87" s="882"/>
      <c r="C87" s="882"/>
      <c r="D87" s="882"/>
      <c r="E87" s="883" t="s">
        <v>2696</v>
      </c>
      <c r="F87" s="883" t="s">
        <v>2697</v>
      </c>
      <c r="G87" s="883" t="s">
        <v>2469</v>
      </c>
      <c r="H87" s="883" t="s">
        <v>2063</v>
      </c>
      <c r="I87" s="883" t="s">
        <v>2538</v>
      </c>
      <c r="J87" s="885">
        <v>0</v>
      </c>
      <c r="K87" s="885">
        <v>0.511</v>
      </c>
      <c r="L87" s="886">
        <v>0.511</v>
      </c>
      <c r="M87" s="882"/>
    </row>
    <row r="88" spans="1:13" ht="12.75">
      <c r="A88" s="882"/>
      <c r="B88" s="882"/>
      <c r="C88" s="882"/>
      <c r="D88" s="882"/>
      <c r="E88" s="883" t="s">
        <v>2698</v>
      </c>
      <c r="F88" s="883" t="s">
        <v>2699</v>
      </c>
      <c r="G88" s="883" t="s">
        <v>2469</v>
      </c>
      <c r="H88" s="883" t="s">
        <v>2063</v>
      </c>
      <c r="I88" s="883" t="s">
        <v>2538</v>
      </c>
      <c r="J88" s="885">
        <v>0</v>
      </c>
      <c r="K88" s="885">
        <v>0.097</v>
      </c>
      <c r="L88" s="886">
        <v>0.097</v>
      </c>
      <c r="M88" s="882"/>
    </row>
    <row r="89" spans="1:13" ht="12.75">
      <c r="A89" s="882"/>
      <c r="B89" s="882"/>
      <c r="C89" s="882"/>
      <c r="D89" s="882"/>
      <c r="E89" s="883" t="s">
        <v>2700</v>
      </c>
      <c r="F89" s="883" t="s">
        <v>2701</v>
      </c>
      <c r="G89" s="883" t="s">
        <v>2469</v>
      </c>
      <c r="H89" s="883" t="s">
        <v>2063</v>
      </c>
      <c r="I89" s="883" t="s">
        <v>2538</v>
      </c>
      <c r="J89" s="885">
        <v>0</v>
      </c>
      <c r="K89" s="885">
        <v>0.247</v>
      </c>
      <c r="L89" s="886">
        <v>0.247</v>
      </c>
      <c r="M89" s="882"/>
    </row>
    <row r="90" spans="1:13" ht="12.75">
      <c r="A90" s="882"/>
      <c r="B90" s="882"/>
      <c r="C90" s="882"/>
      <c r="D90" s="882"/>
      <c r="E90" s="883" t="s">
        <v>2702</v>
      </c>
      <c r="F90" s="883" t="s">
        <v>2703</v>
      </c>
      <c r="G90" s="883" t="s">
        <v>2469</v>
      </c>
      <c r="H90" s="883" t="s">
        <v>2063</v>
      </c>
      <c r="I90" s="883" t="s">
        <v>2538</v>
      </c>
      <c r="J90" s="885">
        <v>0</v>
      </c>
      <c r="K90" s="885">
        <v>0.67</v>
      </c>
      <c r="L90" s="886">
        <v>0.67</v>
      </c>
      <c r="M90" s="882"/>
    </row>
    <row r="91" spans="1:13" ht="12.75">
      <c r="A91" s="882"/>
      <c r="B91" s="882"/>
      <c r="C91" s="882"/>
      <c r="D91" s="882"/>
      <c r="E91" s="883" t="s">
        <v>2704</v>
      </c>
      <c r="F91" s="883" t="s">
        <v>2647</v>
      </c>
      <c r="G91" s="883" t="s">
        <v>2469</v>
      </c>
      <c r="H91" s="883" t="s">
        <v>2063</v>
      </c>
      <c r="I91" s="883" t="s">
        <v>2538</v>
      </c>
      <c r="J91" s="885">
        <v>0</v>
      </c>
      <c r="K91" s="885">
        <v>0.361</v>
      </c>
      <c r="L91" s="886">
        <v>0.361</v>
      </c>
      <c r="M91" s="882"/>
    </row>
    <row r="92" spans="1:13" ht="12.75">
      <c r="A92" s="882"/>
      <c r="B92" s="882"/>
      <c r="C92" s="882"/>
      <c r="D92" s="882"/>
      <c r="E92" s="883" t="s">
        <v>2705</v>
      </c>
      <c r="F92" s="883" t="s">
        <v>2706</v>
      </c>
      <c r="G92" s="883" t="s">
        <v>2469</v>
      </c>
      <c r="H92" s="883" t="s">
        <v>2063</v>
      </c>
      <c r="I92" s="883" t="s">
        <v>2538</v>
      </c>
      <c r="J92" s="885">
        <v>0</v>
      </c>
      <c r="K92" s="885">
        <v>0.3</v>
      </c>
      <c r="L92" s="886">
        <v>0.3</v>
      </c>
      <c r="M92" s="882"/>
    </row>
    <row r="93" spans="1:13" ht="12.75">
      <c r="A93" s="882"/>
      <c r="B93" s="882"/>
      <c r="C93" s="882"/>
      <c r="D93" s="882"/>
      <c r="E93" s="883" t="s">
        <v>2707</v>
      </c>
      <c r="F93" s="883" t="s">
        <v>2708</v>
      </c>
      <c r="G93" s="883" t="s">
        <v>2469</v>
      </c>
      <c r="H93" s="883" t="s">
        <v>2063</v>
      </c>
      <c r="I93" s="883" t="s">
        <v>2538</v>
      </c>
      <c r="J93" s="885">
        <v>0</v>
      </c>
      <c r="K93" s="885">
        <v>0.1</v>
      </c>
      <c r="L93" s="886">
        <v>0.1</v>
      </c>
      <c r="M93" s="882"/>
    </row>
    <row r="94" spans="1:13" ht="12.75">
      <c r="A94" s="882"/>
      <c r="B94" s="882"/>
      <c r="C94" s="882"/>
      <c r="D94" s="882"/>
      <c r="E94" s="883" t="s">
        <v>2709</v>
      </c>
      <c r="F94" s="883" t="s">
        <v>2710</v>
      </c>
      <c r="G94" s="883" t="s">
        <v>2469</v>
      </c>
      <c r="H94" s="883" t="s">
        <v>2063</v>
      </c>
      <c r="I94" s="883" t="s">
        <v>2538</v>
      </c>
      <c r="J94" s="885">
        <v>0</v>
      </c>
      <c r="K94" s="885">
        <v>0.8</v>
      </c>
      <c r="L94" s="886">
        <v>0.8</v>
      </c>
      <c r="M94" s="882"/>
    </row>
    <row r="95" spans="1:13" ht="12.75">
      <c r="A95" s="882"/>
      <c r="B95" s="882"/>
      <c r="C95" s="882"/>
      <c r="D95" s="882"/>
      <c r="E95" s="883" t="s">
        <v>2711</v>
      </c>
      <c r="F95" s="883" t="s">
        <v>2712</v>
      </c>
      <c r="G95" s="883" t="s">
        <v>2469</v>
      </c>
      <c r="H95" s="883" t="s">
        <v>2063</v>
      </c>
      <c r="I95" s="883" t="s">
        <v>2538</v>
      </c>
      <c r="J95" s="885">
        <v>0</v>
      </c>
      <c r="K95" s="885">
        <v>0.124</v>
      </c>
      <c r="L95" s="886">
        <v>0.124</v>
      </c>
      <c r="M95" s="882"/>
    </row>
    <row r="96" spans="1:13" ht="12.75">
      <c r="A96" s="882"/>
      <c r="B96" s="882"/>
      <c r="C96" s="882"/>
      <c r="D96" s="882"/>
      <c r="E96" s="883" t="s">
        <v>2713</v>
      </c>
      <c r="F96" s="883" t="s">
        <v>2714</v>
      </c>
      <c r="G96" s="883" t="s">
        <v>2469</v>
      </c>
      <c r="H96" s="883" t="s">
        <v>2063</v>
      </c>
      <c r="I96" s="883" t="s">
        <v>2538</v>
      </c>
      <c r="J96" s="885">
        <v>0</v>
      </c>
      <c r="K96" s="885">
        <v>0.4</v>
      </c>
      <c r="L96" s="886">
        <v>0.4</v>
      </c>
      <c r="M96" s="882"/>
    </row>
    <row r="97" spans="1:13" ht="12.75">
      <c r="A97" s="882"/>
      <c r="B97" s="882"/>
      <c r="C97" s="882"/>
      <c r="D97" s="882"/>
      <c r="E97" s="883" t="s">
        <v>2715</v>
      </c>
      <c r="F97" s="883" t="s">
        <v>2716</v>
      </c>
      <c r="G97" s="883" t="s">
        <v>2469</v>
      </c>
      <c r="H97" s="883" t="s">
        <v>2063</v>
      </c>
      <c r="I97" s="883" t="s">
        <v>2538</v>
      </c>
      <c r="J97" s="885">
        <v>0</v>
      </c>
      <c r="K97" s="885">
        <v>0.35</v>
      </c>
      <c r="L97" s="886">
        <v>0.35</v>
      </c>
      <c r="M97" s="882"/>
    </row>
    <row r="98" spans="1:13" ht="12.75">
      <c r="A98" s="882"/>
      <c r="B98" s="882"/>
      <c r="C98" s="882"/>
      <c r="D98" s="882"/>
      <c r="E98" s="883" t="s">
        <v>2717</v>
      </c>
      <c r="F98" s="883" t="s">
        <v>2647</v>
      </c>
      <c r="G98" s="883" t="s">
        <v>2469</v>
      </c>
      <c r="H98" s="883" t="s">
        <v>2063</v>
      </c>
      <c r="I98" s="883" t="s">
        <v>2538</v>
      </c>
      <c r="J98" s="885">
        <v>0</v>
      </c>
      <c r="K98" s="885">
        <v>0.218</v>
      </c>
      <c r="L98" s="886">
        <v>0.218</v>
      </c>
      <c r="M98" s="882"/>
    </row>
    <row r="99" spans="1:13" ht="12.75">
      <c r="A99" s="882"/>
      <c r="B99" s="882"/>
      <c r="C99" s="882"/>
      <c r="D99" s="882"/>
      <c r="E99" s="883" t="s">
        <v>2718</v>
      </c>
      <c r="F99" s="883" t="s">
        <v>2719</v>
      </c>
      <c r="G99" s="883" t="s">
        <v>2469</v>
      </c>
      <c r="H99" s="883" t="s">
        <v>2063</v>
      </c>
      <c r="I99" s="883" t="s">
        <v>2538</v>
      </c>
      <c r="J99" s="885">
        <v>0</v>
      </c>
      <c r="K99" s="885">
        <v>0.334</v>
      </c>
      <c r="L99" s="886">
        <v>0.334</v>
      </c>
      <c r="M99" s="882"/>
    </row>
    <row r="100" spans="1:13" ht="12.75">
      <c r="A100" s="882"/>
      <c r="B100" s="882"/>
      <c r="C100" s="882"/>
      <c r="D100" s="882"/>
      <c r="E100" s="883" t="s">
        <v>2720</v>
      </c>
      <c r="F100" s="883" t="s">
        <v>2721</v>
      </c>
      <c r="G100" s="883" t="s">
        <v>2469</v>
      </c>
      <c r="H100" s="883" t="s">
        <v>2063</v>
      </c>
      <c r="I100" s="883" t="s">
        <v>2538</v>
      </c>
      <c r="J100" s="885">
        <v>0</v>
      </c>
      <c r="K100" s="885">
        <v>0.23</v>
      </c>
      <c r="L100" s="886">
        <v>0.23</v>
      </c>
      <c r="M100" s="882"/>
    </row>
    <row r="101" spans="1:13" ht="12.75">
      <c r="A101" s="882"/>
      <c r="B101" s="882"/>
      <c r="C101" s="882"/>
      <c r="D101" s="882"/>
      <c r="E101" s="883" t="s">
        <v>2722</v>
      </c>
      <c r="F101" s="883" t="s">
        <v>2723</v>
      </c>
      <c r="G101" s="883" t="s">
        <v>2469</v>
      </c>
      <c r="H101" s="883" t="s">
        <v>2063</v>
      </c>
      <c r="I101" s="883" t="s">
        <v>2538</v>
      </c>
      <c r="J101" s="885">
        <v>0</v>
      </c>
      <c r="K101" s="885">
        <v>0.159</v>
      </c>
      <c r="L101" s="886">
        <v>0.159</v>
      </c>
      <c r="M101" s="882"/>
    </row>
    <row r="102" spans="1:13" ht="12.75">
      <c r="A102" s="882"/>
      <c r="B102" s="882"/>
      <c r="C102" s="882"/>
      <c r="D102" s="882"/>
      <c r="E102" s="883" t="s">
        <v>2724</v>
      </c>
      <c r="F102" s="883" t="s">
        <v>2725</v>
      </c>
      <c r="G102" s="883" t="s">
        <v>2469</v>
      </c>
      <c r="H102" s="883" t="s">
        <v>2063</v>
      </c>
      <c r="I102" s="883" t="s">
        <v>2538</v>
      </c>
      <c r="J102" s="885">
        <v>0</v>
      </c>
      <c r="K102" s="885">
        <v>0.037</v>
      </c>
      <c r="L102" s="886">
        <v>0.037</v>
      </c>
      <c r="M102" s="882"/>
    </row>
    <row r="103" spans="1:13" ht="12.75">
      <c r="A103" s="882"/>
      <c r="B103" s="882"/>
      <c r="C103" s="882"/>
      <c r="D103" s="882"/>
      <c r="E103" s="883" t="s">
        <v>2726</v>
      </c>
      <c r="F103" s="883" t="s">
        <v>2727</v>
      </c>
      <c r="G103" s="883" t="s">
        <v>2469</v>
      </c>
      <c r="H103" s="883" t="s">
        <v>2063</v>
      </c>
      <c r="I103" s="883" t="s">
        <v>2538</v>
      </c>
      <c r="J103" s="885">
        <v>0</v>
      </c>
      <c r="K103" s="885">
        <v>0.03</v>
      </c>
      <c r="L103" s="886">
        <v>0.03</v>
      </c>
      <c r="M103" s="882"/>
    </row>
    <row r="104" spans="1:13" ht="12.75">
      <c r="A104" s="882"/>
      <c r="B104" s="882"/>
      <c r="C104" s="882"/>
      <c r="D104" s="882"/>
      <c r="E104" s="883" t="s">
        <v>2728</v>
      </c>
      <c r="F104" s="883" t="s">
        <v>2729</v>
      </c>
      <c r="G104" s="883" t="s">
        <v>2469</v>
      </c>
      <c r="H104" s="883" t="s">
        <v>2063</v>
      </c>
      <c r="I104" s="883" t="s">
        <v>2538</v>
      </c>
      <c r="J104" s="885">
        <v>0</v>
      </c>
      <c r="K104" s="885">
        <v>0.234</v>
      </c>
      <c r="L104" s="886">
        <v>0.234</v>
      </c>
      <c r="M104" s="882"/>
    </row>
    <row r="105" spans="1:13" ht="12.75">
      <c r="A105" s="882"/>
      <c r="B105" s="882"/>
      <c r="C105" s="882"/>
      <c r="D105" s="882"/>
      <c r="E105" s="883" t="s">
        <v>2730</v>
      </c>
      <c r="F105" s="883" t="s">
        <v>2731</v>
      </c>
      <c r="G105" s="883" t="s">
        <v>2469</v>
      </c>
      <c r="H105" s="883" t="s">
        <v>2063</v>
      </c>
      <c r="I105" s="883" t="s">
        <v>2538</v>
      </c>
      <c r="J105" s="885">
        <v>0</v>
      </c>
      <c r="K105" s="885">
        <v>0.5</v>
      </c>
      <c r="L105" s="886">
        <v>0.5</v>
      </c>
      <c r="M105" s="882"/>
    </row>
    <row r="106" spans="1:13" ht="12.75">
      <c r="A106" s="882"/>
      <c r="B106" s="882"/>
      <c r="C106" s="882"/>
      <c r="D106" s="882"/>
      <c r="E106" s="883" t="s">
        <v>2732</v>
      </c>
      <c r="F106" s="883" t="s">
        <v>2733</v>
      </c>
      <c r="G106" s="883" t="s">
        <v>2469</v>
      </c>
      <c r="H106" s="883" t="s">
        <v>2063</v>
      </c>
      <c r="I106" s="883" t="s">
        <v>2538</v>
      </c>
      <c r="J106" s="885">
        <v>0</v>
      </c>
      <c r="K106" s="885">
        <v>0.3</v>
      </c>
      <c r="L106" s="886">
        <v>0.3</v>
      </c>
      <c r="M106" s="882"/>
    </row>
    <row r="107" spans="1:13" ht="12.75">
      <c r="A107" s="882"/>
      <c r="B107" s="882"/>
      <c r="C107" s="882"/>
      <c r="D107" s="882"/>
      <c r="E107" s="883" t="s">
        <v>2734</v>
      </c>
      <c r="F107" s="883" t="s">
        <v>2631</v>
      </c>
      <c r="G107" s="883" t="s">
        <v>2469</v>
      </c>
      <c r="H107" s="883" t="s">
        <v>2063</v>
      </c>
      <c r="I107" s="883" t="s">
        <v>2538</v>
      </c>
      <c r="J107" s="885">
        <v>0</v>
      </c>
      <c r="K107" s="885">
        <v>0.85</v>
      </c>
      <c r="L107" s="886">
        <v>0.85</v>
      </c>
      <c r="M107" s="882"/>
    </row>
    <row r="108" spans="1:13" ht="12.75">
      <c r="A108" s="882"/>
      <c r="B108" s="882"/>
      <c r="C108" s="882"/>
      <c r="D108" s="882"/>
      <c r="E108" s="883" t="s">
        <v>2735</v>
      </c>
      <c r="F108" s="883" t="s">
        <v>2736</v>
      </c>
      <c r="G108" s="883" t="s">
        <v>2469</v>
      </c>
      <c r="H108" s="883" t="s">
        <v>2063</v>
      </c>
      <c r="I108" s="883" t="s">
        <v>2538</v>
      </c>
      <c r="J108" s="885">
        <v>0</v>
      </c>
      <c r="K108" s="885">
        <v>0.227</v>
      </c>
      <c r="L108" s="886">
        <v>0.227</v>
      </c>
      <c r="M108" s="882"/>
    </row>
    <row r="109" spans="1:13" ht="12.75">
      <c r="A109" s="882"/>
      <c r="B109" s="882"/>
      <c r="C109" s="882"/>
      <c r="D109" s="882"/>
      <c r="E109" s="883" t="s">
        <v>2737</v>
      </c>
      <c r="F109" s="883" t="s">
        <v>2738</v>
      </c>
      <c r="G109" s="883" t="s">
        <v>2469</v>
      </c>
      <c r="H109" s="883" t="s">
        <v>2063</v>
      </c>
      <c r="I109" s="883" t="s">
        <v>2538</v>
      </c>
      <c r="J109" s="885">
        <v>0</v>
      </c>
      <c r="K109" s="885">
        <v>0.304</v>
      </c>
      <c r="L109" s="886">
        <v>0.304</v>
      </c>
      <c r="M109" s="882"/>
    </row>
    <row r="110" spans="1:13" ht="12.75">
      <c r="A110" s="882"/>
      <c r="B110" s="882"/>
      <c r="C110" s="882"/>
      <c r="D110" s="882"/>
      <c r="E110" s="883" t="s">
        <v>2739</v>
      </c>
      <c r="F110" s="883" t="s">
        <v>2740</v>
      </c>
      <c r="G110" s="883" t="s">
        <v>2469</v>
      </c>
      <c r="H110" s="883" t="s">
        <v>2063</v>
      </c>
      <c r="I110" s="883" t="s">
        <v>2538</v>
      </c>
      <c r="J110" s="885">
        <v>0</v>
      </c>
      <c r="K110" s="885">
        <v>0.219</v>
      </c>
      <c r="L110" s="886">
        <v>0.218537</v>
      </c>
      <c r="M110" s="882"/>
    </row>
    <row r="111" spans="1:13" ht="12.75">
      <c r="A111" s="882"/>
      <c r="B111" s="882"/>
      <c r="C111" s="882"/>
      <c r="D111" s="882"/>
      <c r="E111" s="883" t="s">
        <v>2741</v>
      </c>
      <c r="F111" s="883" t="s">
        <v>2742</v>
      </c>
      <c r="G111" s="883" t="s">
        <v>2469</v>
      </c>
      <c r="H111" s="883" t="s">
        <v>2063</v>
      </c>
      <c r="I111" s="883" t="s">
        <v>2538</v>
      </c>
      <c r="J111" s="885">
        <v>0</v>
      </c>
      <c r="K111" s="885">
        <v>0.234</v>
      </c>
      <c r="L111" s="886">
        <v>0.234</v>
      </c>
      <c r="M111" s="882"/>
    </row>
    <row r="112" spans="1:13" ht="12.75">
      <c r="A112" s="882"/>
      <c r="B112" s="882"/>
      <c r="C112" s="882"/>
      <c r="D112" s="882"/>
      <c r="E112" s="883" t="s">
        <v>2743</v>
      </c>
      <c r="F112" s="883" t="s">
        <v>2744</v>
      </c>
      <c r="G112" s="883" t="s">
        <v>2469</v>
      </c>
      <c r="H112" s="883" t="s">
        <v>2063</v>
      </c>
      <c r="I112" s="883" t="s">
        <v>2538</v>
      </c>
      <c r="J112" s="885">
        <v>0</v>
      </c>
      <c r="K112" s="885">
        <v>0.8</v>
      </c>
      <c r="L112" s="886">
        <v>0</v>
      </c>
      <c r="M112" s="882"/>
    </row>
    <row r="113" spans="1:13" ht="12.75">
      <c r="A113" s="882"/>
      <c r="B113" s="882"/>
      <c r="C113" s="882"/>
      <c r="D113" s="882"/>
      <c r="E113" s="883" t="s">
        <v>2745</v>
      </c>
      <c r="F113" s="883" t="s">
        <v>2746</v>
      </c>
      <c r="G113" s="883" t="s">
        <v>2469</v>
      </c>
      <c r="H113" s="883" t="s">
        <v>2063</v>
      </c>
      <c r="I113" s="883" t="s">
        <v>2538</v>
      </c>
      <c r="J113" s="885">
        <v>0</v>
      </c>
      <c r="K113" s="885">
        <v>0.128</v>
      </c>
      <c r="L113" s="886">
        <v>0.128</v>
      </c>
      <c r="M113" s="882"/>
    </row>
    <row r="114" spans="1:13" ht="12.75">
      <c r="A114" s="882"/>
      <c r="B114" s="882"/>
      <c r="C114" s="882"/>
      <c r="D114" s="882"/>
      <c r="E114" s="883" t="s">
        <v>2747</v>
      </c>
      <c r="F114" s="883" t="s">
        <v>2748</v>
      </c>
      <c r="G114" s="883" t="s">
        <v>2469</v>
      </c>
      <c r="H114" s="883" t="s">
        <v>2063</v>
      </c>
      <c r="I114" s="883" t="s">
        <v>2538</v>
      </c>
      <c r="J114" s="885">
        <v>0</v>
      </c>
      <c r="K114" s="885">
        <v>0.049</v>
      </c>
      <c r="L114" s="886">
        <v>0.049</v>
      </c>
      <c r="M114" s="882"/>
    </row>
    <row r="115" spans="1:13" ht="12.75">
      <c r="A115" s="882"/>
      <c r="B115" s="882"/>
      <c r="C115" s="882"/>
      <c r="D115" s="882"/>
      <c r="E115" s="883" t="s">
        <v>2749</v>
      </c>
      <c r="F115" s="883" t="s">
        <v>2750</v>
      </c>
      <c r="G115" s="883" t="s">
        <v>2469</v>
      </c>
      <c r="H115" s="883" t="s">
        <v>2063</v>
      </c>
      <c r="I115" s="883" t="s">
        <v>2538</v>
      </c>
      <c r="J115" s="885">
        <v>0</v>
      </c>
      <c r="K115" s="885">
        <v>0.088</v>
      </c>
      <c r="L115" s="886">
        <v>0.088</v>
      </c>
      <c r="M115" s="882"/>
    </row>
    <row r="116" spans="1:13" ht="12.75">
      <c r="A116" s="882"/>
      <c r="B116" s="882"/>
      <c r="C116" s="882"/>
      <c r="D116" s="882"/>
      <c r="E116" s="883" t="s">
        <v>2751</v>
      </c>
      <c r="F116" s="883" t="s">
        <v>2631</v>
      </c>
      <c r="G116" s="883" t="s">
        <v>2469</v>
      </c>
      <c r="H116" s="883" t="s">
        <v>2063</v>
      </c>
      <c r="I116" s="883" t="s">
        <v>2538</v>
      </c>
      <c r="J116" s="885">
        <v>0</v>
      </c>
      <c r="K116" s="885">
        <v>1</v>
      </c>
      <c r="L116" s="886">
        <v>1</v>
      </c>
      <c r="M116" s="882"/>
    </row>
    <row r="117" spans="1:13" ht="12.75">
      <c r="A117" s="882"/>
      <c r="B117" s="882"/>
      <c r="C117" s="882"/>
      <c r="D117" s="882"/>
      <c r="E117" s="883" t="s">
        <v>2752</v>
      </c>
      <c r="F117" s="883" t="s">
        <v>2753</v>
      </c>
      <c r="G117" s="883" t="s">
        <v>2469</v>
      </c>
      <c r="H117" s="883" t="s">
        <v>2063</v>
      </c>
      <c r="I117" s="883" t="s">
        <v>2538</v>
      </c>
      <c r="J117" s="885">
        <v>0</v>
      </c>
      <c r="K117" s="885">
        <v>0.084</v>
      </c>
      <c r="L117" s="886">
        <v>0.084</v>
      </c>
      <c r="M117" s="882"/>
    </row>
    <row r="118" spans="1:13" ht="12.75">
      <c r="A118" s="882"/>
      <c r="B118" s="882"/>
      <c r="C118" s="882"/>
      <c r="D118" s="882"/>
      <c r="E118" s="883" t="s">
        <v>2754</v>
      </c>
      <c r="F118" s="883" t="s">
        <v>2755</v>
      </c>
      <c r="G118" s="883" t="s">
        <v>2469</v>
      </c>
      <c r="H118" s="883" t="s">
        <v>2063</v>
      </c>
      <c r="I118" s="883" t="s">
        <v>2538</v>
      </c>
      <c r="J118" s="885">
        <v>0</v>
      </c>
      <c r="K118" s="885">
        <v>0.208</v>
      </c>
      <c r="L118" s="886">
        <v>0.208</v>
      </c>
      <c r="M118" s="882"/>
    </row>
    <row r="119" spans="1:13" ht="12.75">
      <c r="A119" s="882"/>
      <c r="B119" s="882"/>
      <c r="C119" s="882"/>
      <c r="D119" s="882"/>
      <c r="E119" s="883" t="s">
        <v>2756</v>
      </c>
      <c r="F119" s="883" t="s">
        <v>2757</v>
      </c>
      <c r="G119" s="883" t="s">
        <v>2469</v>
      </c>
      <c r="H119" s="883" t="s">
        <v>2063</v>
      </c>
      <c r="I119" s="883" t="s">
        <v>2538</v>
      </c>
      <c r="J119" s="885">
        <v>0</v>
      </c>
      <c r="K119" s="885">
        <v>0.054</v>
      </c>
      <c r="L119" s="886">
        <v>0.054</v>
      </c>
      <c r="M119" s="882"/>
    </row>
    <row r="120" spans="1:13" ht="12.75">
      <c r="A120" s="882"/>
      <c r="B120" s="882"/>
      <c r="C120" s="882"/>
      <c r="D120" s="882"/>
      <c r="E120" s="883" t="s">
        <v>2758</v>
      </c>
      <c r="F120" s="883" t="s">
        <v>2759</v>
      </c>
      <c r="G120" s="883" t="s">
        <v>2469</v>
      </c>
      <c r="H120" s="883" t="s">
        <v>2063</v>
      </c>
      <c r="I120" s="883" t="s">
        <v>2538</v>
      </c>
      <c r="J120" s="885">
        <v>0</v>
      </c>
      <c r="K120" s="885">
        <v>0.198</v>
      </c>
      <c r="L120" s="886">
        <v>0.198</v>
      </c>
      <c r="M120" s="882"/>
    </row>
    <row r="121" spans="1:13" ht="12.75">
      <c r="A121" s="882"/>
      <c r="B121" s="882"/>
      <c r="C121" s="882"/>
      <c r="D121" s="882"/>
      <c r="E121" s="883" t="s">
        <v>2760</v>
      </c>
      <c r="F121" s="883" t="s">
        <v>2761</v>
      </c>
      <c r="G121" s="883" t="s">
        <v>2469</v>
      </c>
      <c r="H121" s="883" t="s">
        <v>2063</v>
      </c>
      <c r="I121" s="883" t="s">
        <v>2538</v>
      </c>
      <c r="J121" s="885">
        <v>0</v>
      </c>
      <c r="K121" s="885">
        <v>0.09</v>
      </c>
      <c r="L121" s="886">
        <v>0.09</v>
      </c>
      <c r="M121" s="882"/>
    </row>
    <row r="122" spans="1:13" ht="12.75">
      <c r="A122" s="882"/>
      <c r="B122" s="882"/>
      <c r="C122" s="882"/>
      <c r="D122" s="882"/>
      <c r="E122" s="883" t="s">
        <v>2762</v>
      </c>
      <c r="F122" s="883" t="s">
        <v>2673</v>
      </c>
      <c r="G122" s="883" t="s">
        <v>2469</v>
      </c>
      <c r="H122" s="883" t="s">
        <v>2063</v>
      </c>
      <c r="I122" s="883" t="s">
        <v>2538</v>
      </c>
      <c r="J122" s="885">
        <v>0</v>
      </c>
      <c r="K122" s="885">
        <v>0.468</v>
      </c>
      <c r="L122" s="886">
        <v>0.468</v>
      </c>
      <c r="M122" s="882"/>
    </row>
    <row r="123" spans="1:13" ht="12.75">
      <c r="A123" s="882"/>
      <c r="B123" s="882"/>
      <c r="C123" s="882"/>
      <c r="D123" s="882"/>
      <c r="E123" s="883" t="s">
        <v>2763</v>
      </c>
      <c r="F123" s="883" t="s">
        <v>2764</v>
      </c>
      <c r="G123" s="883" t="s">
        <v>2469</v>
      </c>
      <c r="H123" s="883" t="s">
        <v>2063</v>
      </c>
      <c r="I123" s="883" t="s">
        <v>2538</v>
      </c>
      <c r="J123" s="885">
        <v>0</v>
      </c>
      <c r="K123" s="885">
        <v>0.612</v>
      </c>
      <c r="L123" s="886">
        <v>0.612</v>
      </c>
      <c r="M123" s="882"/>
    </row>
    <row r="124" spans="1:13" ht="12.75">
      <c r="A124" s="882"/>
      <c r="B124" s="882"/>
      <c r="C124" s="882"/>
      <c r="D124" s="882"/>
      <c r="E124" s="883" t="s">
        <v>2765</v>
      </c>
      <c r="F124" s="883" t="s">
        <v>2766</v>
      </c>
      <c r="G124" s="883" t="s">
        <v>2469</v>
      </c>
      <c r="H124" s="883" t="s">
        <v>2063</v>
      </c>
      <c r="I124" s="883" t="s">
        <v>2538</v>
      </c>
      <c r="J124" s="885">
        <v>0</v>
      </c>
      <c r="K124" s="885">
        <v>0.365</v>
      </c>
      <c r="L124" s="886">
        <v>0.365</v>
      </c>
      <c r="M124" s="882"/>
    </row>
    <row r="125" spans="1:13" ht="12.75">
      <c r="A125" s="882"/>
      <c r="B125" s="882"/>
      <c r="C125" s="882"/>
      <c r="D125" s="882"/>
      <c r="E125" s="883" t="s">
        <v>2767</v>
      </c>
      <c r="F125" s="883" t="s">
        <v>2768</v>
      </c>
      <c r="G125" s="883" t="s">
        <v>2469</v>
      </c>
      <c r="H125" s="883" t="s">
        <v>2063</v>
      </c>
      <c r="I125" s="883" t="s">
        <v>2538</v>
      </c>
      <c r="J125" s="885">
        <v>0</v>
      </c>
      <c r="K125" s="885">
        <v>0.433</v>
      </c>
      <c r="L125" s="886">
        <v>0.433</v>
      </c>
      <c r="M125" s="882"/>
    </row>
    <row r="126" spans="1:13" ht="12.75">
      <c r="A126" s="882"/>
      <c r="B126" s="882"/>
      <c r="C126" s="882"/>
      <c r="D126" s="882"/>
      <c r="E126" s="883" t="s">
        <v>2769</v>
      </c>
      <c r="F126" s="883" t="s">
        <v>2770</v>
      </c>
      <c r="G126" s="883" t="s">
        <v>2469</v>
      </c>
      <c r="H126" s="883" t="s">
        <v>2063</v>
      </c>
      <c r="I126" s="883" t="s">
        <v>2538</v>
      </c>
      <c r="J126" s="885">
        <v>0</v>
      </c>
      <c r="K126" s="885">
        <v>0.316</v>
      </c>
      <c r="L126" s="886">
        <v>0.316</v>
      </c>
      <c r="M126" s="882"/>
    </row>
    <row r="127" spans="1:13" ht="12.75">
      <c r="A127" s="882"/>
      <c r="B127" s="882"/>
      <c r="C127" s="882"/>
      <c r="D127" s="882"/>
      <c r="E127" s="883" t="s">
        <v>2771</v>
      </c>
      <c r="F127" s="883" t="s">
        <v>2772</v>
      </c>
      <c r="G127" s="883" t="s">
        <v>2469</v>
      </c>
      <c r="H127" s="883" t="s">
        <v>2063</v>
      </c>
      <c r="I127" s="883" t="s">
        <v>2538</v>
      </c>
      <c r="J127" s="885">
        <v>0</v>
      </c>
      <c r="K127" s="885">
        <v>0.481</v>
      </c>
      <c r="L127" s="886">
        <v>0.481</v>
      </c>
      <c r="M127" s="882"/>
    </row>
    <row r="128" spans="1:13" ht="12.75">
      <c r="A128" s="882"/>
      <c r="B128" s="882"/>
      <c r="C128" s="882"/>
      <c r="D128" s="882"/>
      <c r="E128" s="883" t="s">
        <v>2773</v>
      </c>
      <c r="F128" s="883" t="s">
        <v>2774</v>
      </c>
      <c r="G128" s="883" t="s">
        <v>2469</v>
      </c>
      <c r="H128" s="883" t="s">
        <v>2063</v>
      </c>
      <c r="I128" s="883" t="s">
        <v>2538</v>
      </c>
      <c r="J128" s="885">
        <v>0</v>
      </c>
      <c r="K128" s="885">
        <v>0.119</v>
      </c>
      <c r="L128" s="886">
        <v>0.119</v>
      </c>
      <c r="M128" s="882"/>
    </row>
    <row r="129" spans="1:13" ht="12.75">
      <c r="A129" s="882"/>
      <c r="B129" s="882"/>
      <c r="C129" s="882"/>
      <c r="D129" s="882"/>
      <c r="E129" s="883" t="s">
        <v>2775</v>
      </c>
      <c r="F129" s="883" t="s">
        <v>2776</v>
      </c>
      <c r="G129" s="883" t="s">
        <v>2469</v>
      </c>
      <c r="H129" s="883" t="s">
        <v>2063</v>
      </c>
      <c r="I129" s="883" t="s">
        <v>2538</v>
      </c>
      <c r="J129" s="885">
        <v>0</v>
      </c>
      <c r="K129" s="885">
        <v>0.055</v>
      </c>
      <c r="L129" s="886">
        <v>0.055</v>
      </c>
      <c r="M129" s="882"/>
    </row>
    <row r="130" spans="1:13" ht="12.75">
      <c r="A130" s="882"/>
      <c r="B130" s="882"/>
      <c r="C130" s="882"/>
      <c r="D130" s="882"/>
      <c r="E130" s="883" t="s">
        <v>2777</v>
      </c>
      <c r="F130" s="883" t="s">
        <v>2778</v>
      </c>
      <c r="G130" s="883" t="s">
        <v>2469</v>
      </c>
      <c r="H130" s="883" t="s">
        <v>2063</v>
      </c>
      <c r="I130" s="883" t="s">
        <v>2538</v>
      </c>
      <c r="J130" s="885">
        <v>0</v>
      </c>
      <c r="K130" s="885">
        <v>0.145</v>
      </c>
      <c r="L130" s="886">
        <v>0.145</v>
      </c>
      <c r="M130" s="882"/>
    </row>
    <row r="131" spans="1:13" ht="12.75">
      <c r="A131" s="882"/>
      <c r="B131" s="882"/>
      <c r="C131" s="882"/>
      <c r="D131" s="882"/>
      <c r="E131" s="883" t="s">
        <v>2779</v>
      </c>
      <c r="F131" s="883" t="s">
        <v>2780</v>
      </c>
      <c r="G131" s="883" t="s">
        <v>2469</v>
      </c>
      <c r="H131" s="883" t="s">
        <v>2063</v>
      </c>
      <c r="I131" s="883" t="s">
        <v>2538</v>
      </c>
      <c r="J131" s="885">
        <v>0</v>
      </c>
      <c r="K131" s="885">
        <v>0.5</v>
      </c>
      <c r="L131" s="886">
        <v>0.5</v>
      </c>
      <c r="M131" s="882"/>
    </row>
    <row r="132" spans="1:13" ht="12.75">
      <c r="A132" s="882"/>
      <c r="B132" s="882"/>
      <c r="C132" s="882"/>
      <c r="D132" s="882"/>
      <c r="E132" s="883" t="s">
        <v>2781</v>
      </c>
      <c r="F132" s="883" t="s">
        <v>2647</v>
      </c>
      <c r="G132" s="883" t="s">
        <v>2469</v>
      </c>
      <c r="H132" s="883" t="s">
        <v>2063</v>
      </c>
      <c r="I132" s="883" t="s">
        <v>2538</v>
      </c>
      <c r="J132" s="885">
        <v>0</v>
      </c>
      <c r="K132" s="885">
        <v>0.34</v>
      </c>
      <c r="L132" s="886">
        <v>0.34</v>
      </c>
      <c r="M132" s="882"/>
    </row>
    <row r="133" spans="1:13" ht="12.75">
      <c r="A133" s="882"/>
      <c r="B133" s="882"/>
      <c r="C133" s="882"/>
      <c r="D133" s="882"/>
      <c r="E133" s="883" t="s">
        <v>2782</v>
      </c>
      <c r="F133" s="883" t="s">
        <v>2783</v>
      </c>
      <c r="G133" s="883" t="s">
        <v>2469</v>
      </c>
      <c r="H133" s="883" t="s">
        <v>2063</v>
      </c>
      <c r="I133" s="883" t="s">
        <v>2538</v>
      </c>
      <c r="J133" s="885">
        <v>0</v>
      </c>
      <c r="K133" s="885">
        <v>0.349</v>
      </c>
      <c r="L133" s="886">
        <v>0.349</v>
      </c>
      <c r="M133" s="882"/>
    </row>
    <row r="134" spans="1:13" ht="12.75">
      <c r="A134" s="882"/>
      <c r="B134" s="882"/>
      <c r="C134" s="882"/>
      <c r="D134" s="882"/>
      <c r="E134" s="883" t="s">
        <v>2784</v>
      </c>
      <c r="F134" s="883" t="s">
        <v>2785</v>
      </c>
      <c r="G134" s="883" t="s">
        <v>2469</v>
      </c>
      <c r="H134" s="883" t="s">
        <v>2063</v>
      </c>
      <c r="I134" s="883" t="s">
        <v>2538</v>
      </c>
      <c r="J134" s="885">
        <v>0</v>
      </c>
      <c r="K134" s="885">
        <v>0.85</v>
      </c>
      <c r="L134" s="886">
        <v>0.85</v>
      </c>
      <c r="M134" s="882"/>
    </row>
    <row r="135" spans="1:13" ht="12.75">
      <c r="A135" s="882"/>
      <c r="B135" s="882"/>
      <c r="C135" s="882"/>
      <c r="D135" s="882"/>
      <c r="E135" s="883" t="s">
        <v>2786</v>
      </c>
      <c r="F135" s="883" t="s">
        <v>2631</v>
      </c>
      <c r="G135" s="883" t="s">
        <v>2469</v>
      </c>
      <c r="H135" s="883" t="s">
        <v>2063</v>
      </c>
      <c r="I135" s="883" t="s">
        <v>2538</v>
      </c>
      <c r="J135" s="885">
        <v>0</v>
      </c>
      <c r="K135" s="885">
        <v>0.809</v>
      </c>
      <c r="L135" s="886">
        <v>0.809</v>
      </c>
      <c r="M135" s="882"/>
    </row>
    <row r="136" spans="1:13" ht="12.75">
      <c r="A136" s="882"/>
      <c r="B136" s="882"/>
      <c r="C136" s="882"/>
      <c r="D136" s="882"/>
      <c r="E136" s="883" t="s">
        <v>2787</v>
      </c>
      <c r="F136" s="883" t="s">
        <v>2647</v>
      </c>
      <c r="G136" s="883" t="s">
        <v>2469</v>
      </c>
      <c r="H136" s="883" t="s">
        <v>2063</v>
      </c>
      <c r="I136" s="883" t="s">
        <v>2538</v>
      </c>
      <c r="J136" s="885">
        <v>0</v>
      </c>
      <c r="K136" s="885">
        <v>0.327</v>
      </c>
      <c r="L136" s="886">
        <v>0.327</v>
      </c>
      <c r="M136" s="882"/>
    </row>
    <row r="137" spans="1:13" ht="12.75">
      <c r="A137" s="882"/>
      <c r="B137" s="882"/>
      <c r="C137" s="882"/>
      <c r="D137" s="882"/>
      <c r="E137" s="883" t="s">
        <v>2788</v>
      </c>
      <c r="F137" s="883" t="s">
        <v>2789</v>
      </c>
      <c r="G137" s="883" t="s">
        <v>2469</v>
      </c>
      <c r="H137" s="883" t="s">
        <v>2063</v>
      </c>
      <c r="I137" s="883" t="s">
        <v>2538</v>
      </c>
      <c r="J137" s="885">
        <v>0</v>
      </c>
      <c r="K137" s="885">
        <v>0.154</v>
      </c>
      <c r="L137" s="886">
        <v>0.154</v>
      </c>
      <c r="M137" s="882"/>
    </row>
    <row r="138" spans="1:13" ht="12.75">
      <c r="A138" s="882"/>
      <c r="B138" s="882"/>
      <c r="C138" s="882"/>
      <c r="D138" s="882"/>
      <c r="E138" s="883" t="s">
        <v>2790</v>
      </c>
      <c r="F138" s="883" t="s">
        <v>2791</v>
      </c>
      <c r="G138" s="883" t="s">
        <v>2469</v>
      </c>
      <c r="H138" s="883" t="s">
        <v>2063</v>
      </c>
      <c r="I138" s="883" t="s">
        <v>2538</v>
      </c>
      <c r="J138" s="885">
        <v>0</v>
      </c>
      <c r="K138" s="885">
        <v>0.35</v>
      </c>
      <c r="L138" s="886">
        <v>0.35</v>
      </c>
      <c r="M138" s="882"/>
    </row>
    <row r="139" spans="1:13" ht="12.75">
      <c r="A139" s="882"/>
      <c r="B139" s="882"/>
      <c r="C139" s="882"/>
      <c r="D139" s="882"/>
      <c r="E139" s="883" t="s">
        <v>2792</v>
      </c>
      <c r="F139" s="883" t="s">
        <v>2793</v>
      </c>
      <c r="G139" s="883" t="s">
        <v>2469</v>
      </c>
      <c r="H139" s="883" t="s">
        <v>2063</v>
      </c>
      <c r="I139" s="883" t="s">
        <v>2538</v>
      </c>
      <c r="J139" s="885">
        <v>0</v>
      </c>
      <c r="K139" s="885">
        <v>0.35</v>
      </c>
      <c r="L139" s="886">
        <v>0.35</v>
      </c>
      <c r="M139" s="882"/>
    </row>
    <row r="140" spans="1:13" ht="12.75">
      <c r="A140" s="882"/>
      <c r="B140" s="882"/>
      <c r="C140" s="882"/>
      <c r="D140" s="882"/>
      <c r="E140" s="883" t="s">
        <v>2794</v>
      </c>
      <c r="F140" s="883" t="s">
        <v>2795</v>
      </c>
      <c r="G140" s="883" t="s">
        <v>2469</v>
      </c>
      <c r="H140" s="883" t="s">
        <v>2063</v>
      </c>
      <c r="I140" s="883" t="s">
        <v>2538</v>
      </c>
      <c r="J140" s="885">
        <v>0</v>
      </c>
      <c r="K140" s="885">
        <v>0.22</v>
      </c>
      <c r="L140" s="886">
        <v>0.22</v>
      </c>
      <c r="M140" s="882"/>
    </row>
    <row r="141" spans="1:13" ht="12.75">
      <c r="A141" s="882"/>
      <c r="B141" s="882"/>
      <c r="C141" s="882"/>
      <c r="D141" s="882"/>
      <c r="E141" s="883" t="s">
        <v>2796</v>
      </c>
      <c r="F141" s="883" t="s">
        <v>2797</v>
      </c>
      <c r="G141" s="883" t="s">
        <v>2469</v>
      </c>
      <c r="H141" s="883" t="s">
        <v>2063</v>
      </c>
      <c r="I141" s="883" t="s">
        <v>2538</v>
      </c>
      <c r="J141" s="885">
        <v>0</v>
      </c>
      <c r="K141" s="885">
        <v>0.232</v>
      </c>
      <c r="L141" s="886">
        <v>0.232</v>
      </c>
      <c r="M141" s="882"/>
    </row>
    <row r="142" spans="1:13" ht="12.75">
      <c r="A142" s="882"/>
      <c r="B142" s="882"/>
      <c r="C142" s="882"/>
      <c r="D142" s="882"/>
      <c r="E142" s="883" t="s">
        <v>2798</v>
      </c>
      <c r="F142" s="883" t="s">
        <v>2799</v>
      </c>
      <c r="G142" s="883" t="s">
        <v>2469</v>
      </c>
      <c r="H142" s="883" t="s">
        <v>2063</v>
      </c>
      <c r="I142" s="883" t="s">
        <v>2538</v>
      </c>
      <c r="J142" s="885">
        <v>0</v>
      </c>
      <c r="K142" s="885">
        <v>0.373</v>
      </c>
      <c r="L142" s="886">
        <v>0.373</v>
      </c>
      <c r="M142" s="882"/>
    </row>
    <row r="143" spans="1:13" ht="12.75">
      <c r="A143" s="882"/>
      <c r="B143" s="882"/>
      <c r="C143" s="882"/>
      <c r="D143" s="882"/>
      <c r="E143" s="883" t="s">
        <v>2800</v>
      </c>
      <c r="F143" s="883" t="s">
        <v>2801</v>
      </c>
      <c r="G143" s="883" t="s">
        <v>2469</v>
      </c>
      <c r="H143" s="883" t="s">
        <v>2063</v>
      </c>
      <c r="I143" s="883" t="s">
        <v>2538</v>
      </c>
      <c r="J143" s="885">
        <v>0</v>
      </c>
      <c r="K143" s="885">
        <v>0.341</v>
      </c>
      <c r="L143" s="886">
        <v>0.341</v>
      </c>
      <c r="M143" s="882"/>
    </row>
    <row r="144" spans="1:13" ht="12.75">
      <c r="A144" s="882"/>
      <c r="B144" s="882"/>
      <c r="C144" s="882"/>
      <c r="D144" s="882"/>
      <c r="E144" s="883" t="s">
        <v>2802</v>
      </c>
      <c r="F144" s="883" t="s">
        <v>2803</v>
      </c>
      <c r="G144" s="883" t="s">
        <v>2469</v>
      </c>
      <c r="H144" s="883" t="s">
        <v>2063</v>
      </c>
      <c r="I144" s="883" t="s">
        <v>2538</v>
      </c>
      <c r="J144" s="885">
        <v>0</v>
      </c>
      <c r="K144" s="885">
        <v>0.328</v>
      </c>
      <c r="L144" s="886">
        <v>0</v>
      </c>
      <c r="M144" s="882"/>
    </row>
    <row r="145" spans="1:13" ht="12.75">
      <c r="A145" s="882"/>
      <c r="B145" s="882"/>
      <c r="C145" s="882"/>
      <c r="D145" s="882"/>
      <c r="E145" s="883" t="s">
        <v>2804</v>
      </c>
      <c r="F145" s="883" t="s">
        <v>2805</v>
      </c>
      <c r="G145" s="883" t="s">
        <v>2469</v>
      </c>
      <c r="H145" s="883" t="s">
        <v>2063</v>
      </c>
      <c r="I145" s="883" t="s">
        <v>2538</v>
      </c>
      <c r="J145" s="885">
        <v>0</v>
      </c>
      <c r="K145" s="885">
        <v>0.576</v>
      </c>
      <c r="L145" s="886">
        <v>0.576</v>
      </c>
      <c r="M145" s="882"/>
    </row>
    <row r="146" spans="1:13" ht="12.75">
      <c r="A146" s="882"/>
      <c r="B146" s="882"/>
      <c r="C146" s="882"/>
      <c r="D146" s="882"/>
      <c r="E146" s="883" t="s">
        <v>2806</v>
      </c>
      <c r="F146" s="883" t="s">
        <v>2807</v>
      </c>
      <c r="G146" s="883" t="s">
        <v>2469</v>
      </c>
      <c r="H146" s="883" t="s">
        <v>2063</v>
      </c>
      <c r="I146" s="883" t="s">
        <v>2538</v>
      </c>
      <c r="J146" s="885">
        <v>0</v>
      </c>
      <c r="K146" s="885">
        <v>0.26</v>
      </c>
      <c r="L146" s="886">
        <v>0.26</v>
      </c>
      <c r="M146" s="882"/>
    </row>
    <row r="147" spans="1:13" ht="12.75">
      <c r="A147" s="882"/>
      <c r="B147" s="882"/>
      <c r="C147" s="882"/>
      <c r="D147" s="882"/>
      <c r="E147" s="883" t="s">
        <v>2808</v>
      </c>
      <c r="F147" s="883" t="s">
        <v>2809</v>
      </c>
      <c r="G147" s="883" t="s">
        <v>2469</v>
      </c>
      <c r="H147" s="883" t="s">
        <v>2063</v>
      </c>
      <c r="I147" s="883" t="s">
        <v>2538</v>
      </c>
      <c r="J147" s="885">
        <v>0</v>
      </c>
      <c r="K147" s="885">
        <v>0.291</v>
      </c>
      <c r="L147" s="886">
        <v>0.291</v>
      </c>
      <c r="M147" s="882"/>
    </row>
    <row r="148" spans="1:13" ht="12.75">
      <c r="A148" s="882"/>
      <c r="B148" s="882"/>
      <c r="C148" s="882"/>
      <c r="D148" s="882"/>
      <c r="E148" s="883" t="s">
        <v>2810</v>
      </c>
      <c r="F148" s="883" t="s">
        <v>2811</v>
      </c>
      <c r="G148" s="883" t="s">
        <v>2469</v>
      </c>
      <c r="H148" s="883" t="s">
        <v>2063</v>
      </c>
      <c r="I148" s="883" t="s">
        <v>2538</v>
      </c>
      <c r="J148" s="885">
        <v>0</v>
      </c>
      <c r="K148" s="885">
        <v>0.218</v>
      </c>
      <c r="L148" s="886">
        <v>0.218</v>
      </c>
      <c r="M148" s="882"/>
    </row>
    <row r="149" spans="1:13" ht="12.75">
      <c r="A149" s="882"/>
      <c r="B149" s="882"/>
      <c r="C149" s="882"/>
      <c r="D149" s="882"/>
      <c r="E149" s="883" t="s">
        <v>2812</v>
      </c>
      <c r="F149" s="883" t="s">
        <v>2813</v>
      </c>
      <c r="G149" s="883" t="s">
        <v>2469</v>
      </c>
      <c r="H149" s="883" t="s">
        <v>2063</v>
      </c>
      <c r="I149" s="883" t="s">
        <v>2538</v>
      </c>
      <c r="J149" s="885">
        <v>0</v>
      </c>
      <c r="K149" s="885">
        <v>0.244</v>
      </c>
      <c r="L149" s="886">
        <v>0.244</v>
      </c>
      <c r="M149" s="882"/>
    </row>
    <row r="150" spans="1:13" ht="12.75">
      <c r="A150" s="882"/>
      <c r="B150" s="882"/>
      <c r="C150" s="882"/>
      <c r="D150" s="882"/>
      <c r="E150" s="883" t="s">
        <v>2814</v>
      </c>
      <c r="F150" s="883" t="s">
        <v>2815</v>
      </c>
      <c r="G150" s="883" t="s">
        <v>2469</v>
      </c>
      <c r="H150" s="883" t="s">
        <v>2063</v>
      </c>
      <c r="I150" s="883" t="s">
        <v>2538</v>
      </c>
      <c r="J150" s="885">
        <v>0</v>
      </c>
      <c r="K150" s="885">
        <v>0.428</v>
      </c>
      <c r="L150" s="886">
        <v>0.428</v>
      </c>
      <c r="M150" s="882"/>
    </row>
    <row r="151" spans="1:13" ht="12.75">
      <c r="A151" s="882"/>
      <c r="B151" s="882"/>
      <c r="C151" s="882"/>
      <c r="D151" s="882"/>
      <c r="E151" s="883" t="s">
        <v>2816</v>
      </c>
      <c r="F151" s="883" t="s">
        <v>2817</v>
      </c>
      <c r="G151" s="883" t="s">
        <v>2469</v>
      </c>
      <c r="H151" s="883" t="s">
        <v>2063</v>
      </c>
      <c r="I151" s="883" t="s">
        <v>2538</v>
      </c>
      <c r="J151" s="885">
        <v>0</v>
      </c>
      <c r="K151" s="885">
        <v>0.157</v>
      </c>
      <c r="L151" s="886">
        <v>0.157</v>
      </c>
      <c r="M151" s="882"/>
    </row>
    <row r="152" spans="1:13" ht="12.75">
      <c r="A152" s="882"/>
      <c r="B152" s="882"/>
      <c r="C152" s="882"/>
      <c r="D152" s="882"/>
      <c r="E152" s="883" t="s">
        <v>2818</v>
      </c>
      <c r="F152" s="883" t="s">
        <v>2819</v>
      </c>
      <c r="G152" s="883" t="s">
        <v>2469</v>
      </c>
      <c r="H152" s="883" t="s">
        <v>2063</v>
      </c>
      <c r="I152" s="883" t="s">
        <v>2538</v>
      </c>
      <c r="J152" s="885">
        <v>0</v>
      </c>
      <c r="K152" s="885">
        <v>0.355</v>
      </c>
      <c r="L152" s="886">
        <v>0.01157964</v>
      </c>
      <c r="M152" s="882"/>
    </row>
    <row r="153" spans="1:13" ht="12.75">
      <c r="A153" s="882"/>
      <c r="B153" s="882"/>
      <c r="C153" s="882"/>
      <c r="D153" s="882"/>
      <c r="E153" s="883" t="s">
        <v>2820</v>
      </c>
      <c r="F153" s="883" t="s">
        <v>2647</v>
      </c>
      <c r="G153" s="883" t="s">
        <v>2469</v>
      </c>
      <c r="H153" s="883" t="s">
        <v>2063</v>
      </c>
      <c r="I153" s="883" t="s">
        <v>2538</v>
      </c>
      <c r="J153" s="885">
        <v>0</v>
      </c>
      <c r="K153" s="885">
        <v>0.5</v>
      </c>
      <c r="L153" s="886">
        <v>0.5</v>
      </c>
      <c r="M153" s="882"/>
    </row>
    <row r="154" spans="1:13" ht="12.75">
      <c r="A154" s="882"/>
      <c r="B154" s="882"/>
      <c r="C154" s="882"/>
      <c r="D154" s="882"/>
      <c r="E154" s="883" t="s">
        <v>2821</v>
      </c>
      <c r="F154" s="883" t="s">
        <v>2822</v>
      </c>
      <c r="G154" s="883" t="s">
        <v>2469</v>
      </c>
      <c r="H154" s="883" t="s">
        <v>2063</v>
      </c>
      <c r="I154" s="883" t="s">
        <v>2538</v>
      </c>
      <c r="J154" s="885">
        <v>0</v>
      </c>
      <c r="K154" s="885">
        <v>0.105</v>
      </c>
      <c r="L154" s="886">
        <v>0.105</v>
      </c>
      <c r="M154" s="882"/>
    </row>
    <row r="155" spans="1:13" ht="12.75">
      <c r="A155" s="882"/>
      <c r="B155" s="882"/>
      <c r="C155" s="882"/>
      <c r="D155" s="882"/>
      <c r="E155" s="883" t="s">
        <v>2823</v>
      </c>
      <c r="F155" s="883" t="s">
        <v>2631</v>
      </c>
      <c r="G155" s="883" t="s">
        <v>2469</v>
      </c>
      <c r="H155" s="883" t="s">
        <v>2063</v>
      </c>
      <c r="I155" s="883" t="s">
        <v>2538</v>
      </c>
      <c r="J155" s="885">
        <v>0</v>
      </c>
      <c r="K155" s="885">
        <v>0.85</v>
      </c>
      <c r="L155" s="886">
        <v>0.85</v>
      </c>
      <c r="M155" s="882"/>
    </row>
    <row r="156" spans="1:13" ht="12.75">
      <c r="A156" s="882"/>
      <c r="B156" s="882"/>
      <c r="C156" s="882"/>
      <c r="D156" s="882"/>
      <c r="E156" s="883" t="s">
        <v>2824</v>
      </c>
      <c r="F156" s="883" t="s">
        <v>2825</v>
      </c>
      <c r="G156" s="883" t="s">
        <v>2469</v>
      </c>
      <c r="H156" s="883" t="s">
        <v>2063</v>
      </c>
      <c r="I156" s="883" t="s">
        <v>2538</v>
      </c>
      <c r="J156" s="885">
        <v>0</v>
      </c>
      <c r="K156" s="885">
        <v>0.454</v>
      </c>
      <c r="L156" s="886">
        <v>0.454</v>
      </c>
      <c r="M156" s="882"/>
    </row>
    <row r="157" spans="1:13" ht="12.75">
      <c r="A157" s="882"/>
      <c r="B157" s="882"/>
      <c r="C157" s="882"/>
      <c r="D157" s="882"/>
      <c r="E157" s="883" t="s">
        <v>2826</v>
      </c>
      <c r="F157" s="883" t="s">
        <v>2827</v>
      </c>
      <c r="G157" s="883" t="s">
        <v>2469</v>
      </c>
      <c r="H157" s="883" t="s">
        <v>2063</v>
      </c>
      <c r="I157" s="883" t="s">
        <v>2538</v>
      </c>
      <c r="J157" s="885">
        <v>0</v>
      </c>
      <c r="K157" s="885">
        <v>0.01</v>
      </c>
      <c r="L157" s="886">
        <v>0.01</v>
      </c>
      <c r="M157" s="882"/>
    </row>
    <row r="158" spans="1:13" ht="12.75">
      <c r="A158" s="882"/>
      <c r="B158" s="882"/>
      <c r="C158" s="882"/>
      <c r="D158" s="882"/>
      <c r="E158" s="883" t="s">
        <v>2828</v>
      </c>
      <c r="F158" s="883" t="s">
        <v>2829</v>
      </c>
      <c r="G158" s="883" t="s">
        <v>2469</v>
      </c>
      <c r="H158" s="883" t="s">
        <v>2063</v>
      </c>
      <c r="I158" s="883" t="s">
        <v>2538</v>
      </c>
      <c r="J158" s="885">
        <v>0</v>
      </c>
      <c r="K158" s="885">
        <v>0.2</v>
      </c>
      <c r="L158" s="886">
        <v>0.2</v>
      </c>
      <c r="M158" s="882"/>
    </row>
    <row r="159" spans="1:13" ht="12.75">
      <c r="A159" s="882"/>
      <c r="B159" s="882"/>
      <c r="C159" s="882"/>
      <c r="D159" s="882"/>
      <c r="E159" s="883" t="s">
        <v>2830</v>
      </c>
      <c r="F159" s="883" t="s">
        <v>2831</v>
      </c>
      <c r="G159" s="883" t="s">
        <v>2469</v>
      </c>
      <c r="H159" s="883" t="s">
        <v>2063</v>
      </c>
      <c r="I159" s="883" t="s">
        <v>2538</v>
      </c>
      <c r="J159" s="885">
        <v>0</v>
      </c>
      <c r="K159" s="885">
        <v>0.45</v>
      </c>
      <c r="L159" s="886">
        <v>0.45</v>
      </c>
      <c r="M159" s="882"/>
    </row>
    <row r="160" spans="1:13" ht="12.75">
      <c r="A160" s="882"/>
      <c r="B160" s="882"/>
      <c r="C160" s="882"/>
      <c r="D160" s="882"/>
      <c r="E160" s="883" t="s">
        <v>2832</v>
      </c>
      <c r="F160" s="883" t="s">
        <v>2833</v>
      </c>
      <c r="G160" s="883" t="s">
        <v>2469</v>
      </c>
      <c r="H160" s="883" t="s">
        <v>2063</v>
      </c>
      <c r="I160" s="883" t="s">
        <v>2538</v>
      </c>
      <c r="J160" s="885">
        <v>0</v>
      </c>
      <c r="K160" s="885">
        <v>0.354</v>
      </c>
      <c r="L160" s="886">
        <v>0.35316</v>
      </c>
      <c r="M160" s="882"/>
    </row>
    <row r="161" spans="1:13" ht="13.5" thickBot="1">
      <c r="A161" s="882"/>
      <c r="B161" s="882"/>
      <c r="C161" s="882"/>
      <c r="D161" s="882"/>
      <c r="E161" s="883" t="s">
        <v>2834</v>
      </c>
      <c r="F161" s="883" t="s">
        <v>2835</v>
      </c>
      <c r="G161" s="883" t="s">
        <v>2469</v>
      </c>
      <c r="H161" s="883" t="s">
        <v>2543</v>
      </c>
      <c r="I161" s="883" t="s">
        <v>2538</v>
      </c>
      <c r="J161" s="884">
        <v>25</v>
      </c>
      <c r="K161" s="885">
        <v>2.07</v>
      </c>
      <c r="L161" s="886">
        <v>0</v>
      </c>
      <c r="M161" s="882"/>
    </row>
    <row r="162" spans="1:13" ht="13.5" thickBot="1">
      <c r="A162" s="882"/>
      <c r="B162" s="882"/>
      <c r="C162" s="882"/>
      <c r="D162" s="882"/>
      <c r="E162" s="1043" t="s">
        <v>2836</v>
      </c>
      <c r="F162" s="1044"/>
      <c r="G162" s="1044"/>
      <c r="H162" s="1044"/>
      <c r="I162" s="1044"/>
      <c r="J162" s="890">
        <f>SUM(J52:J161)</f>
        <v>25</v>
      </c>
      <c r="K162" s="890">
        <f>SUM(K52:K161)</f>
        <v>39.172</v>
      </c>
      <c r="L162" s="891">
        <f>SUM(L52:L161)</f>
        <v>35.57523764000001</v>
      </c>
      <c r="M162" s="882"/>
    </row>
    <row r="163" spans="1:13" ht="12.75">
      <c r="A163" s="882"/>
      <c r="B163" s="882"/>
      <c r="C163" s="882"/>
      <c r="D163" s="882"/>
      <c r="E163" s="883" t="s">
        <v>2837</v>
      </c>
      <c r="F163" s="883" t="s">
        <v>2838</v>
      </c>
      <c r="G163" s="883" t="s">
        <v>2090</v>
      </c>
      <c r="H163" s="883" t="s">
        <v>2063</v>
      </c>
      <c r="I163" s="883" t="s">
        <v>2627</v>
      </c>
      <c r="J163" s="885">
        <v>0</v>
      </c>
      <c r="K163" s="885">
        <v>0</v>
      </c>
      <c r="L163" s="886">
        <v>2.13486</v>
      </c>
      <c r="M163" s="882"/>
    </row>
    <row r="164" spans="1:13" ht="12.75">
      <c r="A164" s="882"/>
      <c r="B164" s="882"/>
      <c r="C164" s="882"/>
      <c r="D164" s="882"/>
      <c r="E164" s="883" t="s">
        <v>2839</v>
      </c>
      <c r="F164" s="883" t="s">
        <v>2840</v>
      </c>
      <c r="G164" s="883" t="s">
        <v>2469</v>
      </c>
      <c r="H164" s="883" t="s">
        <v>2543</v>
      </c>
      <c r="I164" s="883" t="s">
        <v>2841</v>
      </c>
      <c r="J164" s="884">
        <v>1.295</v>
      </c>
      <c r="K164" s="885">
        <v>0</v>
      </c>
      <c r="L164" s="886">
        <v>0</v>
      </c>
      <c r="M164" s="882"/>
    </row>
    <row r="165" spans="1:13" ht="12.75">
      <c r="A165" s="882"/>
      <c r="B165" s="882"/>
      <c r="C165" s="882"/>
      <c r="D165" s="882"/>
      <c r="E165" s="883" t="s">
        <v>2839</v>
      </c>
      <c r="F165" s="883" t="s">
        <v>2840</v>
      </c>
      <c r="G165" s="883" t="s">
        <v>2469</v>
      </c>
      <c r="H165" s="883" t="s">
        <v>2543</v>
      </c>
      <c r="I165" s="883" t="s">
        <v>2564</v>
      </c>
      <c r="J165" s="884">
        <v>21.556</v>
      </c>
      <c r="K165" s="885">
        <v>0</v>
      </c>
      <c r="L165" s="886">
        <v>0</v>
      </c>
      <c r="M165" s="882"/>
    </row>
    <row r="166" spans="1:13" ht="12.75">
      <c r="A166" s="882"/>
      <c r="B166" s="882"/>
      <c r="C166" s="882"/>
      <c r="D166" s="882"/>
      <c r="E166" s="883" t="s">
        <v>2839</v>
      </c>
      <c r="F166" s="883" t="s">
        <v>2840</v>
      </c>
      <c r="G166" s="883" t="s">
        <v>2469</v>
      </c>
      <c r="H166" s="883" t="s">
        <v>2543</v>
      </c>
      <c r="I166" s="883" t="s">
        <v>2842</v>
      </c>
      <c r="J166" s="884">
        <v>7.337</v>
      </c>
      <c r="K166" s="885">
        <v>0</v>
      </c>
      <c r="L166" s="886">
        <v>0</v>
      </c>
      <c r="M166" s="882"/>
    </row>
    <row r="167" spans="1:13" ht="12.75">
      <c r="A167" s="882"/>
      <c r="B167" s="882"/>
      <c r="C167" s="882"/>
      <c r="D167" s="882"/>
      <c r="E167" s="883" t="s">
        <v>2839</v>
      </c>
      <c r="F167" s="883" t="s">
        <v>2840</v>
      </c>
      <c r="G167" s="883" t="s">
        <v>2469</v>
      </c>
      <c r="H167" s="883" t="s">
        <v>2543</v>
      </c>
      <c r="I167" s="883" t="s">
        <v>2538</v>
      </c>
      <c r="J167" s="884">
        <v>4.724</v>
      </c>
      <c r="K167" s="885">
        <v>0</v>
      </c>
      <c r="L167" s="886">
        <v>0</v>
      </c>
      <c r="M167" s="882"/>
    </row>
    <row r="168" spans="1:13" ht="12.75">
      <c r="A168" s="882"/>
      <c r="B168" s="882"/>
      <c r="C168" s="882"/>
      <c r="D168" s="882"/>
      <c r="E168" s="883" t="s">
        <v>2843</v>
      </c>
      <c r="F168" s="883" t="s">
        <v>2844</v>
      </c>
      <c r="G168" s="883" t="s">
        <v>2469</v>
      </c>
      <c r="H168" s="883" t="s">
        <v>2543</v>
      </c>
      <c r="I168" s="883" t="s">
        <v>2538</v>
      </c>
      <c r="J168" s="884">
        <v>17.25</v>
      </c>
      <c r="K168" s="885">
        <v>0</v>
      </c>
      <c r="L168" s="886">
        <v>0</v>
      </c>
      <c r="M168" s="882"/>
    </row>
    <row r="169" spans="1:13" ht="12.75">
      <c r="A169" s="882"/>
      <c r="B169" s="882"/>
      <c r="C169" s="882"/>
      <c r="D169" s="882"/>
      <c r="E169" s="883" t="s">
        <v>2845</v>
      </c>
      <c r="F169" s="883" t="s">
        <v>2846</v>
      </c>
      <c r="G169" s="883" t="s">
        <v>2469</v>
      </c>
      <c r="H169" s="883" t="s">
        <v>2543</v>
      </c>
      <c r="I169" s="883" t="s">
        <v>2538</v>
      </c>
      <c r="J169" s="884">
        <v>18</v>
      </c>
      <c r="K169" s="885">
        <v>0</v>
      </c>
      <c r="L169" s="886">
        <v>0</v>
      </c>
      <c r="M169" s="882"/>
    </row>
    <row r="170" spans="1:13" ht="12.75">
      <c r="A170" s="882"/>
      <c r="B170" s="882"/>
      <c r="C170" s="882"/>
      <c r="D170" s="882"/>
      <c r="E170" s="883" t="s">
        <v>2847</v>
      </c>
      <c r="F170" s="883" t="s">
        <v>2848</v>
      </c>
      <c r="G170" s="883" t="s">
        <v>2469</v>
      </c>
      <c r="H170" s="883" t="s">
        <v>2543</v>
      </c>
      <c r="I170" s="883" t="s">
        <v>2564</v>
      </c>
      <c r="J170" s="884">
        <v>15</v>
      </c>
      <c r="K170" s="885">
        <v>0</v>
      </c>
      <c r="L170" s="886">
        <v>0</v>
      </c>
      <c r="M170" s="882"/>
    </row>
    <row r="171" spans="1:13" ht="12.75">
      <c r="A171" s="882"/>
      <c r="B171" s="882"/>
      <c r="C171" s="882"/>
      <c r="D171" s="882"/>
      <c r="E171" s="883" t="s">
        <v>2847</v>
      </c>
      <c r="F171" s="883" t="s">
        <v>2848</v>
      </c>
      <c r="G171" s="883" t="s">
        <v>2469</v>
      </c>
      <c r="H171" s="883" t="s">
        <v>2543</v>
      </c>
      <c r="I171" s="883" t="s">
        <v>2538</v>
      </c>
      <c r="J171" s="884">
        <v>6</v>
      </c>
      <c r="K171" s="885">
        <v>0</v>
      </c>
      <c r="L171" s="886">
        <v>0</v>
      </c>
      <c r="M171" s="882"/>
    </row>
    <row r="172" spans="1:13" ht="12.75">
      <c r="A172" s="882"/>
      <c r="B172" s="882"/>
      <c r="C172" s="882"/>
      <c r="D172" s="882"/>
      <c r="E172" s="883" t="s">
        <v>2849</v>
      </c>
      <c r="F172" s="883" t="s">
        <v>2850</v>
      </c>
      <c r="G172" s="883" t="s">
        <v>2469</v>
      </c>
      <c r="H172" s="883" t="s">
        <v>2543</v>
      </c>
      <c r="I172" s="883" t="s">
        <v>2564</v>
      </c>
      <c r="J172" s="884">
        <v>20</v>
      </c>
      <c r="K172" s="885">
        <v>0</v>
      </c>
      <c r="L172" s="886">
        <v>0</v>
      </c>
      <c r="M172" s="882"/>
    </row>
    <row r="173" spans="1:13" ht="12.75">
      <c r="A173" s="882"/>
      <c r="B173" s="882"/>
      <c r="C173" s="882"/>
      <c r="D173" s="882"/>
      <c r="E173" s="883" t="s">
        <v>2849</v>
      </c>
      <c r="F173" s="883" t="s">
        <v>2850</v>
      </c>
      <c r="G173" s="883" t="s">
        <v>2469</v>
      </c>
      <c r="H173" s="883" t="s">
        <v>2543</v>
      </c>
      <c r="I173" s="883" t="s">
        <v>2538</v>
      </c>
      <c r="J173" s="884">
        <v>17.565</v>
      </c>
      <c r="K173" s="885">
        <v>0</v>
      </c>
      <c r="L173" s="886">
        <v>0</v>
      </c>
      <c r="M173" s="882"/>
    </row>
    <row r="174" spans="1:13" ht="12.75">
      <c r="A174" s="882"/>
      <c r="B174" s="882"/>
      <c r="C174" s="882"/>
      <c r="D174" s="882"/>
      <c r="E174" s="883" t="s">
        <v>2851</v>
      </c>
      <c r="F174" s="883" t="s">
        <v>2852</v>
      </c>
      <c r="G174" s="883" t="s">
        <v>2469</v>
      </c>
      <c r="H174" s="883" t="s">
        <v>2543</v>
      </c>
      <c r="I174" s="883" t="s">
        <v>2538</v>
      </c>
      <c r="J174" s="884">
        <v>0.804</v>
      </c>
      <c r="K174" s="885">
        <v>0</v>
      </c>
      <c r="L174" s="886">
        <v>0</v>
      </c>
      <c r="M174" s="882"/>
    </row>
    <row r="175" spans="1:13" ht="12.75">
      <c r="A175" s="882"/>
      <c r="B175" s="882"/>
      <c r="C175" s="882"/>
      <c r="D175" s="882"/>
      <c r="E175" s="883" t="s">
        <v>2851</v>
      </c>
      <c r="F175" s="883" t="s">
        <v>2852</v>
      </c>
      <c r="G175" s="883" t="s">
        <v>2469</v>
      </c>
      <c r="H175" s="883" t="s">
        <v>2543</v>
      </c>
      <c r="I175" s="883" t="s">
        <v>2564</v>
      </c>
      <c r="J175" s="884">
        <v>1</v>
      </c>
      <c r="K175" s="885">
        <v>0</v>
      </c>
      <c r="L175" s="886">
        <v>0</v>
      </c>
      <c r="M175" s="882"/>
    </row>
    <row r="176" spans="1:13" ht="12.75">
      <c r="A176" s="882"/>
      <c r="B176" s="882"/>
      <c r="C176" s="882"/>
      <c r="D176" s="882"/>
      <c r="E176" s="883" t="s">
        <v>2853</v>
      </c>
      <c r="F176" s="883" t="s">
        <v>2854</v>
      </c>
      <c r="G176" s="883" t="s">
        <v>2469</v>
      </c>
      <c r="H176" s="883" t="s">
        <v>2543</v>
      </c>
      <c r="I176" s="883" t="s">
        <v>2564</v>
      </c>
      <c r="J176" s="884">
        <v>6</v>
      </c>
      <c r="K176" s="885">
        <v>0</v>
      </c>
      <c r="L176" s="886">
        <v>0</v>
      </c>
      <c r="M176" s="882"/>
    </row>
    <row r="177" spans="1:13" ht="12.75">
      <c r="A177" s="882"/>
      <c r="B177" s="882"/>
      <c r="C177" s="882"/>
      <c r="D177" s="882"/>
      <c r="E177" s="883" t="s">
        <v>2853</v>
      </c>
      <c r="F177" s="883" t="s">
        <v>2854</v>
      </c>
      <c r="G177" s="883" t="s">
        <v>2469</v>
      </c>
      <c r="H177" s="883" t="s">
        <v>2543</v>
      </c>
      <c r="I177" s="883" t="s">
        <v>2538</v>
      </c>
      <c r="J177" s="884">
        <v>4.2</v>
      </c>
      <c r="K177" s="885">
        <v>0</v>
      </c>
      <c r="L177" s="886">
        <v>0</v>
      </c>
      <c r="M177" s="882"/>
    </row>
    <row r="178" spans="1:13" ht="12.75">
      <c r="A178" s="882"/>
      <c r="B178" s="882"/>
      <c r="C178" s="882"/>
      <c r="D178" s="882"/>
      <c r="E178" s="883" t="s">
        <v>2855</v>
      </c>
      <c r="F178" s="883" t="s">
        <v>2856</v>
      </c>
      <c r="G178" s="883" t="s">
        <v>2469</v>
      </c>
      <c r="H178" s="883" t="s">
        <v>2543</v>
      </c>
      <c r="I178" s="883" t="s">
        <v>2564</v>
      </c>
      <c r="J178" s="884">
        <v>56.1</v>
      </c>
      <c r="K178" s="885">
        <v>0</v>
      </c>
      <c r="L178" s="886">
        <v>0</v>
      </c>
      <c r="M178" s="882"/>
    </row>
    <row r="179" spans="1:13" ht="12.75">
      <c r="A179" s="882"/>
      <c r="B179" s="882"/>
      <c r="C179" s="882"/>
      <c r="D179" s="882"/>
      <c r="E179" s="883" t="s">
        <v>2855</v>
      </c>
      <c r="F179" s="883" t="s">
        <v>2856</v>
      </c>
      <c r="G179" s="883" t="s">
        <v>2469</v>
      </c>
      <c r="H179" s="883" t="s">
        <v>2543</v>
      </c>
      <c r="I179" s="883" t="s">
        <v>2538</v>
      </c>
      <c r="J179" s="884">
        <v>9.9</v>
      </c>
      <c r="K179" s="885">
        <v>0</v>
      </c>
      <c r="L179" s="886">
        <v>0</v>
      </c>
      <c r="M179" s="882"/>
    </row>
    <row r="180" spans="1:13" ht="12.75">
      <c r="A180" s="882"/>
      <c r="B180" s="882"/>
      <c r="C180" s="882"/>
      <c r="D180" s="882"/>
      <c r="E180" s="883" t="s">
        <v>2857</v>
      </c>
      <c r="F180" s="883" t="s">
        <v>2858</v>
      </c>
      <c r="G180" s="883" t="s">
        <v>2469</v>
      </c>
      <c r="H180" s="883" t="s">
        <v>2543</v>
      </c>
      <c r="I180" s="883" t="s">
        <v>2564</v>
      </c>
      <c r="J180" s="884">
        <v>85</v>
      </c>
      <c r="K180" s="885">
        <v>0</v>
      </c>
      <c r="L180" s="886">
        <v>0</v>
      </c>
      <c r="M180" s="882"/>
    </row>
    <row r="181" spans="1:13" ht="12.75">
      <c r="A181" s="882"/>
      <c r="B181" s="882"/>
      <c r="C181" s="882"/>
      <c r="D181" s="882"/>
      <c r="E181" s="883" t="s">
        <v>2857</v>
      </c>
      <c r="F181" s="883" t="s">
        <v>2858</v>
      </c>
      <c r="G181" s="883" t="s">
        <v>2469</v>
      </c>
      <c r="H181" s="883" t="s">
        <v>2543</v>
      </c>
      <c r="I181" s="883" t="s">
        <v>2538</v>
      </c>
      <c r="J181" s="884">
        <v>15</v>
      </c>
      <c r="K181" s="885">
        <v>0</v>
      </c>
      <c r="L181" s="886">
        <v>0</v>
      </c>
      <c r="M181" s="882"/>
    </row>
    <row r="182" spans="1:13" ht="12.75">
      <c r="A182" s="882"/>
      <c r="B182" s="882"/>
      <c r="C182" s="882"/>
      <c r="D182" s="882"/>
      <c r="E182" s="883" t="s">
        <v>2859</v>
      </c>
      <c r="F182" s="883" t="s">
        <v>2860</v>
      </c>
      <c r="G182" s="883" t="s">
        <v>2469</v>
      </c>
      <c r="H182" s="883" t="s">
        <v>2543</v>
      </c>
      <c r="I182" s="883" t="s">
        <v>2538</v>
      </c>
      <c r="J182" s="884">
        <v>8.025</v>
      </c>
      <c r="K182" s="885">
        <v>0</v>
      </c>
      <c r="L182" s="886">
        <v>0</v>
      </c>
      <c r="M182" s="882"/>
    </row>
    <row r="183" spans="1:13" ht="12.75">
      <c r="A183" s="882"/>
      <c r="B183" s="882"/>
      <c r="C183" s="882"/>
      <c r="D183" s="882"/>
      <c r="E183" s="883" t="s">
        <v>2859</v>
      </c>
      <c r="F183" s="883" t="s">
        <v>2860</v>
      </c>
      <c r="G183" s="883" t="s">
        <v>2469</v>
      </c>
      <c r="H183" s="883" t="s">
        <v>2543</v>
      </c>
      <c r="I183" s="883" t="s">
        <v>2564</v>
      </c>
      <c r="J183" s="884">
        <v>45.475</v>
      </c>
      <c r="K183" s="885">
        <v>0</v>
      </c>
      <c r="L183" s="886">
        <v>0</v>
      </c>
      <c r="M183" s="882"/>
    </row>
    <row r="184" spans="1:13" ht="12.75">
      <c r="A184" s="882"/>
      <c r="B184" s="882"/>
      <c r="C184" s="882"/>
      <c r="D184" s="882"/>
      <c r="E184" s="883" t="s">
        <v>2861</v>
      </c>
      <c r="F184" s="883" t="s">
        <v>2862</v>
      </c>
      <c r="G184" s="883" t="s">
        <v>2469</v>
      </c>
      <c r="H184" s="883" t="s">
        <v>2543</v>
      </c>
      <c r="I184" s="883" t="s">
        <v>2564</v>
      </c>
      <c r="J184" s="884">
        <v>8</v>
      </c>
      <c r="K184" s="885">
        <v>0</v>
      </c>
      <c r="L184" s="886">
        <v>0</v>
      </c>
      <c r="M184" s="882"/>
    </row>
    <row r="185" spans="1:13" ht="12.75">
      <c r="A185" s="882"/>
      <c r="B185" s="882"/>
      <c r="C185" s="882"/>
      <c r="D185" s="882"/>
      <c r="E185" s="883" t="s">
        <v>2861</v>
      </c>
      <c r="F185" s="883" t="s">
        <v>2862</v>
      </c>
      <c r="G185" s="883" t="s">
        <v>2469</v>
      </c>
      <c r="H185" s="883" t="s">
        <v>2543</v>
      </c>
      <c r="I185" s="883" t="s">
        <v>2538</v>
      </c>
      <c r="J185" s="884">
        <v>7.05</v>
      </c>
      <c r="K185" s="885">
        <v>0</v>
      </c>
      <c r="L185" s="886">
        <v>0</v>
      </c>
      <c r="M185" s="882"/>
    </row>
    <row r="186" spans="1:13" ht="12.75">
      <c r="A186" s="882"/>
      <c r="B186" s="882"/>
      <c r="C186" s="882"/>
      <c r="D186" s="882"/>
      <c r="E186" s="883" t="s">
        <v>2863</v>
      </c>
      <c r="F186" s="883" t="s">
        <v>2864</v>
      </c>
      <c r="G186" s="883" t="s">
        <v>2469</v>
      </c>
      <c r="H186" s="883" t="s">
        <v>2543</v>
      </c>
      <c r="I186" s="883" t="s">
        <v>2564</v>
      </c>
      <c r="J186" s="884">
        <v>0.1</v>
      </c>
      <c r="K186" s="885">
        <v>0</v>
      </c>
      <c r="L186" s="886">
        <v>0</v>
      </c>
      <c r="M186" s="882"/>
    </row>
    <row r="187" spans="1:13" ht="12.75">
      <c r="A187" s="882"/>
      <c r="B187" s="882"/>
      <c r="C187" s="882"/>
      <c r="D187" s="882"/>
      <c r="E187" s="883" t="s">
        <v>2863</v>
      </c>
      <c r="F187" s="883" t="s">
        <v>2864</v>
      </c>
      <c r="G187" s="883" t="s">
        <v>2469</v>
      </c>
      <c r="H187" s="883" t="s">
        <v>2543</v>
      </c>
      <c r="I187" s="883" t="s">
        <v>2538</v>
      </c>
      <c r="J187" s="884">
        <v>0.075</v>
      </c>
      <c r="K187" s="885">
        <v>0</v>
      </c>
      <c r="L187" s="886">
        <v>0</v>
      </c>
      <c r="M187" s="882"/>
    </row>
    <row r="188" spans="1:13" ht="12.75">
      <c r="A188" s="882"/>
      <c r="B188" s="882"/>
      <c r="C188" s="882"/>
      <c r="D188" s="882"/>
      <c r="E188" s="883" t="s">
        <v>2865</v>
      </c>
      <c r="F188" s="883" t="s">
        <v>2866</v>
      </c>
      <c r="G188" s="883" t="s">
        <v>2469</v>
      </c>
      <c r="H188" s="883" t="s">
        <v>2543</v>
      </c>
      <c r="I188" s="883" t="s">
        <v>2538</v>
      </c>
      <c r="J188" s="884">
        <v>22.5</v>
      </c>
      <c r="K188" s="885">
        <v>0</v>
      </c>
      <c r="L188" s="886">
        <v>0</v>
      </c>
      <c r="M188" s="882"/>
    </row>
    <row r="189" spans="1:13" ht="12.75">
      <c r="A189" s="882"/>
      <c r="B189" s="882"/>
      <c r="C189" s="882"/>
      <c r="D189" s="882"/>
      <c r="E189" s="883" t="s">
        <v>2865</v>
      </c>
      <c r="F189" s="883" t="s">
        <v>2866</v>
      </c>
      <c r="G189" s="883" t="s">
        <v>2469</v>
      </c>
      <c r="H189" s="883" t="s">
        <v>2543</v>
      </c>
      <c r="I189" s="883" t="s">
        <v>2564</v>
      </c>
      <c r="J189" s="884">
        <v>127.5</v>
      </c>
      <c r="K189" s="885">
        <v>0</v>
      </c>
      <c r="L189" s="886">
        <v>0</v>
      </c>
      <c r="M189" s="882"/>
    </row>
    <row r="190" spans="1:13" ht="12.75">
      <c r="A190" s="882"/>
      <c r="B190" s="882"/>
      <c r="C190" s="882"/>
      <c r="D190" s="882"/>
      <c r="E190" s="883" t="s">
        <v>2867</v>
      </c>
      <c r="F190" s="883" t="s">
        <v>2868</v>
      </c>
      <c r="G190" s="883" t="s">
        <v>2469</v>
      </c>
      <c r="H190" s="883" t="s">
        <v>2543</v>
      </c>
      <c r="I190" s="883" t="s">
        <v>2538</v>
      </c>
      <c r="J190" s="884">
        <v>14.25</v>
      </c>
      <c r="K190" s="885">
        <v>0</v>
      </c>
      <c r="L190" s="886">
        <v>0</v>
      </c>
      <c r="M190" s="882"/>
    </row>
    <row r="191" spans="1:13" ht="12.75">
      <c r="A191" s="882"/>
      <c r="B191" s="882"/>
      <c r="C191" s="882"/>
      <c r="D191" s="882"/>
      <c r="E191" s="883" t="s">
        <v>2869</v>
      </c>
      <c r="F191" s="883" t="s">
        <v>2870</v>
      </c>
      <c r="G191" s="883" t="s">
        <v>2469</v>
      </c>
      <c r="H191" s="883" t="s">
        <v>2543</v>
      </c>
      <c r="I191" s="883" t="s">
        <v>2538</v>
      </c>
      <c r="J191" s="884">
        <v>1</v>
      </c>
      <c r="K191" s="885">
        <v>0</v>
      </c>
      <c r="L191" s="886">
        <v>0</v>
      </c>
      <c r="M191" s="882"/>
    </row>
    <row r="192" spans="1:13" ht="12.75">
      <c r="A192" s="882"/>
      <c r="B192" s="882"/>
      <c r="C192" s="882"/>
      <c r="D192" s="882"/>
      <c r="E192" s="883" t="s">
        <v>2869</v>
      </c>
      <c r="F192" s="883" t="s">
        <v>2870</v>
      </c>
      <c r="G192" s="883" t="s">
        <v>2469</v>
      </c>
      <c r="H192" s="883" t="s">
        <v>2543</v>
      </c>
      <c r="I192" s="883" t="s">
        <v>2564</v>
      </c>
      <c r="J192" s="884">
        <v>2</v>
      </c>
      <c r="K192" s="885">
        <v>0</v>
      </c>
      <c r="L192" s="886">
        <v>0</v>
      </c>
      <c r="M192" s="882"/>
    </row>
    <row r="193" spans="1:13" ht="12.75">
      <c r="A193" s="882"/>
      <c r="B193" s="882"/>
      <c r="C193" s="882"/>
      <c r="D193" s="882"/>
      <c r="E193" s="883" t="s">
        <v>2871</v>
      </c>
      <c r="F193" s="883" t="s">
        <v>2872</v>
      </c>
      <c r="G193" s="883" t="s">
        <v>2469</v>
      </c>
      <c r="H193" s="883" t="s">
        <v>2543</v>
      </c>
      <c r="I193" s="883" t="s">
        <v>2538</v>
      </c>
      <c r="J193" s="884">
        <v>6</v>
      </c>
      <c r="K193" s="885">
        <v>0</v>
      </c>
      <c r="L193" s="886">
        <v>0</v>
      </c>
      <c r="M193" s="882"/>
    </row>
    <row r="194" spans="1:13" ht="12.75">
      <c r="A194" s="882"/>
      <c r="B194" s="882"/>
      <c r="C194" s="882"/>
      <c r="D194" s="882"/>
      <c r="E194" s="883" t="s">
        <v>2871</v>
      </c>
      <c r="F194" s="883" t="s">
        <v>2872</v>
      </c>
      <c r="G194" s="883" t="s">
        <v>2469</v>
      </c>
      <c r="H194" s="883" t="s">
        <v>2543</v>
      </c>
      <c r="I194" s="883" t="s">
        <v>2564</v>
      </c>
      <c r="J194" s="884">
        <v>10</v>
      </c>
      <c r="K194" s="885">
        <v>0</v>
      </c>
      <c r="L194" s="886">
        <v>0</v>
      </c>
      <c r="M194" s="882"/>
    </row>
    <row r="195" spans="1:13" ht="12.75">
      <c r="A195" s="882"/>
      <c r="B195" s="882"/>
      <c r="C195" s="882"/>
      <c r="D195" s="882"/>
      <c r="E195" s="883" t="s">
        <v>2873</v>
      </c>
      <c r="F195" s="883" t="s">
        <v>2874</v>
      </c>
      <c r="G195" s="883" t="s">
        <v>2469</v>
      </c>
      <c r="H195" s="883" t="s">
        <v>2543</v>
      </c>
      <c r="I195" s="883" t="s">
        <v>2538</v>
      </c>
      <c r="J195" s="884">
        <v>1.05</v>
      </c>
      <c r="K195" s="885">
        <v>0</v>
      </c>
      <c r="L195" s="886">
        <v>0</v>
      </c>
      <c r="M195" s="882"/>
    </row>
    <row r="196" spans="1:13" ht="12.75">
      <c r="A196" s="882"/>
      <c r="B196" s="882"/>
      <c r="C196" s="882"/>
      <c r="D196" s="882"/>
      <c r="E196" s="883" t="s">
        <v>2873</v>
      </c>
      <c r="F196" s="883" t="s">
        <v>2874</v>
      </c>
      <c r="G196" s="883" t="s">
        <v>2469</v>
      </c>
      <c r="H196" s="883" t="s">
        <v>2543</v>
      </c>
      <c r="I196" s="883" t="s">
        <v>2564</v>
      </c>
      <c r="J196" s="884">
        <v>2</v>
      </c>
      <c r="K196" s="885">
        <v>0</v>
      </c>
      <c r="L196" s="886">
        <v>0</v>
      </c>
      <c r="M196" s="882"/>
    </row>
    <row r="197" spans="1:13" ht="12.75">
      <c r="A197" s="882"/>
      <c r="B197" s="882"/>
      <c r="C197" s="882"/>
      <c r="D197" s="882"/>
      <c r="E197" s="883" t="s">
        <v>2875</v>
      </c>
      <c r="F197" s="883" t="s">
        <v>2876</v>
      </c>
      <c r="G197" s="883" t="s">
        <v>2469</v>
      </c>
      <c r="H197" s="883" t="s">
        <v>2543</v>
      </c>
      <c r="I197" s="883" t="s">
        <v>2564</v>
      </c>
      <c r="J197" s="884">
        <v>777.947</v>
      </c>
      <c r="K197" s="885">
        <v>0</v>
      </c>
      <c r="L197" s="886">
        <v>0</v>
      </c>
      <c r="M197" s="882"/>
    </row>
    <row r="198" spans="1:13" ht="12.75">
      <c r="A198" s="882"/>
      <c r="B198" s="882"/>
      <c r="C198" s="882"/>
      <c r="D198" s="882"/>
      <c r="E198" s="883" t="s">
        <v>2875</v>
      </c>
      <c r="F198" s="883" t="s">
        <v>2876</v>
      </c>
      <c r="G198" s="883" t="s">
        <v>2469</v>
      </c>
      <c r="H198" s="883" t="s">
        <v>2543</v>
      </c>
      <c r="I198" s="883" t="s">
        <v>2538</v>
      </c>
      <c r="J198" s="884">
        <v>276.137</v>
      </c>
      <c r="K198" s="885">
        <v>0</v>
      </c>
      <c r="L198" s="886">
        <v>0</v>
      </c>
      <c r="M198" s="882"/>
    </row>
    <row r="199" spans="1:13" ht="12.75">
      <c r="A199" s="882"/>
      <c r="B199" s="882"/>
      <c r="C199" s="882"/>
      <c r="D199" s="882"/>
      <c r="E199" s="883" t="s">
        <v>2877</v>
      </c>
      <c r="F199" s="883" t="s">
        <v>2878</v>
      </c>
      <c r="G199" s="883" t="s">
        <v>2469</v>
      </c>
      <c r="H199" s="883" t="s">
        <v>2543</v>
      </c>
      <c r="I199" s="883" t="s">
        <v>2564</v>
      </c>
      <c r="J199" s="884">
        <v>6</v>
      </c>
      <c r="K199" s="885">
        <v>0</v>
      </c>
      <c r="L199" s="886">
        <v>0</v>
      </c>
      <c r="M199" s="882"/>
    </row>
    <row r="200" spans="1:13" ht="12.75">
      <c r="A200" s="882"/>
      <c r="B200" s="882"/>
      <c r="C200" s="882"/>
      <c r="D200" s="882"/>
      <c r="E200" s="883" t="s">
        <v>2879</v>
      </c>
      <c r="F200" s="883" t="s">
        <v>2880</v>
      </c>
      <c r="G200" s="883" t="s">
        <v>2469</v>
      </c>
      <c r="H200" s="883" t="s">
        <v>2543</v>
      </c>
      <c r="I200" s="883" t="s">
        <v>2841</v>
      </c>
      <c r="J200" s="884">
        <v>26.471</v>
      </c>
      <c r="K200" s="885">
        <v>0</v>
      </c>
      <c r="L200" s="886">
        <v>0</v>
      </c>
      <c r="M200" s="882"/>
    </row>
    <row r="201" spans="1:13" ht="12.75">
      <c r="A201" s="882"/>
      <c r="B201" s="882"/>
      <c r="C201" s="882"/>
      <c r="D201" s="882"/>
      <c r="E201" s="883" t="s">
        <v>2879</v>
      </c>
      <c r="F201" s="883" t="s">
        <v>2880</v>
      </c>
      <c r="G201" s="883" t="s">
        <v>2469</v>
      </c>
      <c r="H201" s="883" t="s">
        <v>2543</v>
      </c>
      <c r="I201" s="883" t="s">
        <v>2842</v>
      </c>
      <c r="J201" s="884">
        <v>150</v>
      </c>
      <c r="K201" s="885">
        <v>0</v>
      </c>
      <c r="L201" s="886">
        <v>0</v>
      </c>
      <c r="M201" s="882"/>
    </row>
    <row r="202" spans="1:13" ht="12.75">
      <c r="A202" s="882"/>
      <c r="B202" s="882"/>
      <c r="C202" s="882"/>
      <c r="D202" s="882"/>
      <c r="E202" s="883" t="s">
        <v>2881</v>
      </c>
      <c r="F202" s="883" t="s">
        <v>2882</v>
      </c>
      <c r="G202" s="883" t="s">
        <v>2469</v>
      </c>
      <c r="H202" s="883" t="s">
        <v>2543</v>
      </c>
      <c r="I202" s="883" t="s">
        <v>2841</v>
      </c>
      <c r="J202" s="884">
        <v>17.647</v>
      </c>
      <c r="K202" s="885">
        <v>0</v>
      </c>
      <c r="L202" s="886">
        <v>0</v>
      </c>
      <c r="M202" s="882"/>
    </row>
    <row r="203" spans="1:13" ht="12.75">
      <c r="A203" s="882"/>
      <c r="B203" s="882"/>
      <c r="C203" s="882"/>
      <c r="D203" s="882"/>
      <c r="E203" s="883" t="s">
        <v>2881</v>
      </c>
      <c r="F203" s="883" t="s">
        <v>2882</v>
      </c>
      <c r="G203" s="883" t="s">
        <v>2469</v>
      </c>
      <c r="H203" s="883" t="s">
        <v>2543</v>
      </c>
      <c r="I203" s="883" t="s">
        <v>2842</v>
      </c>
      <c r="J203" s="884">
        <v>100</v>
      </c>
      <c r="K203" s="885">
        <v>0</v>
      </c>
      <c r="L203" s="886">
        <v>0</v>
      </c>
      <c r="M203" s="882"/>
    </row>
    <row r="204" spans="1:13" ht="12.75">
      <c r="A204" s="882"/>
      <c r="B204" s="882"/>
      <c r="C204" s="882"/>
      <c r="D204" s="882"/>
      <c r="E204" s="883" t="s">
        <v>2883</v>
      </c>
      <c r="F204" s="883" t="s">
        <v>2884</v>
      </c>
      <c r="G204" s="883" t="s">
        <v>2469</v>
      </c>
      <c r="H204" s="883" t="s">
        <v>2543</v>
      </c>
      <c r="I204" s="883" t="s">
        <v>2842</v>
      </c>
      <c r="J204" s="884">
        <v>30</v>
      </c>
      <c r="K204" s="885">
        <v>0</v>
      </c>
      <c r="L204" s="886">
        <v>0</v>
      </c>
      <c r="M204" s="882"/>
    </row>
    <row r="205" spans="1:13" ht="12.75">
      <c r="A205" s="882"/>
      <c r="B205" s="882"/>
      <c r="C205" s="882"/>
      <c r="D205" s="882"/>
      <c r="E205" s="883" t="s">
        <v>2883</v>
      </c>
      <c r="F205" s="883" t="s">
        <v>2884</v>
      </c>
      <c r="G205" s="883" t="s">
        <v>2469</v>
      </c>
      <c r="H205" s="883" t="s">
        <v>2543</v>
      </c>
      <c r="I205" s="883" t="s">
        <v>2841</v>
      </c>
      <c r="J205" s="884">
        <v>5.294</v>
      </c>
      <c r="K205" s="885">
        <v>0</v>
      </c>
      <c r="L205" s="886">
        <v>0</v>
      </c>
      <c r="M205" s="882"/>
    </row>
    <row r="206" spans="1:13" ht="12.75">
      <c r="A206" s="882"/>
      <c r="B206" s="882"/>
      <c r="C206" s="882"/>
      <c r="D206" s="882"/>
      <c r="E206" s="883" t="s">
        <v>2885</v>
      </c>
      <c r="F206" s="883" t="s">
        <v>2886</v>
      </c>
      <c r="G206" s="883" t="s">
        <v>2469</v>
      </c>
      <c r="H206" s="883" t="s">
        <v>2543</v>
      </c>
      <c r="I206" s="883" t="s">
        <v>2842</v>
      </c>
      <c r="J206" s="884">
        <v>30</v>
      </c>
      <c r="K206" s="885">
        <v>0</v>
      </c>
      <c r="L206" s="886">
        <v>0</v>
      </c>
      <c r="M206" s="882"/>
    </row>
    <row r="207" spans="1:13" ht="12.75">
      <c r="A207" s="882"/>
      <c r="B207" s="882"/>
      <c r="C207" s="882"/>
      <c r="D207" s="882"/>
      <c r="E207" s="883" t="s">
        <v>2885</v>
      </c>
      <c r="F207" s="883" t="s">
        <v>2886</v>
      </c>
      <c r="G207" s="883" t="s">
        <v>2469</v>
      </c>
      <c r="H207" s="883" t="s">
        <v>2543</v>
      </c>
      <c r="I207" s="883" t="s">
        <v>2841</v>
      </c>
      <c r="J207" s="884">
        <v>5.294</v>
      </c>
      <c r="K207" s="885">
        <v>0</v>
      </c>
      <c r="L207" s="886">
        <v>0</v>
      </c>
      <c r="M207" s="882"/>
    </row>
    <row r="208" spans="1:13" ht="12.75">
      <c r="A208" s="882"/>
      <c r="B208" s="882"/>
      <c r="C208" s="882"/>
      <c r="D208" s="882"/>
      <c r="E208" s="883" t="s">
        <v>2887</v>
      </c>
      <c r="F208" s="883" t="s">
        <v>2888</v>
      </c>
      <c r="G208" s="883" t="s">
        <v>2469</v>
      </c>
      <c r="H208" s="883" t="s">
        <v>2543</v>
      </c>
      <c r="I208" s="883" t="s">
        <v>2842</v>
      </c>
      <c r="J208" s="884">
        <v>40.887</v>
      </c>
      <c r="K208" s="885">
        <v>0</v>
      </c>
      <c r="L208" s="886">
        <v>0</v>
      </c>
      <c r="M208" s="882"/>
    </row>
    <row r="209" spans="1:13" ht="12.75">
      <c r="A209" s="882"/>
      <c r="B209" s="882"/>
      <c r="C209" s="882"/>
      <c r="D209" s="882"/>
      <c r="E209" s="883" t="s">
        <v>2887</v>
      </c>
      <c r="F209" s="883" t="s">
        <v>2888</v>
      </c>
      <c r="G209" s="883" t="s">
        <v>2469</v>
      </c>
      <c r="H209" s="883" t="s">
        <v>2543</v>
      </c>
      <c r="I209" s="883" t="s">
        <v>2841</v>
      </c>
      <c r="J209" s="884">
        <v>7.219</v>
      </c>
      <c r="K209" s="885">
        <v>0</v>
      </c>
      <c r="L209" s="886">
        <v>0</v>
      </c>
      <c r="M209" s="882"/>
    </row>
    <row r="210" spans="1:13" ht="12.75">
      <c r="A210" s="882"/>
      <c r="B210" s="882"/>
      <c r="C210" s="882"/>
      <c r="D210" s="882"/>
      <c r="E210" s="883" t="s">
        <v>2889</v>
      </c>
      <c r="F210" s="883" t="s">
        <v>2890</v>
      </c>
      <c r="G210" s="883" t="s">
        <v>2469</v>
      </c>
      <c r="H210" s="883" t="s">
        <v>2063</v>
      </c>
      <c r="I210" s="883" t="s">
        <v>2627</v>
      </c>
      <c r="J210" s="885">
        <v>0</v>
      </c>
      <c r="K210" s="885">
        <v>0</v>
      </c>
      <c r="L210" s="886">
        <v>1.42324</v>
      </c>
      <c r="M210" s="882"/>
    </row>
    <row r="211" spans="1:13" ht="12.75">
      <c r="A211" s="882"/>
      <c r="B211" s="882"/>
      <c r="C211" s="882"/>
      <c r="D211" s="882"/>
      <c r="E211" s="883" t="s">
        <v>2891</v>
      </c>
      <c r="F211" s="883" t="s">
        <v>2892</v>
      </c>
      <c r="G211" s="883" t="s">
        <v>2279</v>
      </c>
      <c r="H211" s="883" t="s">
        <v>2063</v>
      </c>
      <c r="I211" s="883" t="s">
        <v>2627</v>
      </c>
      <c r="J211" s="885">
        <v>0</v>
      </c>
      <c r="K211" s="885">
        <v>0</v>
      </c>
      <c r="L211" s="886">
        <v>6.3582255</v>
      </c>
      <c r="M211" s="882"/>
    </row>
    <row r="212" spans="1:13" ht="12.75">
      <c r="A212" s="882"/>
      <c r="B212" s="882"/>
      <c r="C212" s="882"/>
      <c r="D212" s="882"/>
      <c r="E212" s="883" t="s">
        <v>2893</v>
      </c>
      <c r="F212" s="883" t="s">
        <v>2894</v>
      </c>
      <c r="G212" s="883" t="s">
        <v>2279</v>
      </c>
      <c r="H212" s="883" t="s">
        <v>2063</v>
      </c>
      <c r="I212" s="883" t="s">
        <v>2627</v>
      </c>
      <c r="J212" s="885">
        <v>0</v>
      </c>
      <c r="K212" s="885">
        <v>0</v>
      </c>
      <c r="L212" s="886">
        <v>9.7070565</v>
      </c>
      <c r="M212" s="882"/>
    </row>
    <row r="213" spans="1:13" ht="12.75">
      <c r="A213" s="882"/>
      <c r="B213" s="882"/>
      <c r="C213" s="882"/>
      <c r="D213" s="882"/>
      <c r="E213" s="883" t="s">
        <v>2895</v>
      </c>
      <c r="F213" s="883" t="s">
        <v>2896</v>
      </c>
      <c r="G213" s="883" t="s">
        <v>2469</v>
      </c>
      <c r="H213" s="883" t="s">
        <v>2063</v>
      </c>
      <c r="I213" s="883" t="s">
        <v>2564</v>
      </c>
      <c r="J213" s="885">
        <v>0</v>
      </c>
      <c r="K213" s="885">
        <v>129.3</v>
      </c>
      <c r="L213" s="886">
        <v>0</v>
      </c>
      <c r="M213" s="882"/>
    </row>
    <row r="214" spans="1:13" ht="12.75">
      <c r="A214" s="882"/>
      <c r="B214" s="882"/>
      <c r="C214" s="882"/>
      <c r="D214" s="882"/>
      <c r="E214" s="883" t="s">
        <v>2895</v>
      </c>
      <c r="F214" s="883" t="s">
        <v>2896</v>
      </c>
      <c r="G214" s="883" t="s">
        <v>2469</v>
      </c>
      <c r="H214" s="883" t="s">
        <v>2063</v>
      </c>
      <c r="I214" s="883" t="s">
        <v>2841</v>
      </c>
      <c r="J214" s="885">
        <v>0</v>
      </c>
      <c r="K214" s="885">
        <v>107.1</v>
      </c>
      <c r="L214" s="886">
        <v>107.1</v>
      </c>
      <c r="M214" s="882"/>
    </row>
    <row r="215" spans="1:13" ht="12.75">
      <c r="A215" s="882"/>
      <c r="B215" s="882"/>
      <c r="C215" s="882"/>
      <c r="D215" s="882"/>
      <c r="E215" s="883" t="s">
        <v>2895</v>
      </c>
      <c r="F215" s="883" t="s">
        <v>2896</v>
      </c>
      <c r="G215" s="883" t="s">
        <v>2469</v>
      </c>
      <c r="H215" s="883" t="s">
        <v>2063</v>
      </c>
      <c r="I215" s="883" t="s">
        <v>2897</v>
      </c>
      <c r="J215" s="885">
        <v>0</v>
      </c>
      <c r="K215" s="885">
        <v>0</v>
      </c>
      <c r="L215" s="886">
        <v>17.9998362</v>
      </c>
      <c r="M215" s="882"/>
    </row>
    <row r="216" spans="1:13" ht="12.75">
      <c r="A216" s="882"/>
      <c r="B216" s="882"/>
      <c r="C216" s="882"/>
      <c r="D216" s="882"/>
      <c r="E216" s="883" t="s">
        <v>2895</v>
      </c>
      <c r="F216" s="883" t="s">
        <v>2896</v>
      </c>
      <c r="G216" s="883" t="s">
        <v>2469</v>
      </c>
      <c r="H216" s="883" t="s">
        <v>2063</v>
      </c>
      <c r="I216" s="883" t="s">
        <v>2842</v>
      </c>
      <c r="J216" s="885">
        <v>0</v>
      </c>
      <c r="K216" s="885">
        <v>49.2</v>
      </c>
      <c r="L216" s="886">
        <v>46.7780395</v>
      </c>
      <c r="M216" s="882"/>
    </row>
    <row r="217" spans="1:13" ht="12.75">
      <c r="A217" s="882"/>
      <c r="B217" s="882"/>
      <c r="C217" s="882"/>
      <c r="D217" s="882"/>
      <c r="E217" s="883" t="s">
        <v>2898</v>
      </c>
      <c r="F217" s="883" t="s">
        <v>2899</v>
      </c>
      <c r="G217" s="883" t="s">
        <v>2279</v>
      </c>
      <c r="H217" s="883" t="s">
        <v>2063</v>
      </c>
      <c r="I217" s="883" t="s">
        <v>2842</v>
      </c>
      <c r="J217" s="885">
        <v>0</v>
      </c>
      <c r="K217" s="885">
        <v>0.501</v>
      </c>
      <c r="L217" s="886">
        <v>0</v>
      </c>
      <c r="M217" s="882"/>
    </row>
    <row r="218" spans="1:13" ht="12.75">
      <c r="A218" s="882"/>
      <c r="B218" s="882"/>
      <c r="C218" s="882"/>
      <c r="D218" s="882"/>
      <c r="E218" s="883" t="s">
        <v>2898</v>
      </c>
      <c r="F218" s="883" t="s">
        <v>2899</v>
      </c>
      <c r="G218" s="883" t="s">
        <v>2279</v>
      </c>
      <c r="H218" s="883" t="s">
        <v>2063</v>
      </c>
      <c r="I218" s="883" t="s">
        <v>2627</v>
      </c>
      <c r="J218" s="885">
        <v>0</v>
      </c>
      <c r="K218" s="885">
        <v>0</v>
      </c>
      <c r="L218" s="886">
        <v>3.407757</v>
      </c>
      <c r="M218" s="882"/>
    </row>
    <row r="219" spans="1:13" ht="12.75">
      <c r="A219" s="882"/>
      <c r="B219" s="882"/>
      <c r="C219" s="882"/>
      <c r="D219" s="882"/>
      <c r="E219" s="883" t="s">
        <v>2898</v>
      </c>
      <c r="F219" s="883" t="s">
        <v>2899</v>
      </c>
      <c r="G219" s="883" t="s">
        <v>2279</v>
      </c>
      <c r="H219" s="883" t="s">
        <v>2063</v>
      </c>
      <c r="I219" s="883" t="s">
        <v>2564</v>
      </c>
      <c r="J219" s="885">
        <v>0</v>
      </c>
      <c r="K219" s="885">
        <v>38.677</v>
      </c>
      <c r="L219" s="886">
        <v>22.781168</v>
      </c>
      <c r="M219" s="882"/>
    </row>
    <row r="220" spans="1:13" ht="12.75">
      <c r="A220" s="882"/>
      <c r="B220" s="882"/>
      <c r="C220" s="882"/>
      <c r="D220" s="882"/>
      <c r="E220" s="883" t="s">
        <v>2900</v>
      </c>
      <c r="F220" s="883" t="s">
        <v>2901</v>
      </c>
      <c r="G220" s="883" t="s">
        <v>2469</v>
      </c>
      <c r="H220" s="883" t="s">
        <v>2063</v>
      </c>
      <c r="I220" s="883" t="s">
        <v>2627</v>
      </c>
      <c r="J220" s="885">
        <v>0</v>
      </c>
      <c r="K220" s="885">
        <v>0</v>
      </c>
      <c r="L220" s="886">
        <v>2.95072964</v>
      </c>
      <c r="M220" s="882"/>
    </row>
    <row r="221" spans="1:13" ht="12.75">
      <c r="A221" s="882"/>
      <c r="B221" s="882"/>
      <c r="C221" s="882"/>
      <c r="D221" s="882"/>
      <c r="E221" s="883" t="s">
        <v>2900</v>
      </c>
      <c r="F221" s="883" t="s">
        <v>2901</v>
      </c>
      <c r="G221" s="883" t="s">
        <v>2469</v>
      </c>
      <c r="H221" s="883" t="s">
        <v>2063</v>
      </c>
      <c r="I221" s="883" t="s">
        <v>2564</v>
      </c>
      <c r="J221" s="885">
        <v>0</v>
      </c>
      <c r="K221" s="885">
        <v>17.382</v>
      </c>
      <c r="L221" s="886">
        <v>0</v>
      </c>
      <c r="M221" s="882"/>
    </row>
    <row r="222" spans="1:13" ht="12.75">
      <c r="A222" s="882"/>
      <c r="B222" s="882"/>
      <c r="C222" s="882"/>
      <c r="D222" s="882"/>
      <c r="E222" s="883" t="s">
        <v>2902</v>
      </c>
      <c r="F222" s="883" t="s">
        <v>2903</v>
      </c>
      <c r="G222" s="883" t="s">
        <v>2469</v>
      </c>
      <c r="H222" s="883" t="s">
        <v>2063</v>
      </c>
      <c r="I222" s="883" t="s">
        <v>2627</v>
      </c>
      <c r="J222" s="885">
        <v>0</v>
      </c>
      <c r="K222" s="885">
        <v>0</v>
      </c>
      <c r="L222" s="886">
        <v>10.725867</v>
      </c>
      <c r="M222" s="882"/>
    </row>
    <row r="223" spans="1:13" ht="12.75">
      <c r="A223" s="882"/>
      <c r="B223" s="882"/>
      <c r="C223" s="882"/>
      <c r="D223" s="882"/>
      <c r="E223" s="883" t="s">
        <v>2902</v>
      </c>
      <c r="F223" s="883" t="s">
        <v>2903</v>
      </c>
      <c r="G223" s="883" t="s">
        <v>2469</v>
      </c>
      <c r="H223" s="883" t="s">
        <v>2063</v>
      </c>
      <c r="I223" s="883" t="s">
        <v>2564</v>
      </c>
      <c r="J223" s="885">
        <v>0</v>
      </c>
      <c r="K223" s="885">
        <v>71.825</v>
      </c>
      <c r="L223" s="886">
        <v>0</v>
      </c>
      <c r="M223" s="882"/>
    </row>
    <row r="224" spans="1:13" ht="12.75">
      <c r="A224" s="882"/>
      <c r="B224" s="882"/>
      <c r="C224" s="882"/>
      <c r="D224" s="882"/>
      <c r="E224" s="883" t="s">
        <v>2904</v>
      </c>
      <c r="F224" s="883" t="s">
        <v>2905</v>
      </c>
      <c r="G224" s="883" t="s">
        <v>2469</v>
      </c>
      <c r="H224" s="883" t="s">
        <v>2063</v>
      </c>
      <c r="I224" s="883" t="s">
        <v>2627</v>
      </c>
      <c r="J224" s="885">
        <v>0</v>
      </c>
      <c r="K224" s="885">
        <v>0</v>
      </c>
      <c r="L224" s="886">
        <v>12.431112</v>
      </c>
      <c r="M224" s="882"/>
    </row>
    <row r="225" spans="1:13" ht="12.75">
      <c r="A225" s="882"/>
      <c r="B225" s="882"/>
      <c r="C225" s="882"/>
      <c r="D225" s="882"/>
      <c r="E225" s="883" t="s">
        <v>2904</v>
      </c>
      <c r="F225" s="883" t="s">
        <v>2905</v>
      </c>
      <c r="G225" s="883" t="s">
        <v>2469</v>
      </c>
      <c r="H225" s="883" t="s">
        <v>2063</v>
      </c>
      <c r="I225" s="883" t="s">
        <v>2564</v>
      </c>
      <c r="J225" s="885">
        <v>0</v>
      </c>
      <c r="K225" s="885">
        <v>75.827</v>
      </c>
      <c r="L225" s="886">
        <v>8.286208</v>
      </c>
      <c r="M225" s="882"/>
    </row>
    <row r="226" spans="1:13" ht="12.75">
      <c r="A226" s="882"/>
      <c r="B226" s="882"/>
      <c r="C226" s="882"/>
      <c r="D226" s="882"/>
      <c r="E226" s="883" t="s">
        <v>2906</v>
      </c>
      <c r="F226" s="883" t="s">
        <v>2907</v>
      </c>
      <c r="G226" s="883" t="s">
        <v>2469</v>
      </c>
      <c r="H226" s="883" t="s">
        <v>2063</v>
      </c>
      <c r="I226" s="883" t="s">
        <v>2842</v>
      </c>
      <c r="J226" s="885">
        <v>0</v>
      </c>
      <c r="K226" s="885">
        <v>7.735</v>
      </c>
      <c r="L226" s="886">
        <v>0</v>
      </c>
      <c r="M226" s="882"/>
    </row>
    <row r="227" spans="1:13" ht="12.75">
      <c r="A227" s="882"/>
      <c r="B227" s="882"/>
      <c r="C227" s="882"/>
      <c r="D227" s="882"/>
      <c r="E227" s="883" t="s">
        <v>2906</v>
      </c>
      <c r="F227" s="883" t="s">
        <v>2907</v>
      </c>
      <c r="G227" s="883" t="s">
        <v>2469</v>
      </c>
      <c r="H227" s="883" t="s">
        <v>2063</v>
      </c>
      <c r="I227" s="883" t="s">
        <v>2564</v>
      </c>
      <c r="J227" s="885">
        <v>0</v>
      </c>
      <c r="K227" s="885">
        <v>16.915</v>
      </c>
      <c r="L227" s="886">
        <v>0</v>
      </c>
      <c r="M227" s="882"/>
    </row>
    <row r="228" spans="1:13" ht="12.75">
      <c r="A228" s="882"/>
      <c r="B228" s="882"/>
      <c r="C228" s="882"/>
      <c r="D228" s="882"/>
      <c r="E228" s="883" t="s">
        <v>2908</v>
      </c>
      <c r="F228" s="883" t="s">
        <v>2909</v>
      </c>
      <c r="G228" s="883" t="s">
        <v>2469</v>
      </c>
      <c r="H228" s="883" t="s">
        <v>2543</v>
      </c>
      <c r="I228" s="883" t="s">
        <v>2841</v>
      </c>
      <c r="J228" s="885">
        <v>0</v>
      </c>
      <c r="K228" s="885">
        <v>21.422</v>
      </c>
      <c r="L228" s="886">
        <v>0</v>
      </c>
      <c r="M228" s="882"/>
    </row>
    <row r="229" spans="1:13" ht="12.75">
      <c r="A229" s="882"/>
      <c r="B229" s="882"/>
      <c r="C229" s="882"/>
      <c r="D229" s="882"/>
      <c r="E229" s="883" t="s">
        <v>2908</v>
      </c>
      <c r="F229" s="883" t="s">
        <v>2909</v>
      </c>
      <c r="G229" s="883" t="s">
        <v>2469</v>
      </c>
      <c r="H229" s="883" t="s">
        <v>2543</v>
      </c>
      <c r="I229" s="883" t="s">
        <v>2538</v>
      </c>
      <c r="J229" s="885">
        <v>0</v>
      </c>
      <c r="K229" s="885">
        <v>350.568</v>
      </c>
      <c r="L229" s="886">
        <v>0</v>
      </c>
      <c r="M229" s="882"/>
    </row>
    <row r="230" spans="1:13" ht="12.75">
      <c r="A230" s="882"/>
      <c r="B230" s="882"/>
      <c r="C230" s="882"/>
      <c r="D230" s="882"/>
      <c r="E230" s="883" t="s">
        <v>2908</v>
      </c>
      <c r="F230" s="883" t="s">
        <v>2909</v>
      </c>
      <c r="G230" s="883" t="s">
        <v>2469</v>
      </c>
      <c r="H230" s="883" t="s">
        <v>2543</v>
      </c>
      <c r="I230" s="883" t="s">
        <v>2564</v>
      </c>
      <c r="J230" s="885">
        <v>0</v>
      </c>
      <c r="K230" s="885">
        <v>355.37</v>
      </c>
      <c r="L230" s="886">
        <v>0</v>
      </c>
      <c r="M230" s="882"/>
    </row>
    <row r="231" spans="1:13" ht="12.75">
      <c r="A231" s="882"/>
      <c r="B231" s="882"/>
      <c r="C231" s="882"/>
      <c r="D231" s="882"/>
      <c r="E231" s="883" t="s">
        <v>2908</v>
      </c>
      <c r="F231" s="883" t="s">
        <v>2909</v>
      </c>
      <c r="G231" s="883" t="s">
        <v>2469</v>
      </c>
      <c r="H231" s="883" t="s">
        <v>2543</v>
      </c>
      <c r="I231" s="883" t="s">
        <v>2842</v>
      </c>
      <c r="J231" s="885">
        <v>0</v>
      </c>
      <c r="K231" s="885">
        <v>3.542</v>
      </c>
      <c r="L231" s="886">
        <v>0</v>
      </c>
      <c r="M231" s="882"/>
    </row>
    <row r="232" spans="1:13" ht="12.75">
      <c r="A232" s="882"/>
      <c r="B232" s="882"/>
      <c r="C232" s="882"/>
      <c r="D232" s="882"/>
      <c r="E232" s="883" t="s">
        <v>2910</v>
      </c>
      <c r="F232" s="883" t="s">
        <v>2911</v>
      </c>
      <c r="G232" s="883" t="s">
        <v>2469</v>
      </c>
      <c r="H232" s="883" t="s">
        <v>2543</v>
      </c>
      <c r="I232" s="883" t="s">
        <v>2841</v>
      </c>
      <c r="J232" s="884">
        <v>19.34</v>
      </c>
      <c r="K232" s="885">
        <v>0</v>
      </c>
      <c r="L232" s="886">
        <v>0</v>
      </c>
      <c r="M232" s="882"/>
    </row>
    <row r="233" spans="1:13" ht="12.75">
      <c r="A233" s="882"/>
      <c r="B233" s="882"/>
      <c r="C233" s="882"/>
      <c r="D233" s="882"/>
      <c r="E233" s="883" t="s">
        <v>2910</v>
      </c>
      <c r="F233" s="883" t="s">
        <v>2911</v>
      </c>
      <c r="G233" s="883" t="s">
        <v>2469</v>
      </c>
      <c r="H233" s="883" t="s">
        <v>2543</v>
      </c>
      <c r="I233" s="883" t="s">
        <v>2538</v>
      </c>
      <c r="J233" s="884">
        <v>39.3</v>
      </c>
      <c r="K233" s="885">
        <v>0</v>
      </c>
      <c r="L233" s="886">
        <v>0</v>
      </c>
      <c r="M233" s="882"/>
    </row>
    <row r="234" spans="1:13" ht="12.75">
      <c r="A234" s="882"/>
      <c r="B234" s="882"/>
      <c r="C234" s="882"/>
      <c r="D234" s="882"/>
      <c r="E234" s="883" t="s">
        <v>2910</v>
      </c>
      <c r="F234" s="883" t="s">
        <v>2911</v>
      </c>
      <c r="G234" s="883" t="s">
        <v>2469</v>
      </c>
      <c r="H234" s="883" t="s">
        <v>2543</v>
      </c>
      <c r="I234" s="883" t="s">
        <v>2564</v>
      </c>
      <c r="J234" s="884">
        <v>222.7</v>
      </c>
      <c r="K234" s="885">
        <v>0</v>
      </c>
      <c r="L234" s="886">
        <v>0</v>
      </c>
      <c r="M234" s="882"/>
    </row>
    <row r="235" spans="1:13" ht="12.75">
      <c r="A235" s="882"/>
      <c r="B235" s="882"/>
      <c r="C235" s="882"/>
      <c r="D235" s="882"/>
      <c r="E235" s="883" t="s">
        <v>2910</v>
      </c>
      <c r="F235" s="883" t="s">
        <v>2911</v>
      </c>
      <c r="G235" s="883" t="s">
        <v>2469</v>
      </c>
      <c r="H235" s="883" t="s">
        <v>2543</v>
      </c>
      <c r="I235" s="883" t="s">
        <v>2842</v>
      </c>
      <c r="J235" s="884">
        <v>109.59</v>
      </c>
      <c r="K235" s="885">
        <v>0</v>
      </c>
      <c r="L235" s="886">
        <v>0</v>
      </c>
      <c r="M235" s="882"/>
    </row>
    <row r="236" spans="1:13" ht="12.75">
      <c r="A236" s="882"/>
      <c r="B236" s="882"/>
      <c r="C236" s="882"/>
      <c r="D236" s="882"/>
      <c r="E236" s="883" t="s">
        <v>2912</v>
      </c>
      <c r="F236" s="883" t="s">
        <v>2913</v>
      </c>
      <c r="G236" s="883" t="s">
        <v>2469</v>
      </c>
      <c r="H236" s="883" t="s">
        <v>2543</v>
      </c>
      <c r="I236" s="883" t="s">
        <v>2841</v>
      </c>
      <c r="J236" s="884">
        <v>0.255</v>
      </c>
      <c r="K236" s="885">
        <v>0</v>
      </c>
      <c r="L236" s="886">
        <v>0</v>
      </c>
      <c r="M236" s="882"/>
    </row>
    <row r="237" spans="1:13" ht="12.75">
      <c r="A237" s="882"/>
      <c r="B237" s="882"/>
      <c r="C237" s="882"/>
      <c r="D237" s="882"/>
      <c r="E237" s="883" t="s">
        <v>2912</v>
      </c>
      <c r="F237" s="883" t="s">
        <v>2913</v>
      </c>
      <c r="G237" s="883" t="s">
        <v>2469</v>
      </c>
      <c r="H237" s="883" t="s">
        <v>2543</v>
      </c>
      <c r="I237" s="883" t="s">
        <v>2842</v>
      </c>
      <c r="J237" s="884">
        <v>1.445</v>
      </c>
      <c r="K237" s="885">
        <v>0</v>
      </c>
      <c r="L237" s="886">
        <v>0</v>
      </c>
      <c r="M237" s="882"/>
    </row>
    <row r="238" spans="1:13" ht="12.75">
      <c r="A238" s="882"/>
      <c r="B238" s="882"/>
      <c r="C238" s="882"/>
      <c r="D238" s="882"/>
      <c r="E238" s="883" t="s">
        <v>2912</v>
      </c>
      <c r="F238" s="883" t="s">
        <v>2913</v>
      </c>
      <c r="G238" s="883" t="s">
        <v>2469</v>
      </c>
      <c r="H238" s="883" t="s">
        <v>2543</v>
      </c>
      <c r="I238" s="883" t="s">
        <v>2564</v>
      </c>
      <c r="J238" s="884">
        <v>2.975</v>
      </c>
      <c r="K238" s="885">
        <v>0</v>
      </c>
      <c r="L238" s="886">
        <v>0</v>
      </c>
      <c r="M238" s="882"/>
    </row>
    <row r="239" spans="1:13" ht="12.75">
      <c r="A239" s="882"/>
      <c r="B239" s="882"/>
      <c r="C239" s="882"/>
      <c r="D239" s="882"/>
      <c r="E239" s="883" t="s">
        <v>2912</v>
      </c>
      <c r="F239" s="883" t="s">
        <v>2913</v>
      </c>
      <c r="G239" s="883" t="s">
        <v>2469</v>
      </c>
      <c r="H239" s="883" t="s">
        <v>2543</v>
      </c>
      <c r="I239" s="883" t="s">
        <v>2538</v>
      </c>
      <c r="J239" s="884">
        <v>0.525</v>
      </c>
      <c r="K239" s="885">
        <v>0</v>
      </c>
      <c r="L239" s="886">
        <v>0</v>
      </c>
      <c r="M239" s="882"/>
    </row>
    <row r="240" spans="1:13" ht="12.75">
      <c r="A240" s="882"/>
      <c r="B240" s="882"/>
      <c r="C240" s="882"/>
      <c r="D240" s="882"/>
      <c r="E240" s="883" t="s">
        <v>2914</v>
      </c>
      <c r="F240" s="883" t="s">
        <v>2915</v>
      </c>
      <c r="G240" s="883" t="s">
        <v>2469</v>
      </c>
      <c r="H240" s="883" t="s">
        <v>2543</v>
      </c>
      <c r="I240" s="883" t="s">
        <v>2564</v>
      </c>
      <c r="J240" s="884">
        <v>1.7</v>
      </c>
      <c r="K240" s="885">
        <v>0</v>
      </c>
      <c r="L240" s="886">
        <v>0</v>
      </c>
      <c r="M240" s="882"/>
    </row>
    <row r="241" spans="1:13" ht="12.75">
      <c r="A241" s="882"/>
      <c r="B241" s="882"/>
      <c r="C241" s="882"/>
      <c r="D241" s="882"/>
      <c r="E241" s="883" t="s">
        <v>2914</v>
      </c>
      <c r="F241" s="883" t="s">
        <v>2915</v>
      </c>
      <c r="G241" s="883" t="s">
        <v>2469</v>
      </c>
      <c r="H241" s="883" t="s">
        <v>2543</v>
      </c>
      <c r="I241" s="883" t="s">
        <v>2841</v>
      </c>
      <c r="J241" s="884">
        <v>0.808</v>
      </c>
      <c r="K241" s="885">
        <v>0</v>
      </c>
      <c r="L241" s="886">
        <v>0</v>
      </c>
      <c r="M241" s="882"/>
    </row>
    <row r="242" spans="1:13" ht="12.75">
      <c r="A242" s="882"/>
      <c r="B242" s="882"/>
      <c r="C242" s="882"/>
      <c r="D242" s="882"/>
      <c r="E242" s="883" t="s">
        <v>2914</v>
      </c>
      <c r="F242" s="883" t="s">
        <v>2915</v>
      </c>
      <c r="G242" s="883" t="s">
        <v>2469</v>
      </c>
      <c r="H242" s="883" t="s">
        <v>2543</v>
      </c>
      <c r="I242" s="883" t="s">
        <v>2842</v>
      </c>
      <c r="J242" s="884">
        <v>4.577</v>
      </c>
      <c r="K242" s="885">
        <v>0</v>
      </c>
      <c r="L242" s="886">
        <v>0</v>
      </c>
      <c r="M242" s="882"/>
    </row>
    <row r="243" spans="1:13" ht="12.75">
      <c r="A243" s="882"/>
      <c r="B243" s="882"/>
      <c r="C243" s="882"/>
      <c r="D243" s="882"/>
      <c r="E243" s="883" t="s">
        <v>2914</v>
      </c>
      <c r="F243" s="883" t="s">
        <v>2915</v>
      </c>
      <c r="G243" s="883" t="s">
        <v>2469</v>
      </c>
      <c r="H243" s="883" t="s">
        <v>2543</v>
      </c>
      <c r="I243" s="883" t="s">
        <v>2538</v>
      </c>
      <c r="J243" s="884">
        <v>0.3</v>
      </c>
      <c r="K243" s="885">
        <v>0</v>
      </c>
      <c r="L243" s="886">
        <v>0</v>
      </c>
      <c r="M243" s="882"/>
    </row>
    <row r="244" spans="1:13" ht="12.75">
      <c r="A244" s="882"/>
      <c r="B244" s="882"/>
      <c r="C244" s="882"/>
      <c r="D244" s="882"/>
      <c r="E244" s="883" t="s">
        <v>2916</v>
      </c>
      <c r="F244" s="883" t="s">
        <v>2917</v>
      </c>
      <c r="G244" s="883" t="s">
        <v>2469</v>
      </c>
      <c r="H244" s="883" t="s">
        <v>2543</v>
      </c>
      <c r="I244" s="883" t="s">
        <v>2538</v>
      </c>
      <c r="J244" s="884">
        <v>0.015</v>
      </c>
      <c r="K244" s="885">
        <v>0</v>
      </c>
      <c r="L244" s="886">
        <v>0</v>
      </c>
      <c r="M244" s="882"/>
    </row>
    <row r="245" spans="1:13" ht="12.75">
      <c r="A245" s="882"/>
      <c r="B245" s="882"/>
      <c r="C245" s="882"/>
      <c r="D245" s="882"/>
      <c r="E245" s="883" t="s">
        <v>2916</v>
      </c>
      <c r="F245" s="883" t="s">
        <v>2917</v>
      </c>
      <c r="G245" s="883" t="s">
        <v>2469</v>
      </c>
      <c r="H245" s="883" t="s">
        <v>2543</v>
      </c>
      <c r="I245" s="883" t="s">
        <v>2842</v>
      </c>
      <c r="J245" s="884">
        <v>1.596</v>
      </c>
      <c r="K245" s="885">
        <v>0</v>
      </c>
      <c r="L245" s="886">
        <v>0</v>
      </c>
      <c r="M245" s="882"/>
    </row>
    <row r="246" spans="1:13" ht="12.75">
      <c r="A246" s="882"/>
      <c r="B246" s="882"/>
      <c r="C246" s="882"/>
      <c r="D246" s="882"/>
      <c r="E246" s="883" t="s">
        <v>2916</v>
      </c>
      <c r="F246" s="883" t="s">
        <v>2917</v>
      </c>
      <c r="G246" s="883" t="s">
        <v>2469</v>
      </c>
      <c r="H246" s="883" t="s">
        <v>2543</v>
      </c>
      <c r="I246" s="883" t="s">
        <v>2564</v>
      </c>
      <c r="J246" s="884">
        <v>0.085</v>
      </c>
      <c r="K246" s="885">
        <v>0</v>
      </c>
      <c r="L246" s="886">
        <v>0</v>
      </c>
      <c r="M246" s="882"/>
    </row>
    <row r="247" spans="1:13" ht="12.75">
      <c r="A247" s="882"/>
      <c r="B247" s="882"/>
      <c r="C247" s="882"/>
      <c r="D247" s="882"/>
      <c r="E247" s="883" t="s">
        <v>2916</v>
      </c>
      <c r="F247" s="883" t="s">
        <v>2917</v>
      </c>
      <c r="G247" s="883" t="s">
        <v>2469</v>
      </c>
      <c r="H247" s="883" t="s">
        <v>2543</v>
      </c>
      <c r="I247" s="883" t="s">
        <v>2841</v>
      </c>
      <c r="J247" s="884">
        <v>0.282</v>
      </c>
      <c r="K247" s="885">
        <v>0</v>
      </c>
      <c r="L247" s="886">
        <v>0</v>
      </c>
      <c r="M247" s="882"/>
    </row>
    <row r="248" spans="1:13" ht="12.75">
      <c r="A248" s="882"/>
      <c r="B248" s="882"/>
      <c r="C248" s="882"/>
      <c r="D248" s="882"/>
      <c r="E248" s="883" t="s">
        <v>2918</v>
      </c>
      <c r="F248" s="883" t="s">
        <v>2919</v>
      </c>
      <c r="G248" s="883" t="s">
        <v>2469</v>
      </c>
      <c r="H248" s="883" t="s">
        <v>2543</v>
      </c>
      <c r="I248" s="883" t="s">
        <v>2841</v>
      </c>
      <c r="J248" s="884">
        <v>2.31</v>
      </c>
      <c r="K248" s="885">
        <v>0</v>
      </c>
      <c r="L248" s="886">
        <v>0</v>
      </c>
      <c r="M248" s="882"/>
    </row>
    <row r="249" spans="1:13" ht="12.75">
      <c r="A249" s="882"/>
      <c r="B249" s="882"/>
      <c r="C249" s="882"/>
      <c r="D249" s="882"/>
      <c r="E249" s="883" t="s">
        <v>2918</v>
      </c>
      <c r="F249" s="883" t="s">
        <v>2919</v>
      </c>
      <c r="G249" s="883" t="s">
        <v>2469</v>
      </c>
      <c r="H249" s="883" t="s">
        <v>2543</v>
      </c>
      <c r="I249" s="883" t="s">
        <v>2538</v>
      </c>
      <c r="J249" s="884">
        <v>8.1</v>
      </c>
      <c r="K249" s="885">
        <v>0</v>
      </c>
      <c r="L249" s="886">
        <v>0</v>
      </c>
      <c r="M249" s="882"/>
    </row>
    <row r="250" spans="1:13" ht="12.75">
      <c r="A250" s="882"/>
      <c r="B250" s="882"/>
      <c r="C250" s="882"/>
      <c r="D250" s="882"/>
      <c r="E250" s="883" t="s">
        <v>2918</v>
      </c>
      <c r="F250" s="883" t="s">
        <v>2919</v>
      </c>
      <c r="G250" s="883" t="s">
        <v>2469</v>
      </c>
      <c r="H250" s="883" t="s">
        <v>2543</v>
      </c>
      <c r="I250" s="883" t="s">
        <v>2842</v>
      </c>
      <c r="J250" s="884">
        <v>13.089</v>
      </c>
      <c r="K250" s="885">
        <v>0</v>
      </c>
      <c r="L250" s="886">
        <v>0</v>
      </c>
      <c r="M250" s="882"/>
    </row>
    <row r="251" spans="1:13" ht="12.75">
      <c r="A251" s="882"/>
      <c r="B251" s="882"/>
      <c r="C251" s="882"/>
      <c r="D251" s="882"/>
      <c r="E251" s="883" t="s">
        <v>2918</v>
      </c>
      <c r="F251" s="883" t="s">
        <v>2919</v>
      </c>
      <c r="G251" s="883" t="s">
        <v>2469</v>
      </c>
      <c r="H251" s="883" t="s">
        <v>2543</v>
      </c>
      <c r="I251" s="883" t="s">
        <v>2564</v>
      </c>
      <c r="J251" s="884">
        <v>45.9</v>
      </c>
      <c r="K251" s="885">
        <v>0</v>
      </c>
      <c r="L251" s="886">
        <v>0</v>
      </c>
      <c r="M251" s="882"/>
    </row>
    <row r="252" spans="1:13" ht="12.75">
      <c r="A252" s="882"/>
      <c r="B252" s="882"/>
      <c r="C252" s="882"/>
      <c r="D252" s="882"/>
      <c r="E252" s="883" t="s">
        <v>2920</v>
      </c>
      <c r="F252" s="883" t="s">
        <v>2921</v>
      </c>
      <c r="G252" s="883" t="s">
        <v>2469</v>
      </c>
      <c r="H252" s="883" t="s">
        <v>2543</v>
      </c>
      <c r="I252" s="883" t="s">
        <v>2842</v>
      </c>
      <c r="J252" s="884">
        <v>1.7</v>
      </c>
      <c r="K252" s="885">
        <v>0</v>
      </c>
      <c r="L252" s="886">
        <v>0</v>
      </c>
      <c r="M252" s="882"/>
    </row>
    <row r="253" spans="1:13" ht="12.75">
      <c r="A253" s="882"/>
      <c r="B253" s="882"/>
      <c r="C253" s="882"/>
      <c r="D253" s="882"/>
      <c r="E253" s="883" t="s">
        <v>2920</v>
      </c>
      <c r="F253" s="883" t="s">
        <v>2921</v>
      </c>
      <c r="G253" s="883" t="s">
        <v>2469</v>
      </c>
      <c r="H253" s="883" t="s">
        <v>2543</v>
      </c>
      <c r="I253" s="883" t="s">
        <v>2841</v>
      </c>
      <c r="J253" s="884">
        <v>0.3</v>
      </c>
      <c r="K253" s="885">
        <v>0</v>
      </c>
      <c r="L253" s="886">
        <v>0</v>
      </c>
      <c r="M253" s="882"/>
    </row>
    <row r="254" spans="1:13" ht="12.75">
      <c r="A254" s="882"/>
      <c r="B254" s="882"/>
      <c r="C254" s="882"/>
      <c r="D254" s="882"/>
      <c r="E254" s="883" t="s">
        <v>2922</v>
      </c>
      <c r="F254" s="883" t="s">
        <v>2923</v>
      </c>
      <c r="G254" s="883" t="s">
        <v>2469</v>
      </c>
      <c r="H254" s="883" t="s">
        <v>2543</v>
      </c>
      <c r="I254" s="883" t="s">
        <v>2841</v>
      </c>
      <c r="J254" s="884">
        <v>15.075</v>
      </c>
      <c r="K254" s="885">
        <v>0</v>
      </c>
      <c r="L254" s="886">
        <v>0</v>
      </c>
      <c r="M254" s="882"/>
    </row>
    <row r="255" spans="1:13" ht="12.75">
      <c r="A255" s="882"/>
      <c r="B255" s="882"/>
      <c r="C255" s="882"/>
      <c r="D255" s="882"/>
      <c r="E255" s="883" t="s">
        <v>2922</v>
      </c>
      <c r="F255" s="883" t="s">
        <v>2923</v>
      </c>
      <c r="G255" s="883" t="s">
        <v>2469</v>
      </c>
      <c r="H255" s="883" t="s">
        <v>2543</v>
      </c>
      <c r="I255" s="883" t="s">
        <v>2842</v>
      </c>
      <c r="J255" s="884">
        <v>85.425</v>
      </c>
      <c r="K255" s="885">
        <v>0</v>
      </c>
      <c r="L255" s="886">
        <v>0</v>
      </c>
      <c r="M255" s="882"/>
    </row>
    <row r="256" spans="1:13" ht="12.75">
      <c r="A256" s="882"/>
      <c r="B256" s="882"/>
      <c r="C256" s="882"/>
      <c r="D256" s="882"/>
      <c r="E256" s="883" t="s">
        <v>2924</v>
      </c>
      <c r="F256" s="883" t="s">
        <v>2925</v>
      </c>
      <c r="G256" s="883" t="s">
        <v>2469</v>
      </c>
      <c r="H256" s="883" t="s">
        <v>2543</v>
      </c>
      <c r="I256" s="883" t="s">
        <v>2842</v>
      </c>
      <c r="J256" s="884">
        <v>0.85</v>
      </c>
      <c r="K256" s="885">
        <v>0</v>
      </c>
      <c r="L256" s="886">
        <v>0</v>
      </c>
      <c r="M256" s="882"/>
    </row>
    <row r="257" spans="1:13" ht="12.75">
      <c r="A257" s="882"/>
      <c r="B257" s="882"/>
      <c r="C257" s="882"/>
      <c r="D257" s="882"/>
      <c r="E257" s="883" t="s">
        <v>2924</v>
      </c>
      <c r="F257" s="883" t="s">
        <v>2925</v>
      </c>
      <c r="G257" s="883" t="s">
        <v>2469</v>
      </c>
      <c r="H257" s="883" t="s">
        <v>2543</v>
      </c>
      <c r="I257" s="883" t="s">
        <v>2841</v>
      </c>
      <c r="J257" s="884">
        <v>0.15</v>
      </c>
      <c r="K257" s="885">
        <v>0</v>
      </c>
      <c r="L257" s="886">
        <v>0</v>
      </c>
      <c r="M257" s="882"/>
    </row>
    <row r="258" spans="1:13" ht="12.75">
      <c r="A258" s="882"/>
      <c r="B258" s="882"/>
      <c r="C258" s="882"/>
      <c r="D258" s="882"/>
      <c r="E258" s="883" t="s">
        <v>2926</v>
      </c>
      <c r="F258" s="883" t="s">
        <v>2927</v>
      </c>
      <c r="G258" s="883" t="s">
        <v>2469</v>
      </c>
      <c r="H258" s="883" t="s">
        <v>2543</v>
      </c>
      <c r="I258" s="883" t="s">
        <v>2842</v>
      </c>
      <c r="J258" s="884">
        <v>16.15</v>
      </c>
      <c r="K258" s="885">
        <v>0</v>
      </c>
      <c r="L258" s="886">
        <v>0</v>
      </c>
      <c r="M258" s="882"/>
    </row>
    <row r="259" spans="1:13" ht="12.75">
      <c r="A259" s="882"/>
      <c r="B259" s="882"/>
      <c r="C259" s="882"/>
      <c r="D259" s="882"/>
      <c r="E259" s="883" t="s">
        <v>2926</v>
      </c>
      <c r="F259" s="883" t="s">
        <v>2927</v>
      </c>
      <c r="G259" s="883" t="s">
        <v>2469</v>
      </c>
      <c r="H259" s="883" t="s">
        <v>2543</v>
      </c>
      <c r="I259" s="883" t="s">
        <v>2841</v>
      </c>
      <c r="J259" s="884">
        <v>2.85</v>
      </c>
      <c r="K259" s="885">
        <v>0</v>
      </c>
      <c r="L259" s="886">
        <v>0</v>
      </c>
      <c r="M259" s="882"/>
    </row>
    <row r="260" spans="1:13" ht="12.75">
      <c r="A260" s="882"/>
      <c r="B260" s="882"/>
      <c r="C260" s="882"/>
      <c r="D260" s="882"/>
      <c r="E260" s="883" t="s">
        <v>2928</v>
      </c>
      <c r="F260" s="883" t="s">
        <v>2929</v>
      </c>
      <c r="G260" s="883" t="s">
        <v>2469</v>
      </c>
      <c r="H260" s="883" t="s">
        <v>2543</v>
      </c>
      <c r="I260" s="883" t="s">
        <v>2842</v>
      </c>
      <c r="J260" s="884">
        <v>15.3</v>
      </c>
      <c r="K260" s="885">
        <v>0</v>
      </c>
      <c r="L260" s="886">
        <v>0</v>
      </c>
      <c r="M260" s="882"/>
    </row>
    <row r="261" spans="1:13" ht="12.75">
      <c r="A261" s="882"/>
      <c r="B261" s="882"/>
      <c r="C261" s="882"/>
      <c r="D261" s="882"/>
      <c r="E261" s="883" t="s">
        <v>2928</v>
      </c>
      <c r="F261" s="883" t="s">
        <v>2929</v>
      </c>
      <c r="G261" s="883" t="s">
        <v>2469</v>
      </c>
      <c r="H261" s="883" t="s">
        <v>2543</v>
      </c>
      <c r="I261" s="883" t="s">
        <v>2841</v>
      </c>
      <c r="J261" s="884">
        <v>2.7</v>
      </c>
      <c r="K261" s="885">
        <v>0</v>
      </c>
      <c r="L261" s="886">
        <v>0</v>
      </c>
      <c r="M261" s="882"/>
    </row>
    <row r="262" spans="1:13" ht="12.75">
      <c r="A262" s="882"/>
      <c r="B262" s="882"/>
      <c r="C262" s="882"/>
      <c r="D262" s="882"/>
      <c r="E262" s="883" t="s">
        <v>2930</v>
      </c>
      <c r="F262" s="883" t="s">
        <v>2931</v>
      </c>
      <c r="G262" s="883" t="s">
        <v>2469</v>
      </c>
      <c r="H262" s="883" t="s">
        <v>2543</v>
      </c>
      <c r="I262" s="883" t="s">
        <v>2841</v>
      </c>
      <c r="J262" s="884">
        <v>3.262</v>
      </c>
      <c r="K262" s="885">
        <v>0</v>
      </c>
      <c r="L262" s="886">
        <v>0</v>
      </c>
      <c r="M262" s="882"/>
    </row>
    <row r="263" spans="1:13" ht="12.75">
      <c r="A263" s="882"/>
      <c r="B263" s="882"/>
      <c r="C263" s="882"/>
      <c r="D263" s="882"/>
      <c r="E263" s="883" t="s">
        <v>2930</v>
      </c>
      <c r="F263" s="883" t="s">
        <v>2931</v>
      </c>
      <c r="G263" s="883" t="s">
        <v>2469</v>
      </c>
      <c r="H263" s="883" t="s">
        <v>2543</v>
      </c>
      <c r="I263" s="883" t="s">
        <v>2842</v>
      </c>
      <c r="J263" s="884">
        <v>18.484</v>
      </c>
      <c r="K263" s="885">
        <v>0</v>
      </c>
      <c r="L263" s="886">
        <v>0</v>
      </c>
      <c r="M263" s="882"/>
    </row>
    <row r="264" spans="1:13" ht="12.75">
      <c r="A264" s="882"/>
      <c r="B264" s="882"/>
      <c r="C264" s="882"/>
      <c r="D264" s="882"/>
      <c r="E264" s="883" t="s">
        <v>2932</v>
      </c>
      <c r="F264" s="883" t="s">
        <v>2933</v>
      </c>
      <c r="G264" s="883" t="s">
        <v>2469</v>
      </c>
      <c r="H264" s="883" t="s">
        <v>2543</v>
      </c>
      <c r="I264" s="883" t="s">
        <v>2841</v>
      </c>
      <c r="J264" s="884">
        <v>3.22</v>
      </c>
      <c r="K264" s="885">
        <v>0</v>
      </c>
      <c r="L264" s="886">
        <v>0</v>
      </c>
      <c r="M264" s="882"/>
    </row>
    <row r="265" spans="1:13" ht="12.75">
      <c r="A265" s="882"/>
      <c r="B265" s="882"/>
      <c r="C265" s="882"/>
      <c r="D265" s="882"/>
      <c r="E265" s="883" t="s">
        <v>2932</v>
      </c>
      <c r="F265" s="883" t="s">
        <v>2933</v>
      </c>
      <c r="G265" s="883" t="s">
        <v>2469</v>
      </c>
      <c r="H265" s="883" t="s">
        <v>2543</v>
      </c>
      <c r="I265" s="883" t="s">
        <v>2842</v>
      </c>
      <c r="J265" s="884">
        <v>18.245</v>
      </c>
      <c r="K265" s="885">
        <v>0</v>
      </c>
      <c r="L265" s="886">
        <v>0</v>
      </c>
      <c r="M265" s="882"/>
    </row>
    <row r="266" spans="1:13" ht="12.75">
      <c r="A266" s="882"/>
      <c r="B266" s="882"/>
      <c r="C266" s="882"/>
      <c r="D266" s="882"/>
      <c r="E266" s="883" t="s">
        <v>2934</v>
      </c>
      <c r="F266" s="883" t="s">
        <v>2935</v>
      </c>
      <c r="G266" s="883" t="s">
        <v>2469</v>
      </c>
      <c r="H266" s="883" t="s">
        <v>2543</v>
      </c>
      <c r="I266" s="883" t="s">
        <v>2842</v>
      </c>
      <c r="J266" s="884">
        <v>12.721</v>
      </c>
      <c r="K266" s="885">
        <v>0</v>
      </c>
      <c r="L266" s="886">
        <v>0</v>
      </c>
      <c r="M266" s="882"/>
    </row>
    <row r="267" spans="1:13" ht="12.75">
      <c r="A267" s="882"/>
      <c r="B267" s="882"/>
      <c r="C267" s="882"/>
      <c r="D267" s="882"/>
      <c r="E267" s="883" t="s">
        <v>2934</v>
      </c>
      <c r="F267" s="883" t="s">
        <v>2935</v>
      </c>
      <c r="G267" s="883" t="s">
        <v>2469</v>
      </c>
      <c r="H267" s="883" t="s">
        <v>2543</v>
      </c>
      <c r="I267" s="883" t="s">
        <v>2841</v>
      </c>
      <c r="J267" s="884">
        <v>2.245</v>
      </c>
      <c r="K267" s="885">
        <v>0</v>
      </c>
      <c r="L267" s="886">
        <v>0</v>
      </c>
      <c r="M267" s="882"/>
    </row>
    <row r="268" spans="1:13" ht="12.75">
      <c r="A268" s="882"/>
      <c r="B268" s="882"/>
      <c r="C268" s="882"/>
      <c r="D268" s="882"/>
      <c r="E268" s="883" t="s">
        <v>2936</v>
      </c>
      <c r="F268" s="883" t="s">
        <v>2937</v>
      </c>
      <c r="G268" s="883" t="s">
        <v>2469</v>
      </c>
      <c r="H268" s="883" t="s">
        <v>2543</v>
      </c>
      <c r="I268" s="883" t="s">
        <v>2842</v>
      </c>
      <c r="J268" s="884">
        <v>0.6</v>
      </c>
      <c r="K268" s="885">
        <v>0</v>
      </c>
      <c r="L268" s="886">
        <v>0</v>
      </c>
      <c r="M268" s="882"/>
    </row>
    <row r="269" spans="1:13" ht="12.75">
      <c r="A269" s="882"/>
      <c r="B269" s="882"/>
      <c r="C269" s="882"/>
      <c r="D269" s="882"/>
      <c r="E269" s="883" t="s">
        <v>2936</v>
      </c>
      <c r="F269" s="883" t="s">
        <v>2937</v>
      </c>
      <c r="G269" s="883" t="s">
        <v>2469</v>
      </c>
      <c r="H269" s="883" t="s">
        <v>2543</v>
      </c>
      <c r="I269" s="883" t="s">
        <v>2841</v>
      </c>
      <c r="J269" s="884">
        <v>0.2</v>
      </c>
      <c r="K269" s="885">
        <v>0</v>
      </c>
      <c r="L269" s="886">
        <v>0</v>
      </c>
      <c r="M269" s="882"/>
    </row>
    <row r="270" spans="1:13" ht="12.75">
      <c r="A270" s="882"/>
      <c r="B270" s="882"/>
      <c r="C270" s="882"/>
      <c r="D270" s="882"/>
      <c r="E270" s="883" t="s">
        <v>2938</v>
      </c>
      <c r="F270" s="883" t="s">
        <v>2939</v>
      </c>
      <c r="G270" s="883" t="s">
        <v>2469</v>
      </c>
      <c r="H270" s="883" t="s">
        <v>2543</v>
      </c>
      <c r="I270" s="883" t="s">
        <v>2842</v>
      </c>
      <c r="J270" s="884">
        <v>3.4</v>
      </c>
      <c r="K270" s="885">
        <v>0</v>
      </c>
      <c r="L270" s="886">
        <v>0</v>
      </c>
      <c r="M270" s="882"/>
    </row>
    <row r="271" spans="1:13" ht="12.75">
      <c r="A271" s="882"/>
      <c r="B271" s="882"/>
      <c r="C271" s="882"/>
      <c r="D271" s="882"/>
      <c r="E271" s="883" t="s">
        <v>2938</v>
      </c>
      <c r="F271" s="883" t="s">
        <v>2939</v>
      </c>
      <c r="G271" s="883" t="s">
        <v>2469</v>
      </c>
      <c r="H271" s="883" t="s">
        <v>2543</v>
      </c>
      <c r="I271" s="883" t="s">
        <v>2841</v>
      </c>
      <c r="J271" s="884">
        <v>0.6</v>
      </c>
      <c r="K271" s="885">
        <v>0</v>
      </c>
      <c r="L271" s="886">
        <v>0</v>
      </c>
      <c r="M271" s="882"/>
    </row>
    <row r="272" spans="1:13" ht="12.75">
      <c r="A272" s="882"/>
      <c r="B272" s="882"/>
      <c r="C272" s="882"/>
      <c r="D272" s="882"/>
      <c r="E272" s="883" t="s">
        <v>2940</v>
      </c>
      <c r="F272" s="883" t="s">
        <v>2941</v>
      </c>
      <c r="G272" s="883" t="s">
        <v>2469</v>
      </c>
      <c r="H272" s="883" t="s">
        <v>2543</v>
      </c>
      <c r="I272" s="883" t="s">
        <v>2841</v>
      </c>
      <c r="J272" s="884">
        <v>0.25</v>
      </c>
      <c r="K272" s="885">
        <v>0</v>
      </c>
      <c r="L272" s="886">
        <v>0</v>
      </c>
      <c r="M272" s="882"/>
    </row>
    <row r="273" spans="1:13" ht="12.75">
      <c r="A273" s="882"/>
      <c r="B273" s="882"/>
      <c r="C273" s="882"/>
      <c r="D273" s="882"/>
      <c r="E273" s="883" t="s">
        <v>2940</v>
      </c>
      <c r="F273" s="883" t="s">
        <v>2941</v>
      </c>
      <c r="G273" s="883" t="s">
        <v>2469</v>
      </c>
      <c r="H273" s="883" t="s">
        <v>2543</v>
      </c>
      <c r="I273" s="883" t="s">
        <v>2842</v>
      </c>
      <c r="J273" s="884">
        <v>4.75</v>
      </c>
      <c r="K273" s="885">
        <v>0</v>
      </c>
      <c r="L273" s="886">
        <v>0</v>
      </c>
      <c r="M273" s="882"/>
    </row>
    <row r="274" spans="1:13" ht="12.75">
      <c r="A274" s="882"/>
      <c r="B274" s="882"/>
      <c r="C274" s="882"/>
      <c r="D274" s="882"/>
      <c r="E274" s="883" t="s">
        <v>2942</v>
      </c>
      <c r="F274" s="883" t="s">
        <v>2943</v>
      </c>
      <c r="G274" s="883" t="s">
        <v>2469</v>
      </c>
      <c r="H274" s="883" t="s">
        <v>2543</v>
      </c>
      <c r="I274" s="883" t="s">
        <v>2842</v>
      </c>
      <c r="J274" s="884">
        <v>1.054</v>
      </c>
      <c r="K274" s="885">
        <v>0</v>
      </c>
      <c r="L274" s="886">
        <v>0</v>
      </c>
      <c r="M274" s="882"/>
    </row>
    <row r="275" spans="1:13" ht="12.75">
      <c r="A275" s="882"/>
      <c r="B275" s="882"/>
      <c r="C275" s="882"/>
      <c r="D275" s="882"/>
      <c r="E275" s="883" t="s">
        <v>2942</v>
      </c>
      <c r="F275" s="883" t="s">
        <v>2943</v>
      </c>
      <c r="G275" s="883" t="s">
        <v>2469</v>
      </c>
      <c r="H275" s="883" t="s">
        <v>2543</v>
      </c>
      <c r="I275" s="883" t="s">
        <v>2841</v>
      </c>
      <c r="J275" s="884">
        <v>0.186</v>
      </c>
      <c r="K275" s="885">
        <v>0</v>
      </c>
      <c r="L275" s="886">
        <v>0</v>
      </c>
      <c r="M275" s="882"/>
    </row>
    <row r="276" spans="1:13" ht="12.75">
      <c r="A276" s="882"/>
      <c r="B276" s="882"/>
      <c r="C276" s="882"/>
      <c r="D276" s="882"/>
      <c r="E276" s="883" t="s">
        <v>2944</v>
      </c>
      <c r="F276" s="883" t="s">
        <v>2945</v>
      </c>
      <c r="G276" s="883" t="s">
        <v>2469</v>
      </c>
      <c r="H276" s="883" t="s">
        <v>2543</v>
      </c>
      <c r="I276" s="883" t="s">
        <v>2841</v>
      </c>
      <c r="J276" s="884">
        <v>0.686</v>
      </c>
      <c r="K276" s="885">
        <v>0</v>
      </c>
      <c r="L276" s="886">
        <v>0</v>
      </c>
      <c r="M276" s="882"/>
    </row>
    <row r="277" spans="1:13" ht="12.75">
      <c r="A277" s="882"/>
      <c r="B277" s="882"/>
      <c r="C277" s="882"/>
      <c r="D277" s="882"/>
      <c r="E277" s="883" t="s">
        <v>2944</v>
      </c>
      <c r="F277" s="883" t="s">
        <v>2945</v>
      </c>
      <c r="G277" s="883" t="s">
        <v>2469</v>
      </c>
      <c r="H277" s="883" t="s">
        <v>2543</v>
      </c>
      <c r="I277" s="883" t="s">
        <v>2842</v>
      </c>
      <c r="J277" s="884">
        <v>3.884</v>
      </c>
      <c r="K277" s="885">
        <v>0</v>
      </c>
      <c r="L277" s="886">
        <v>0</v>
      </c>
      <c r="M277" s="882"/>
    </row>
    <row r="278" spans="1:13" ht="12.75">
      <c r="A278" s="882"/>
      <c r="B278" s="882"/>
      <c r="C278" s="882"/>
      <c r="D278" s="882"/>
      <c r="E278" s="883" t="s">
        <v>2946</v>
      </c>
      <c r="F278" s="883" t="s">
        <v>2947</v>
      </c>
      <c r="G278" s="883" t="s">
        <v>2469</v>
      </c>
      <c r="H278" s="883" t="s">
        <v>2543</v>
      </c>
      <c r="I278" s="883" t="s">
        <v>2842</v>
      </c>
      <c r="J278" s="884">
        <v>0.85</v>
      </c>
      <c r="K278" s="885">
        <v>0</v>
      </c>
      <c r="L278" s="886">
        <v>0</v>
      </c>
      <c r="M278" s="882"/>
    </row>
    <row r="279" spans="1:13" ht="12.75">
      <c r="A279" s="882"/>
      <c r="B279" s="882"/>
      <c r="C279" s="882"/>
      <c r="D279" s="882"/>
      <c r="E279" s="883" t="s">
        <v>2946</v>
      </c>
      <c r="F279" s="883" t="s">
        <v>2947</v>
      </c>
      <c r="G279" s="883" t="s">
        <v>2469</v>
      </c>
      <c r="H279" s="883" t="s">
        <v>2543</v>
      </c>
      <c r="I279" s="883" t="s">
        <v>2841</v>
      </c>
      <c r="J279" s="884">
        <v>0.15</v>
      </c>
      <c r="K279" s="885">
        <v>0</v>
      </c>
      <c r="L279" s="886">
        <v>0</v>
      </c>
      <c r="M279" s="882"/>
    </row>
    <row r="280" spans="1:13" ht="12.75">
      <c r="A280" s="882"/>
      <c r="B280" s="882"/>
      <c r="C280" s="882"/>
      <c r="D280" s="882"/>
      <c r="E280" s="883" t="s">
        <v>2948</v>
      </c>
      <c r="F280" s="883" t="s">
        <v>2949</v>
      </c>
      <c r="G280" s="883" t="s">
        <v>2469</v>
      </c>
      <c r="H280" s="883" t="s">
        <v>2543</v>
      </c>
      <c r="I280" s="883" t="s">
        <v>2842</v>
      </c>
      <c r="J280" s="884">
        <v>21.834</v>
      </c>
      <c r="K280" s="885">
        <v>0</v>
      </c>
      <c r="L280" s="886">
        <v>0</v>
      </c>
      <c r="M280" s="882"/>
    </row>
    <row r="281" spans="1:13" ht="12.75">
      <c r="A281" s="882"/>
      <c r="B281" s="882"/>
      <c r="C281" s="882"/>
      <c r="D281" s="882"/>
      <c r="E281" s="883" t="s">
        <v>2948</v>
      </c>
      <c r="F281" s="883" t="s">
        <v>2949</v>
      </c>
      <c r="G281" s="883" t="s">
        <v>2469</v>
      </c>
      <c r="H281" s="883" t="s">
        <v>2543</v>
      </c>
      <c r="I281" s="883" t="s">
        <v>2841</v>
      </c>
      <c r="J281" s="884">
        <v>3.854</v>
      </c>
      <c r="K281" s="885">
        <v>0</v>
      </c>
      <c r="L281" s="886">
        <v>0</v>
      </c>
      <c r="M281" s="882"/>
    </row>
    <row r="282" spans="1:13" ht="12.75">
      <c r="A282" s="882"/>
      <c r="B282" s="882"/>
      <c r="C282" s="882"/>
      <c r="D282" s="882"/>
      <c r="E282" s="883" t="s">
        <v>2950</v>
      </c>
      <c r="F282" s="883" t="s">
        <v>2951</v>
      </c>
      <c r="G282" s="883" t="s">
        <v>2469</v>
      </c>
      <c r="H282" s="883" t="s">
        <v>2543</v>
      </c>
      <c r="I282" s="883" t="s">
        <v>2564</v>
      </c>
      <c r="J282" s="885">
        <v>0</v>
      </c>
      <c r="K282" s="885">
        <v>224.377</v>
      </c>
      <c r="L282" s="886">
        <v>0</v>
      </c>
      <c r="M282" s="882"/>
    </row>
    <row r="283" spans="1:13" ht="13.5" thickBot="1">
      <c r="A283" s="882"/>
      <c r="B283" s="882"/>
      <c r="C283" s="882"/>
      <c r="D283" s="882"/>
      <c r="E283" s="883" t="s">
        <v>2950</v>
      </c>
      <c r="F283" s="883" t="s">
        <v>2951</v>
      </c>
      <c r="G283" s="883" t="s">
        <v>2469</v>
      </c>
      <c r="H283" s="883" t="s">
        <v>2543</v>
      </c>
      <c r="I283" s="883" t="s">
        <v>2538</v>
      </c>
      <c r="J283" s="885">
        <v>0</v>
      </c>
      <c r="K283" s="885">
        <v>39.596</v>
      </c>
      <c r="L283" s="886">
        <v>0</v>
      </c>
      <c r="M283" s="882"/>
    </row>
    <row r="284" spans="1:13" ht="13.5" thickBot="1">
      <c r="A284" s="882"/>
      <c r="B284" s="882"/>
      <c r="C284" s="882"/>
      <c r="D284" s="882"/>
      <c r="E284" s="1043" t="s">
        <v>2952</v>
      </c>
      <c r="F284" s="1044"/>
      <c r="G284" s="1044"/>
      <c r="H284" s="1044"/>
      <c r="I284" s="1044"/>
      <c r="J284" s="890">
        <f>SUM(J163:J283)</f>
        <v>2750.5190000000002</v>
      </c>
      <c r="K284" s="890">
        <f>SUM(K163:K283)</f>
        <v>1509.337</v>
      </c>
      <c r="L284" s="891">
        <f>SUM(L163:L283)</f>
        <v>252.08409934</v>
      </c>
      <c r="M284" s="882"/>
    </row>
    <row r="285" spans="1:13" ht="12.75">
      <c r="A285" s="882"/>
      <c r="B285" s="882"/>
      <c r="C285" s="882"/>
      <c r="D285" s="882"/>
      <c r="E285" s="883" t="s">
        <v>2953</v>
      </c>
      <c r="F285" s="883" t="s">
        <v>2954</v>
      </c>
      <c r="G285" s="883" t="s">
        <v>2955</v>
      </c>
      <c r="H285" s="883" t="s">
        <v>2063</v>
      </c>
      <c r="I285" s="883" t="s">
        <v>2841</v>
      </c>
      <c r="J285" s="885">
        <v>0</v>
      </c>
      <c r="K285" s="885">
        <v>1.794</v>
      </c>
      <c r="L285" s="886">
        <v>0</v>
      </c>
      <c r="M285" s="882"/>
    </row>
    <row r="286" spans="1:13" ht="13.5" thickBot="1">
      <c r="A286" s="882"/>
      <c r="B286" s="882"/>
      <c r="C286" s="882"/>
      <c r="D286" s="882"/>
      <c r="E286" s="883" t="s">
        <v>2953</v>
      </c>
      <c r="F286" s="883" t="s">
        <v>2954</v>
      </c>
      <c r="G286" s="883" t="s">
        <v>2955</v>
      </c>
      <c r="H286" s="883" t="s">
        <v>2063</v>
      </c>
      <c r="I286" s="883" t="s">
        <v>2538</v>
      </c>
      <c r="J286" s="885">
        <v>0</v>
      </c>
      <c r="K286" s="885">
        <v>28.206</v>
      </c>
      <c r="L286" s="886">
        <v>28.206</v>
      </c>
      <c r="M286" s="882"/>
    </row>
    <row r="287" spans="1:13" ht="13.5" thickBot="1">
      <c r="A287" s="882"/>
      <c r="B287" s="882"/>
      <c r="C287" s="882"/>
      <c r="D287" s="882"/>
      <c r="E287" s="1043" t="s">
        <v>2956</v>
      </c>
      <c r="F287" s="1044"/>
      <c r="G287" s="1044"/>
      <c r="H287" s="1044"/>
      <c r="I287" s="1044"/>
      <c r="J287" s="890">
        <f>SUM(J285:J286)</f>
        <v>0</v>
      </c>
      <c r="K287" s="890">
        <f>SUM(K285:K286)</f>
        <v>30</v>
      </c>
      <c r="L287" s="891">
        <f>SUM(L285:L286)</f>
        <v>28.206</v>
      </c>
      <c r="M287" s="882"/>
    </row>
    <row r="288" spans="1:13" ht="12.75">
      <c r="A288" s="882"/>
      <c r="B288" s="882"/>
      <c r="C288" s="882"/>
      <c r="D288" s="882"/>
      <c r="E288" s="883" t="s">
        <v>2957</v>
      </c>
      <c r="F288" s="883" t="s">
        <v>2958</v>
      </c>
      <c r="G288" s="883" t="s">
        <v>2279</v>
      </c>
      <c r="H288" s="883" t="s">
        <v>2063</v>
      </c>
      <c r="I288" s="883" t="s">
        <v>2538</v>
      </c>
      <c r="J288" s="884">
        <v>0.29</v>
      </c>
      <c r="K288" s="885">
        <v>0.225</v>
      </c>
      <c r="L288" s="886">
        <v>0.22491</v>
      </c>
      <c r="M288" s="882"/>
    </row>
    <row r="289" spans="1:13" ht="12.75">
      <c r="A289" s="882"/>
      <c r="B289" s="882"/>
      <c r="C289" s="882"/>
      <c r="D289" s="882"/>
      <c r="E289" s="883" t="s">
        <v>2959</v>
      </c>
      <c r="F289" s="883" t="s">
        <v>2960</v>
      </c>
      <c r="G289" s="883" t="s">
        <v>2279</v>
      </c>
      <c r="H289" s="883" t="s">
        <v>2543</v>
      </c>
      <c r="I289" s="883" t="s">
        <v>2538</v>
      </c>
      <c r="J289" s="884">
        <v>0.15</v>
      </c>
      <c r="K289" s="885">
        <v>0</v>
      </c>
      <c r="L289" s="886">
        <v>0</v>
      </c>
      <c r="M289" s="882"/>
    </row>
    <row r="290" spans="1:13" ht="12.75">
      <c r="A290" s="882"/>
      <c r="B290" s="882"/>
      <c r="C290" s="882"/>
      <c r="D290" s="882"/>
      <c r="E290" s="883" t="s">
        <v>2961</v>
      </c>
      <c r="F290" s="883" t="s">
        <v>2962</v>
      </c>
      <c r="G290" s="883" t="s">
        <v>2279</v>
      </c>
      <c r="H290" s="883" t="s">
        <v>2543</v>
      </c>
      <c r="I290" s="883" t="s">
        <v>2538</v>
      </c>
      <c r="J290" s="884">
        <v>0.1</v>
      </c>
      <c r="K290" s="885">
        <v>0</v>
      </c>
      <c r="L290" s="886">
        <v>0</v>
      </c>
      <c r="M290" s="882"/>
    </row>
    <row r="291" spans="1:13" ht="12.75">
      <c r="A291" s="882"/>
      <c r="B291" s="882"/>
      <c r="C291" s="882"/>
      <c r="D291" s="882"/>
      <c r="E291" s="883" t="s">
        <v>2963</v>
      </c>
      <c r="F291" s="883" t="s">
        <v>2964</v>
      </c>
      <c r="G291" s="883" t="s">
        <v>2279</v>
      </c>
      <c r="H291" s="883" t="s">
        <v>2063</v>
      </c>
      <c r="I291" s="883" t="s">
        <v>2538</v>
      </c>
      <c r="J291" s="884">
        <v>4.325</v>
      </c>
      <c r="K291" s="885">
        <v>1.48</v>
      </c>
      <c r="L291" s="886">
        <v>1.47909979</v>
      </c>
      <c r="M291" s="882"/>
    </row>
    <row r="292" spans="1:13" ht="12.75">
      <c r="A292" s="882"/>
      <c r="B292" s="882"/>
      <c r="C292" s="882"/>
      <c r="D292" s="882"/>
      <c r="E292" s="883" t="s">
        <v>2965</v>
      </c>
      <c r="F292" s="883" t="s">
        <v>2966</v>
      </c>
      <c r="G292" s="883" t="s">
        <v>2279</v>
      </c>
      <c r="H292" s="883" t="s">
        <v>2063</v>
      </c>
      <c r="I292" s="883" t="s">
        <v>2538</v>
      </c>
      <c r="J292" s="884">
        <v>0.28</v>
      </c>
      <c r="K292" s="885">
        <v>0.298</v>
      </c>
      <c r="L292" s="886">
        <v>0.2975</v>
      </c>
      <c r="M292" s="882"/>
    </row>
    <row r="293" spans="1:13" ht="12.75">
      <c r="A293" s="882"/>
      <c r="B293" s="882"/>
      <c r="C293" s="882"/>
      <c r="D293" s="882"/>
      <c r="E293" s="883" t="s">
        <v>2967</v>
      </c>
      <c r="F293" s="883" t="s">
        <v>2968</v>
      </c>
      <c r="G293" s="883" t="s">
        <v>2279</v>
      </c>
      <c r="H293" s="883" t="s">
        <v>2063</v>
      </c>
      <c r="I293" s="883" t="s">
        <v>2538</v>
      </c>
      <c r="J293" s="884">
        <v>0.06</v>
      </c>
      <c r="K293" s="885">
        <v>0.066</v>
      </c>
      <c r="L293" s="886">
        <v>0.06545</v>
      </c>
      <c r="M293" s="882"/>
    </row>
    <row r="294" spans="1:13" ht="12.75">
      <c r="A294" s="882"/>
      <c r="B294" s="882"/>
      <c r="C294" s="882"/>
      <c r="D294" s="882"/>
      <c r="E294" s="883" t="s">
        <v>2969</v>
      </c>
      <c r="F294" s="883" t="s">
        <v>2970</v>
      </c>
      <c r="G294" s="883" t="s">
        <v>2279</v>
      </c>
      <c r="H294" s="883" t="s">
        <v>2063</v>
      </c>
      <c r="I294" s="883" t="s">
        <v>2538</v>
      </c>
      <c r="J294" s="884">
        <v>0.065</v>
      </c>
      <c r="K294" s="885">
        <v>0.049</v>
      </c>
      <c r="L294" s="886">
        <v>0.04879</v>
      </c>
      <c r="M294" s="882"/>
    </row>
    <row r="295" spans="1:13" ht="12.75">
      <c r="A295" s="882"/>
      <c r="B295" s="882"/>
      <c r="C295" s="882"/>
      <c r="D295" s="882"/>
      <c r="E295" s="883" t="s">
        <v>2971</v>
      </c>
      <c r="F295" s="883" t="s">
        <v>2972</v>
      </c>
      <c r="G295" s="883" t="s">
        <v>2279</v>
      </c>
      <c r="H295" s="883" t="s">
        <v>2543</v>
      </c>
      <c r="I295" s="883" t="s">
        <v>2538</v>
      </c>
      <c r="J295" s="884">
        <v>0.06</v>
      </c>
      <c r="K295" s="885">
        <v>0</v>
      </c>
      <c r="L295" s="886">
        <v>0</v>
      </c>
      <c r="M295" s="882"/>
    </row>
    <row r="296" spans="1:13" ht="12.75">
      <c r="A296" s="882"/>
      <c r="B296" s="882"/>
      <c r="C296" s="882"/>
      <c r="D296" s="882"/>
      <c r="E296" s="883" t="s">
        <v>2973</v>
      </c>
      <c r="F296" s="883" t="s">
        <v>2974</v>
      </c>
      <c r="G296" s="883" t="s">
        <v>2279</v>
      </c>
      <c r="H296" s="883" t="s">
        <v>2063</v>
      </c>
      <c r="I296" s="883" t="s">
        <v>2538</v>
      </c>
      <c r="J296" s="884">
        <v>0.15</v>
      </c>
      <c r="K296" s="885">
        <v>0.116</v>
      </c>
      <c r="L296" s="886">
        <v>0.115906</v>
      </c>
      <c r="M296" s="882"/>
    </row>
    <row r="297" spans="1:13" ht="12.75">
      <c r="A297" s="882"/>
      <c r="B297" s="882"/>
      <c r="C297" s="882"/>
      <c r="D297" s="882"/>
      <c r="E297" s="883" t="s">
        <v>2975</v>
      </c>
      <c r="F297" s="883" t="s">
        <v>2976</v>
      </c>
      <c r="G297" s="883" t="s">
        <v>2279</v>
      </c>
      <c r="H297" s="883" t="s">
        <v>2063</v>
      </c>
      <c r="I297" s="883" t="s">
        <v>2538</v>
      </c>
      <c r="J297" s="884">
        <v>0.14</v>
      </c>
      <c r="K297" s="885">
        <v>0.077</v>
      </c>
      <c r="L297" s="886">
        <v>0.076993</v>
      </c>
      <c r="M297" s="882"/>
    </row>
    <row r="298" spans="1:13" ht="12.75">
      <c r="A298" s="882"/>
      <c r="B298" s="882"/>
      <c r="C298" s="882"/>
      <c r="D298" s="882"/>
      <c r="E298" s="883" t="s">
        <v>2977</v>
      </c>
      <c r="F298" s="883" t="s">
        <v>2978</v>
      </c>
      <c r="G298" s="883" t="s">
        <v>2279</v>
      </c>
      <c r="H298" s="883" t="s">
        <v>2063</v>
      </c>
      <c r="I298" s="883" t="s">
        <v>2538</v>
      </c>
      <c r="J298" s="884">
        <v>0.065</v>
      </c>
      <c r="K298" s="885">
        <v>0.152</v>
      </c>
      <c r="L298" s="886">
        <v>0.151382</v>
      </c>
      <c r="M298" s="882"/>
    </row>
    <row r="299" spans="1:13" ht="12.75">
      <c r="A299" s="882"/>
      <c r="B299" s="882"/>
      <c r="C299" s="882"/>
      <c r="D299" s="882"/>
      <c r="E299" s="883" t="s">
        <v>911</v>
      </c>
      <c r="F299" s="883" t="s">
        <v>912</v>
      </c>
      <c r="G299" s="883" t="s">
        <v>2279</v>
      </c>
      <c r="H299" s="883" t="s">
        <v>2063</v>
      </c>
      <c r="I299" s="883" t="s">
        <v>2538</v>
      </c>
      <c r="J299" s="884">
        <v>0.25</v>
      </c>
      <c r="K299" s="885">
        <v>0.33</v>
      </c>
      <c r="L299" s="886">
        <v>0.329865</v>
      </c>
      <c r="M299" s="882"/>
    </row>
    <row r="300" spans="1:13" ht="12.75">
      <c r="A300" s="882"/>
      <c r="B300" s="882"/>
      <c r="C300" s="882"/>
      <c r="D300" s="882"/>
      <c r="E300" s="883" t="s">
        <v>913</v>
      </c>
      <c r="F300" s="883" t="s">
        <v>914</v>
      </c>
      <c r="G300" s="883" t="s">
        <v>2279</v>
      </c>
      <c r="H300" s="883" t="s">
        <v>2543</v>
      </c>
      <c r="I300" s="883" t="s">
        <v>2538</v>
      </c>
      <c r="J300" s="884">
        <v>0.13</v>
      </c>
      <c r="K300" s="885">
        <v>0</v>
      </c>
      <c r="L300" s="886">
        <v>0</v>
      </c>
      <c r="M300" s="882"/>
    </row>
    <row r="301" spans="1:13" ht="12.75">
      <c r="A301" s="882"/>
      <c r="B301" s="882"/>
      <c r="C301" s="882"/>
      <c r="D301" s="882"/>
      <c r="E301" s="883" t="s">
        <v>915</v>
      </c>
      <c r="F301" s="883" t="s">
        <v>916</v>
      </c>
      <c r="G301" s="883" t="s">
        <v>2279</v>
      </c>
      <c r="H301" s="883" t="s">
        <v>2543</v>
      </c>
      <c r="I301" s="883" t="s">
        <v>2538</v>
      </c>
      <c r="J301" s="884">
        <v>0.13</v>
      </c>
      <c r="K301" s="885">
        <v>0</v>
      </c>
      <c r="L301" s="886">
        <v>0</v>
      </c>
      <c r="M301" s="882"/>
    </row>
    <row r="302" spans="1:13" ht="12.75">
      <c r="A302" s="882"/>
      <c r="B302" s="882"/>
      <c r="C302" s="882"/>
      <c r="D302" s="882"/>
      <c r="E302" s="883" t="s">
        <v>917</v>
      </c>
      <c r="F302" s="883" t="s">
        <v>918</v>
      </c>
      <c r="G302" s="883" t="s">
        <v>2279</v>
      </c>
      <c r="H302" s="883" t="s">
        <v>2543</v>
      </c>
      <c r="I302" s="883" t="s">
        <v>2538</v>
      </c>
      <c r="J302" s="884">
        <v>0.627</v>
      </c>
      <c r="K302" s="885">
        <v>0</v>
      </c>
      <c r="L302" s="886">
        <v>0</v>
      </c>
      <c r="M302" s="882"/>
    </row>
    <row r="303" spans="1:13" ht="12.75">
      <c r="A303" s="882"/>
      <c r="B303" s="882"/>
      <c r="C303" s="882"/>
      <c r="D303" s="882"/>
      <c r="E303" s="883" t="s">
        <v>1998</v>
      </c>
      <c r="F303" s="883" t="s">
        <v>1999</v>
      </c>
      <c r="G303" s="883" t="s">
        <v>2179</v>
      </c>
      <c r="H303" s="883" t="s">
        <v>2543</v>
      </c>
      <c r="I303" s="883" t="s">
        <v>2538</v>
      </c>
      <c r="J303" s="884">
        <v>0.16</v>
      </c>
      <c r="K303" s="885">
        <v>0</v>
      </c>
      <c r="L303" s="886">
        <v>0</v>
      </c>
      <c r="M303" s="882"/>
    </row>
    <row r="304" spans="1:13" ht="12.75">
      <c r="A304" s="882"/>
      <c r="B304" s="882"/>
      <c r="C304" s="882"/>
      <c r="D304" s="882"/>
      <c r="E304" s="883" t="s">
        <v>2000</v>
      </c>
      <c r="F304" s="883" t="s">
        <v>2001</v>
      </c>
      <c r="G304" s="883" t="s">
        <v>2179</v>
      </c>
      <c r="H304" s="883" t="s">
        <v>2543</v>
      </c>
      <c r="I304" s="883" t="s">
        <v>2538</v>
      </c>
      <c r="J304" s="884">
        <v>0.24</v>
      </c>
      <c r="K304" s="885">
        <v>0</v>
      </c>
      <c r="L304" s="886">
        <v>0</v>
      </c>
      <c r="M304" s="882"/>
    </row>
    <row r="305" spans="1:13" ht="12.75">
      <c r="A305" s="882"/>
      <c r="B305" s="882"/>
      <c r="C305" s="882"/>
      <c r="D305" s="882"/>
      <c r="E305" s="883" t="s">
        <v>2002</v>
      </c>
      <c r="F305" s="883" t="s">
        <v>2003</v>
      </c>
      <c r="G305" s="883" t="s">
        <v>2179</v>
      </c>
      <c r="H305" s="883" t="s">
        <v>2543</v>
      </c>
      <c r="I305" s="883" t="s">
        <v>2538</v>
      </c>
      <c r="J305" s="884">
        <v>0.5</v>
      </c>
      <c r="K305" s="885">
        <v>0</v>
      </c>
      <c r="L305" s="886">
        <v>0</v>
      </c>
      <c r="M305" s="882"/>
    </row>
    <row r="306" spans="1:13" ht="12.75">
      <c r="A306" s="882"/>
      <c r="B306" s="882"/>
      <c r="C306" s="882"/>
      <c r="D306" s="882"/>
      <c r="E306" s="883" t="s">
        <v>921</v>
      </c>
      <c r="F306" s="883" t="s">
        <v>922</v>
      </c>
      <c r="G306" s="883" t="s">
        <v>2179</v>
      </c>
      <c r="H306" s="883" t="s">
        <v>2543</v>
      </c>
      <c r="I306" s="883" t="s">
        <v>2538</v>
      </c>
      <c r="J306" s="884">
        <v>0.175</v>
      </c>
      <c r="K306" s="885">
        <v>0</v>
      </c>
      <c r="L306" s="886">
        <v>0</v>
      </c>
      <c r="M306" s="882"/>
    </row>
    <row r="307" spans="1:13" ht="12.75">
      <c r="A307" s="882"/>
      <c r="B307" s="882"/>
      <c r="C307" s="882"/>
      <c r="D307" s="882"/>
      <c r="E307" s="883" t="s">
        <v>923</v>
      </c>
      <c r="F307" s="883" t="s">
        <v>924</v>
      </c>
      <c r="G307" s="883" t="s">
        <v>2180</v>
      </c>
      <c r="H307" s="883" t="s">
        <v>2543</v>
      </c>
      <c r="I307" s="883" t="s">
        <v>2538</v>
      </c>
      <c r="J307" s="884">
        <v>1.2</v>
      </c>
      <c r="K307" s="885">
        <v>0</v>
      </c>
      <c r="L307" s="886">
        <v>0</v>
      </c>
      <c r="M307" s="882"/>
    </row>
    <row r="308" spans="1:13" ht="12.75">
      <c r="A308" s="882"/>
      <c r="B308" s="882"/>
      <c r="C308" s="882"/>
      <c r="D308" s="882"/>
      <c r="E308" s="883" t="s">
        <v>2004</v>
      </c>
      <c r="F308" s="883" t="s">
        <v>2005</v>
      </c>
      <c r="G308" s="883" t="s">
        <v>2180</v>
      </c>
      <c r="H308" s="883" t="s">
        <v>2063</v>
      </c>
      <c r="I308" s="883" t="s">
        <v>2538</v>
      </c>
      <c r="J308" s="884">
        <v>0.646</v>
      </c>
      <c r="K308" s="885">
        <v>0.7</v>
      </c>
      <c r="L308" s="886">
        <v>0.699125</v>
      </c>
      <c r="M308" s="882"/>
    </row>
    <row r="309" spans="1:13" ht="12.75">
      <c r="A309" s="882"/>
      <c r="B309" s="882"/>
      <c r="C309" s="882"/>
      <c r="D309" s="882"/>
      <c r="E309" s="883" t="s">
        <v>2006</v>
      </c>
      <c r="F309" s="883" t="s">
        <v>2007</v>
      </c>
      <c r="G309" s="883" t="s">
        <v>2180</v>
      </c>
      <c r="H309" s="883" t="s">
        <v>2063</v>
      </c>
      <c r="I309" s="883" t="s">
        <v>2538</v>
      </c>
      <c r="J309" s="884">
        <v>0.16</v>
      </c>
      <c r="K309" s="885">
        <v>0.181</v>
      </c>
      <c r="L309" s="886">
        <v>0.180754</v>
      </c>
      <c r="M309" s="882"/>
    </row>
    <row r="310" spans="1:13" ht="12.75">
      <c r="A310" s="882"/>
      <c r="B310" s="882"/>
      <c r="C310" s="882"/>
      <c r="D310" s="882"/>
      <c r="E310" s="883" t="s">
        <v>2008</v>
      </c>
      <c r="F310" s="883" t="s">
        <v>925</v>
      </c>
      <c r="G310" s="883" t="s">
        <v>2180</v>
      </c>
      <c r="H310" s="883" t="s">
        <v>2543</v>
      </c>
      <c r="I310" s="883" t="s">
        <v>2538</v>
      </c>
      <c r="J310" s="884">
        <v>0.06</v>
      </c>
      <c r="K310" s="885">
        <v>0</v>
      </c>
      <c r="L310" s="886">
        <v>0</v>
      </c>
      <c r="M310" s="882"/>
    </row>
    <row r="311" spans="1:13" ht="12.75">
      <c r="A311" s="882"/>
      <c r="B311" s="882"/>
      <c r="C311" s="882"/>
      <c r="D311" s="882"/>
      <c r="E311" s="883" t="s">
        <v>926</v>
      </c>
      <c r="F311" s="883" t="s">
        <v>927</v>
      </c>
      <c r="G311" s="883" t="s">
        <v>2180</v>
      </c>
      <c r="H311" s="883" t="s">
        <v>2543</v>
      </c>
      <c r="I311" s="883" t="s">
        <v>2538</v>
      </c>
      <c r="J311" s="884">
        <v>0.4</v>
      </c>
      <c r="K311" s="885">
        <v>0</v>
      </c>
      <c r="L311" s="886">
        <v>0</v>
      </c>
      <c r="M311" s="882"/>
    </row>
    <row r="312" spans="1:13" ht="12.75">
      <c r="A312" s="882"/>
      <c r="B312" s="882"/>
      <c r="C312" s="882"/>
      <c r="D312" s="882"/>
      <c r="E312" s="883" t="s">
        <v>928</v>
      </c>
      <c r="F312" s="883" t="s">
        <v>929</v>
      </c>
      <c r="G312" s="883" t="s">
        <v>2181</v>
      </c>
      <c r="H312" s="883" t="s">
        <v>2063</v>
      </c>
      <c r="I312" s="883" t="s">
        <v>2538</v>
      </c>
      <c r="J312" s="884">
        <v>0.54</v>
      </c>
      <c r="K312" s="885">
        <v>0.54</v>
      </c>
      <c r="L312" s="886">
        <v>0.539752</v>
      </c>
      <c r="M312" s="882"/>
    </row>
    <row r="313" spans="1:13" ht="12.75">
      <c r="A313" s="882"/>
      <c r="B313" s="882"/>
      <c r="C313" s="882"/>
      <c r="D313" s="882"/>
      <c r="E313" s="883" t="s">
        <v>930</v>
      </c>
      <c r="F313" s="883" t="s">
        <v>931</v>
      </c>
      <c r="G313" s="883" t="s">
        <v>2181</v>
      </c>
      <c r="H313" s="883" t="s">
        <v>2063</v>
      </c>
      <c r="I313" s="883" t="s">
        <v>2538</v>
      </c>
      <c r="J313" s="884">
        <v>0.862</v>
      </c>
      <c r="K313" s="885">
        <v>0.804</v>
      </c>
      <c r="L313" s="886">
        <v>0.8031009</v>
      </c>
      <c r="M313" s="882"/>
    </row>
    <row r="314" spans="1:13" ht="12.75">
      <c r="A314" s="882"/>
      <c r="B314" s="882"/>
      <c r="C314" s="882"/>
      <c r="D314" s="882"/>
      <c r="E314" s="883" t="s">
        <v>930</v>
      </c>
      <c r="F314" s="883" t="s">
        <v>931</v>
      </c>
      <c r="G314" s="883" t="s">
        <v>2181</v>
      </c>
      <c r="H314" s="883" t="s">
        <v>2063</v>
      </c>
      <c r="I314" s="883" t="s">
        <v>2841</v>
      </c>
      <c r="J314" s="885">
        <v>0</v>
      </c>
      <c r="K314" s="885">
        <v>0.059</v>
      </c>
      <c r="L314" s="886">
        <v>0.0588991</v>
      </c>
      <c r="M314" s="882"/>
    </row>
    <row r="315" spans="1:13" ht="12.75">
      <c r="A315" s="882"/>
      <c r="B315" s="882"/>
      <c r="C315" s="882"/>
      <c r="D315" s="882"/>
      <c r="E315" s="883" t="s">
        <v>932</v>
      </c>
      <c r="F315" s="883" t="s">
        <v>933</v>
      </c>
      <c r="G315" s="883" t="s">
        <v>2181</v>
      </c>
      <c r="H315" s="883" t="s">
        <v>2063</v>
      </c>
      <c r="I315" s="883" t="s">
        <v>2538</v>
      </c>
      <c r="J315" s="884">
        <v>0.21</v>
      </c>
      <c r="K315" s="885">
        <v>0.209</v>
      </c>
      <c r="L315" s="886">
        <v>0.2088212</v>
      </c>
      <c r="M315" s="882"/>
    </row>
    <row r="316" spans="1:13" ht="12.75">
      <c r="A316" s="882"/>
      <c r="B316" s="882"/>
      <c r="C316" s="882"/>
      <c r="D316" s="882"/>
      <c r="E316" s="883" t="s">
        <v>934</v>
      </c>
      <c r="F316" s="883" t="s">
        <v>935</v>
      </c>
      <c r="G316" s="883" t="s">
        <v>2182</v>
      </c>
      <c r="H316" s="883" t="s">
        <v>2063</v>
      </c>
      <c r="I316" s="883" t="s">
        <v>2538</v>
      </c>
      <c r="J316" s="884">
        <v>0.4</v>
      </c>
      <c r="K316" s="885">
        <v>0.387</v>
      </c>
      <c r="L316" s="886">
        <v>0.386131</v>
      </c>
      <c r="M316" s="882"/>
    </row>
    <row r="317" spans="1:13" ht="12.75">
      <c r="A317" s="882"/>
      <c r="B317" s="882"/>
      <c r="C317" s="882"/>
      <c r="D317" s="882"/>
      <c r="E317" s="883" t="s">
        <v>936</v>
      </c>
      <c r="F317" s="883" t="s">
        <v>937</v>
      </c>
      <c r="G317" s="883" t="s">
        <v>2182</v>
      </c>
      <c r="H317" s="883" t="s">
        <v>2063</v>
      </c>
      <c r="I317" s="883" t="s">
        <v>2538</v>
      </c>
      <c r="J317" s="884">
        <v>0.15</v>
      </c>
      <c r="K317" s="885">
        <v>0.107</v>
      </c>
      <c r="L317" s="886">
        <v>0.1065</v>
      </c>
      <c r="M317" s="882"/>
    </row>
    <row r="318" spans="1:13" ht="12.75">
      <c r="A318" s="882"/>
      <c r="B318" s="882"/>
      <c r="C318" s="882"/>
      <c r="D318" s="882"/>
      <c r="E318" s="883" t="s">
        <v>938</v>
      </c>
      <c r="F318" s="883" t="s">
        <v>939</v>
      </c>
      <c r="G318" s="883" t="s">
        <v>2182</v>
      </c>
      <c r="H318" s="883" t="s">
        <v>2063</v>
      </c>
      <c r="I318" s="883" t="s">
        <v>2538</v>
      </c>
      <c r="J318" s="884">
        <v>0.278</v>
      </c>
      <c r="K318" s="885">
        <v>0.265</v>
      </c>
      <c r="L318" s="886">
        <v>0.264894</v>
      </c>
      <c r="M318" s="882"/>
    </row>
    <row r="319" spans="1:13" ht="12.75">
      <c r="A319" s="882"/>
      <c r="B319" s="882"/>
      <c r="C319" s="882"/>
      <c r="D319" s="882"/>
      <c r="E319" s="883" t="s">
        <v>940</v>
      </c>
      <c r="F319" s="883" t="s">
        <v>941</v>
      </c>
      <c r="G319" s="883" t="s">
        <v>2182</v>
      </c>
      <c r="H319" s="883" t="s">
        <v>2543</v>
      </c>
      <c r="I319" s="883" t="s">
        <v>2538</v>
      </c>
      <c r="J319" s="884">
        <v>0.21</v>
      </c>
      <c r="K319" s="885">
        <v>0</v>
      </c>
      <c r="L319" s="886">
        <v>0</v>
      </c>
      <c r="M319" s="882"/>
    </row>
    <row r="320" spans="1:13" ht="12.75">
      <c r="A320" s="882"/>
      <c r="B320" s="882"/>
      <c r="C320" s="882"/>
      <c r="D320" s="882"/>
      <c r="E320" s="883" t="s">
        <v>942</v>
      </c>
      <c r="F320" s="883" t="s">
        <v>943</v>
      </c>
      <c r="G320" s="883" t="s">
        <v>2182</v>
      </c>
      <c r="H320" s="883" t="s">
        <v>2063</v>
      </c>
      <c r="I320" s="883" t="s">
        <v>2538</v>
      </c>
      <c r="J320" s="884">
        <v>0.1</v>
      </c>
      <c r="K320" s="885">
        <v>0.1</v>
      </c>
      <c r="L320" s="886">
        <v>0.1</v>
      </c>
      <c r="M320" s="882"/>
    </row>
    <row r="321" spans="1:13" ht="12.75">
      <c r="A321" s="882"/>
      <c r="B321" s="882"/>
      <c r="C321" s="882"/>
      <c r="D321" s="882"/>
      <c r="E321" s="883" t="s">
        <v>944</v>
      </c>
      <c r="F321" s="883" t="s">
        <v>945</v>
      </c>
      <c r="G321" s="883" t="s">
        <v>2183</v>
      </c>
      <c r="H321" s="883" t="s">
        <v>2543</v>
      </c>
      <c r="I321" s="883" t="s">
        <v>2538</v>
      </c>
      <c r="J321" s="884">
        <v>0.19</v>
      </c>
      <c r="K321" s="885">
        <v>0</v>
      </c>
      <c r="L321" s="886">
        <v>0</v>
      </c>
      <c r="M321" s="882"/>
    </row>
    <row r="322" spans="1:13" ht="12.75">
      <c r="A322" s="882"/>
      <c r="B322" s="882"/>
      <c r="C322" s="882"/>
      <c r="D322" s="882"/>
      <c r="E322" s="883" t="s">
        <v>946</v>
      </c>
      <c r="F322" s="883" t="s">
        <v>947</v>
      </c>
      <c r="G322" s="883" t="s">
        <v>2183</v>
      </c>
      <c r="H322" s="883" t="s">
        <v>2543</v>
      </c>
      <c r="I322" s="883" t="s">
        <v>2538</v>
      </c>
      <c r="J322" s="884">
        <v>0.2</v>
      </c>
      <c r="K322" s="885">
        <v>0</v>
      </c>
      <c r="L322" s="886">
        <v>0</v>
      </c>
      <c r="M322" s="882"/>
    </row>
    <row r="323" spans="1:13" ht="12.75">
      <c r="A323" s="882"/>
      <c r="B323" s="882"/>
      <c r="C323" s="882"/>
      <c r="D323" s="882"/>
      <c r="E323" s="883" t="s">
        <v>948</v>
      </c>
      <c r="F323" s="883" t="s">
        <v>949</v>
      </c>
      <c r="G323" s="883" t="s">
        <v>2183</v>
      </c>
      <c r="H323" s="883" t="s">
        <v>2543</v>
      </c>
      <c r="I323" s="883" t="s">
        <v>2538</v>
      </c>
      <c r="J323" s="884">
        <v>0.194</v>
      </c>
      <c r="K323" s="885">
        <v>0</v>
      </c>
      <c r="L323" s="886">
        <v>0</v>
      </c>
      <c r="M323" s="882"/>
    </row>
    <row r="324" spans="1:13" ht="12.75">
      <c r="A324" s="882"/>
      <c r="B324" s="882"/>
      <c r="C324" s="882"/>
      <c r="D324" s="882"/>
      <c r="E324" s="883" t="s">
        <v>950</v>
      </c>
      <c r="F324" s="883" t="s">
        <v>951</v>
      </c>
      <c r="G324" s="883" t="s">
        <v>2183</v>
      </c>
      <c r="H324" s="883" t="s">
        <v>2543</v>
      </c>
      <c r="I324" s="883" t="s">
        <v>2538</v>
      </c>
      <c r="J324" s="884">
        <v>0.08</v>
      </c>
      <c r="K324" s="885">
        <v>0</v>
      </c>
      <c r="L324" s="886">
        <v>0</v>
      </c>
      <c r="M324" s="882"/>
    </row>
    <row r="325" spans="1:13" ht="12.75">
      <c r="A325" s="882"/>
      <c r="B325" s="882"/>
      <c r="C325" s="882"/>
      <c r="D325" s="882"/>
      <c r="E325" s="883" t="s">
        <v>952</v>
      </c>
      <c r="F325" s="883" t="s">
        <v>953</v>
      </c>
      <c r="G325" s="883" t="s">
        <v>2184</v>
      </c>
      <c r="H325" s="883" t="s">
        <v>2063</v>
      </c>
      <c r="I325" s="883" t="s">
        <v>2538</v>
      </c>
      <c r="J325" s="884">
        <v>0.3</v>
      </c>
      <c r="K325" s="885">
        <v>0.205</v>
      </c>
      <c r="L325" s="886">
        <v>0.2046562</v>
      </c>
      <c r="M325" s="882"/>
    </row>
    <row r="326" spans="1:13" ht="12.75">
      <c r="A326" s="882"/>
      <c r="B326" s="882"/>
      <c r="C326" s="882"/>
      <c r="D326" s="882"/>
      <c r="E326" s="883" t="s">
        <v>954</v>
      </c>
      <c r="F326" s="883" t="s">
        <v>955</v>
      </c>
      <c r="G326" s="883" t="s">
        <v>2184</v>
      </c>
      <c r="H326" s="883" t="s">
        <v>2063</v>
      </c>
      <c r="I326" s="883" t="s">
        <v>2538</v>
      </c>
      <c r="J326" s="884">
        <v>0.17</v>
      </c>
      <c r="K326" s="885">
        <v>0.171</v>
      </c>
      <c r="L326" s="886">
        <v>0.1701046</v>
      </c>
      <c r="M326" s="882"/>
    </row>
    <row r="327" spans="1:13" ht="12.75">
      <c r="A327" s="882"/>
      <c r="B327" s="882"/>
      <c r="C327" s="882"/>
      <c r="D327" s="882"/>
      <c r="E327" s="883" t="s">
        <v>956</v>
      </c>
      <c r="F327" s="883" t="s">
        <v>957</v>
      </c>
      <c r="G327" s="883" t="s">
        <v>2184</v>
      </c>
      <c r="H327" s="883" t="s">
        <v>2063</v>
      </c>
      <c r="I327" s="883" t="s">
        <v>2538</v>
      </c>
      <c r="J327" s="884">
        <v>0.65</v>
      </c>
      <c r="K327" s="885">
        <v>0.65</v>
      </c>
      <c r="L327" s="886">
        <v>0.64999942</v>
      </c>
      <c r="M327" s="882"/>
    </row>
    <row r="328" spans="1:13" ht="12.75">
      <c r="A328" s="882"/>
      <c r="B328" s="882"/>
      <c r="C328" s="882"/>
      <c r="D328" s="882"/>
      <c r="E328" s="883" t="s">
        <v>958</v>
      </c>
      <c r="F328" s="883" t="s">
        <v>959</v>
      </c>
      <c r="G328" s="883" t="s">
        <v>2184</v>
      </c>
      <c r="H328" s="883" t="s">
        <v>2063</v>
      </c>
      <c r="I328" s="883" t="s">
        <v>2538</v>
      </c>
      <c r="J328" s="884">
        <v>0.492</v>
      </c>
      <c r="K328" s="885">
        <v>0.535</v>
      </c>
      <c r="L328" s="886">
        <v>0.53441</v>
      </c>
      <c r="M328" s="882"/>
    </row>
    <row r="329" spans="1:13" ht="12.75">
      <c r="A329" s="882"/>
      <c r="B329" s="882"/>
      <c r="C329" s="882"/>
      <c r="D329" s="882"/>
      <c r="E329" s="883" t="s">
        <v>960</v>
      </c>
      <c r="F329" s="883" t="s">
        <v>961</v>
      </c>
      <c r="G329" s="883" t="s">
        <v>2185</v>
      </c>
      <c r="H329" s="883" t="s">
        <v>2063</v>
      </c>
      <c r="I329" s="883" t="s">
        <v>2538</v>
      </c>
      <c r="J329" s="884">
        <v>0.79</v>
      </c>
      <c r="K329" s="885">
        <v>0.79</v>
      </c>
      <c r="L329" s="886">
        <v>0.789999</v>
      </c>
      <c r="M329" s="882"/>
    </row>
    <row r="330" spans="1:13" ht="12.75">
      <c r="A330" s="882"/>
      <c r="B330" s="882"/>
      <c r="C330" s="882"/>
      <c r="D330" s="882"/>
      <c r="E330" s="883" t="s">
        <v>962</v>
      </c>
      <c r="F330" s="883" t="s">
        <v>963</v>
      </c>
      <c r="G330" s="883" t="s">
        <v>2186</v>
      </c>
      <c r="H330" s="883" t="s">
        <v>2063</v>
      </c>
      <c r="I330" s="883" t="s">
        <v>2538</v>
      </c>
      <c r="J330" s="884">
        <v>1.075</v>
      </c>
      <c r="K330" s="885">
        <v>1.066</v>
      </c>
      <c r="L330" s="886">
        <v>1.065755</v>
      </c>
      <c r="M330" s="882"/>
    </row>
    <row r="331" spans="1:13" ht="12.75">
      <c r="A331" s="882"/>
      <c r="B331" s="882"/>
      <c r="C331" s="882"/>
      <c r="D331" s="882"/>
      <c r="E331" s="883" t="s">
        <v>964</v>
      </c>
      <c r="F331" s="883" t="s">
        <v>2619</v>
      </c>
      <c r="G331" s="883" t="s">
        <v>2187</v>
      </c>
      <c r="H331" s="883" t="s">
        <v>2063</v>
      </c>
      <c r="I331" s="883" t="s">
        <v>2538</v>
      </c>
      <c r="J331" s="884">
        <v>0.136</v>
      </c>
      <c r="K331" s="885">
        <v>0.136</v>
      </c>
      <c r="L331" s="886">
        <v>0.135899</v>
      </c>
      <c r="M331" s="882"/>
    </row>
    <row r="332" spans="1:13" ht="12.75">
      <c r="A332" s="882"/>
      <c r="B332" s="882"/>
      <c r="C332" s="882"/>
      <c r="D332" s="882"/>
      <c r="E332" s="883" t="s">
        <v>965</v>
      </c>
      <c r="F332" s="883" t="s">
        <v>966</v>
      </c>
      <c r="G332" s="883" t="s">
        <v>2187</v>
      </c>
      <c r="H332" s="883" t="s">
        <v>2063</v>
      </c>
      <c r="I332" s="883" t="s">
        <v>2538</v>
      </c>
      <c r="J332" s="884">
        <v>0.215</v>
      </c>
      <c r="K332" s="885">
        <v>0.215</v>
      </c>
      <c r="L332" s="886">
        <v>0.215</v>
      </c>
      <c r="M332" s="882"/>
    </row>
    <row r="333" spans="1:13" ht="12.75">
      <c r="A333" s="882"/>
      <c r="B333" s="882"/>
      <c r="C333" s="882"/>
      <c r="D333" s="882"/>
      <c r="E333" s="883" t="s">
        <v>967</v>
      </c>
      <c r="F333" s="883" t="s">
        <v>968</v>
      </c>
      <c r="G333" s="883" t="s">
        <v>2187</v>
      </c>
      <c r="H333" s="883" t="s">
        <v>2063</v>
      </c>
      <c r="I333" s="883" t="s">
        <v>2538</v>
      </c>
      <c r="J333" s="884">
        <v>0.085</v>
      </c>
      <c r="K333" s="885">
        <v>0.084</v>
      </c>
      <c r="L333" s="886">
        <v>0.083602</v>
      </c>
      <c r="M333" s="882"/>
    </row>
    <row r="334" spans="1:13" ht="12.75">
      <c r="A334" s="882"/>
      <c r="B334" s="882"/>
      <c r="C334" s="882"/>
      <c r="D334" s="882"/>
      <c r="E334" s="883" t="s">
        <v>969</v>
      </c>
      <c r="F334" s="883" t="s">
        <v>970</v>
      </c>
      <c r="G334" s="883" t="s">
        <v>2187</v>
      </c>
      <c r="H334" s="883" t="s">
        <v>2063</v>
      </c>
      <c r="I334" s="883" t="s">
        <v>2538</v>
      </c>
      <c r="J334" s="884">
        <v>0.165</v>
      </c>
      <c r="K334" s="885">
        <v>0.165</v>
      </c>
      <c r="L334" s="886">
        <v>0.165</v>
      </c>
      <c r="M334" s="882"/>
    </row>
    <row r="335" spans="1:13" ht="12.75">
      <c r="A335" s="882"/>
      <c r="B335" s="882"/>
      <c r="C335" s="882"/>
      <c r="D335" s="882"/>
      <c r="E335" s="883" t="s">
        <v>971</v>
      </c>
      <c r="F335" s="883" t="s">
        <v>972</v>
      </c>
      <c r="G335" s="883" t="s">
        <v>2187</v>
      </c>
      <c r="H335" s="883" t="s">
        <v>2063</v>
      </c>
      <c r="I335" s="883" t="s">
        <v>2538</v>
      </c>
      <c r="J335" s="884">
        <v>0.075</v>
      </c>
      <c r="K335" s="885">
        <v>0</v>
      </c>
      <c r="L335" s="886">
        <v>0</v>
      </c>
      <c r="M335" s="882"/>
    </row>
    <row r="336" spans="1:13" ht="12.75">
      <c r="A336" s="882"/>
      <c r="B336" s="882"/>
      <c r="C336" s="882"/>
      <c r="D336" s="882"/>
      <c r="E336" s="883" t="s">
        <v>973</v>
      </c>
      <c r="F336" s="883" t="s">
        <v>974</v>
      </c>
      <c r="G336" s="883" t="s">
        <v>2187</v>
      </c>
      <c r="H336" s="883" t="s">
        <v>2063</v>
      </c>
      <c r="I336" s="883" t="s">
        <v>2538</v>
      </c>
      <c r="J336" s="884">
        <v>0.075</v>
      </c>
      <c r="K336" s="885">
        <v>0</v>
      </c>
      <c r="L336" s="886">
        <v>0</v>
      </c>
      <c r="M336" s="882"/>
    </row>
    <row r="337" spans="1:13" ht="12.75">
      <c r="A337" s="882"/>
      <c r="B337" s="882"/>
      <c r="C337" s="882"/>
      <c r="D337" s="882"/>
      <c r="E337" s="883" t="s">
        <v>975</v>
      </c>
      <c r="F337" s="883" t="s">
        <v>976</v>
      </c>
      <c r="G337" s="883" t="s">
        <v>2187</v>
      </c>
      <c r="H337" s="883" t="s">
        <v>2063</v>
      </c>
      <c r="I337" s="883" t="s">
        <v>2538</v>
      </c>
      <c r="J337" s="884">
        <v>0.4</v>
      </c>
      <c r="K337" s="885">
        <v>0</v>
      </c>
      <c r="L337" s="886">
        <v>0</v>
      </c>
      <c r="M337" s="882"/>
    </row>
    <row r="338" spans="1:13" ht="12.75">
      <c r="A338" s="882"/>
      <c r="B338" s="882"/>
      <c r="C338" s="882"/>
      <c r="D338" s="882"/>
      <c r="E338" s="883" t="s">
        <v>977</v>
      </c>
      <c r="F338" s="883" t="s">
        <v>978</v>
      </c>
      <c r="G338" s="883" t="s">
        <v>2187</v>
      </c>
      <c r="H338" s="883" t="s">
        <v>2063</v>
      </c>
      <c r="I338" s="883" t="s">
        <v>2538</v>
      </c>
      <c r="J338" s="884">
        <v>0.05</v>
      </c>
      <c r="K338" s="885">
        <v>0.05</v>
      </c>
      <c r="L338" s="886">
        <v>0.049753</v>
      </c>
      <c r="M338" s="882"/>
    </row>
    <row r="339" spans="1:13" ht="12.75">
      <c r="A339" s="882"/>
      <c r="B339" s="882"/>
      <c r="C339" s="882"/>
      <c r="D339" s="882"/>
      <c r="E339" s="883" t="s">
        <v>979</v>
      </c>
      <c r="F339" s="883" t="s">
        <v>980</v>
      </c>
      <c r="G339" s="883" t="s">
        <v>2478</v>
      </c>
      <c r="H339" s="883" t="s">
        <v>2063</v>
      </c>
      <c r="I339" s="883" t="s">
        <v>2538</v>
      </c>
      <c r="J339" s="884">
        <v>0.3</v>
      </c>
      <c r="K339" s="885">
        <v>0.299</v>
      </c>
      <c r="L339" s="886">
        <v>0.299</v>
      </c>
      <c r="M339" s="882"/>
    </row>
    <row r="340" spans="1:13" ht="12.75">
      <c r="A340" s="882"/>
      <c r="B340" s="882"/>
      <c r="C340" s="882"/>
      <c r="D340" s="882"/>
      <c r="E340" s="883" t="s">
        <v>981</v>
      </c>
      <c r="F340" s="883" t="s">
        <v>982</v>
      </c>
      <c r="G340" s="883" t="s">
        <v>2478</v>
      </c>
      <c r="H340" s="883" t="s">
        <v>2543</v>
      </c>
      <c r="I340" s="883" t="s">
        <v>2538</v>
      </c>
      <c r="J340" s="884">
        <v>0.516</v>
      </c>
      <c r="K340" s="885">
        <v>0</v>
      </c>
      <c r="L340" s="886">
        <v>0</v>
      </c>
      <c r="M340" s="882"/>
    </row>
    <row r="341" spans="1:13" ht="12.75">
      <c r="A341" s="882"/>
      <c r="B341" s="882"/>
      <c r="C341" s="882"/>
      <c r="D341" s="882"/>
      <c r="E341" s="883" t="s">
        <v>983</v>
      </c>
      <c r="F341" s="883" t="s">
        <v>984</v>
      </c>
      <c r="G341" s="883" t="s">
        <v>2478</v>
      </c>
      <c r="H341" s="883" t="s">
        <v>2063</v>
      </c>
      <c r="I341" s="883" t="s">
        <v>2538</v>
      </c>
      <c r="J341" s="884">
        <v>0.3</v>
      </c>
      <c r="K341" s="885">
        <v>0.259</v>
      </c>
      <c r="L341" s="886">
        <v>0.25866</v>
      </c>
      <c r="M341" s="882"/>
    </row>
    <row r="342" spans="1:13" ht="12.75">
      <c r="A342" s="882"/>
      <c r="B342" s="882"/>
      <c r="C342" s="882"/>
      <c r="D342" s="882"/>
      <c r="E342" s="883" t="s">
        <v>985</v>
      </c>
      <c r="F342" s="883" t="s">
        <v>986</v>
      </c>
      <c r="G342" s="883" t="s">
        <v>2478</v>
      </c>
      <c r="H342" s="883" t="s">
        <v>2543</v>
      </c>
      <c r="I342" s="883" t="s">
        <v>2538</v>
      </c>
      <c r="J342" s="884">
        <v>0.3</v>
      </c>
      <c r="K342" s="885">
        <v>0</v>
      </c>
      <c r="L342" s="886">
        <v>0</v>
      </c>
      <c r="M342" s="882"/>
    </row>
    <row r="343" spans="1:13" ht="12.75">
      <c r="A343" s="882"/>
      <c r="B343" s="882"/>
      <c r="C343" s="882"/>
      <c r="D343" s="882"/>
      <c r="E343" s="883" t="s">
        <v>987</v>
      </c>
      <c r="F343" s="883" t="s">
        <v>988</v>
      </c>
      <c r="G343" s="883" t="s">
        <v>2478</v>
      </c>
      <c r="H343" s="883" t="s">
        <v>2063</v>
      </c>
      <c r="I343" s="883" t="s">
        <v>2538</v>
      </c>
      <c r="J343" s="884">
        <v>0.101</v>
      </c>
      <c r="K343" s="885">
        <v>0.111</v>
      </c>
      <c r="L343" s="886">
        <v>0.110991</v>
      </c>
      <c r="M343" s="882"/>
    </row>
    <row r="344" spans="1:13" ht="12.75">
      <c r="A344" s="882"/>
      <c r="B344" s="882"/>
      <c r="C344" s="882"/>
      <c r="D344" s="882"/>
      <c r="E344" s="883" t="s">
        <v>989</v>
      </c>
      <c r="F344" s="883" t="s">
        <v>990</v>
      </c>
      <c r="G344" s="883" t="s">
        <v>2189</v>
      </c>
      <c r="H344" s="883" t="s">
        <v>2063</v>
      </c>
      <c r="I344" s="883" t="s">
        <v>2538</v>
      </c>
      <c r="J344" s="884">
        <v>0.77</v>
      </c>
      <c r="K344" s="885">
        <v>0.828</v>
      </c>
      <c r="L344" s="886">
        <v>0.82708</v>
      </c>
      <c r="M344" s="882"/>
    </row>
    <row r="345" spans="1:13" ht="12.75">
      <c r="A345" s="882"/>
      <c r="B345" s="882"/>
      <c r="C345" s="882"/>
      <c r="D345" s="882"/>
      <c r="E345" s="883" t="s">
        <v>991</v>
      </c>
      <c r="F345" s="883" t="s">
        <v>992</v>
      </c>
      <c r="G345" s="883" t="s">
        <v>2189</v>
      </c>
      <c r="H345" s="883" t="s">
        <v>2063</v>
      </c>
      <c r="I345" s="883" t="s">
        <v>2538</v>
      </c>
      <c r="J345" s="884">
        <v>0.753</v>
      </c>
      <c r="K345" s="885">
        <v>0.802</v>
      </c>
      <c r="L345" s="886">
        <v>0.801917</v>
      </c>
      <c r="M345" s="882"/>
    </row>
    <row r="346" spans="1:13" ht="12.75">
      <c r="A346" s="882"/>
      <c r="B346" s="882"/>
      <c r="C346" s="882"/>
      <c r="D346" s="882"/>
      <c r="E346" s="883" t="s">
        <v>993</v>
      </c>
      <c r="F346" s="883" t="s">
        <v>994</v>
      </c>
      <c r="G346" s="883" t="s">
        <v>2189</v>
      </c>
      <c r="H346" s="883" t="s">
        <v>2063</v>
      </c>
      <c r="I346" s="883" t="s">
        <v>2538</v>
      </c>
      <c r="J346" s="884">
        <v>0.5</v>
      </c>
      <c r="K346" s="885">
        <v>0.394</v>
      </c>
      <c r="L346" s="886">
        <v>0.393366</v>
      </c>
      <c r="M346" s="882"/>
    </row>
    <row r="347" spans="1:13" ht="12.75">
      <c r="A347" s="882"/>
      <c r="B347" s="882"/>
      <c r="C347" s="882"/>
      <c r="D347" s="882"/>
      <c r="E347" s="883" t="s">
        <v>995</v>
      </c>
      <c r="F347" s="883" t="s">
        <v>996</v>
      </c>
      <c r="G347" s="883" t="s">
        <v>2192</v>
      </c>
      <c r="H347" s="883" t="s">
        <v>2063</v>
      </c>
      <c r="I347" s="883" t="s">
        <v>2538</v>
      </c>
      <c r="J347" s="884">
        <v>1.106</v>
      </c>
      <c r="K347" s="885">
        <v>0.2</v>
      </c>
      <c r="L347" s="886">
        <v>0.199898</v>
      </c>
      <c r="M347" s="882"/>
    </row>
    <row r="348" spans="1:13" ht="12.75">
      <c r="A348" s="882"/>
      <c r="B348" s="882"/>
      <c r="C348" s="882"/>
      <c r="D348" s="882"/>
      <c r="E348" s="883" t="s">
        <v>997</v>
      </c>
      <c r="F348" s="883" t="s">
        <v>998</v>
      </c>
      <c r="G348" s="883" t="s">
        <v>2191</v>
      </c>
      <c r="H348" s="883" t="s">
        <v>2543</v>
      </c>
      <c r="I348" s="883" t="s">
        <v>2538</v>
      </c>
      <c r="J348" s="884">
        <v>0.441</v>
      </c>
      <c r="K348" s="885">
        <v>0</v>
      </c>
      <c r="L348" s="886">
        <v>0</v>
      </c>
      <c r="M348" s="882"/>
    </row>
    <row r="349" spans="1:13" ht="12.75">
      <c r="A349" s="882"/>
      <c r="B349" s="882"/>
      <c r="C349" s="882"/>
      <c r="D349" s="882"/>
      <c r="E349" s="883" t="s">
        <v>999</v>
      </c>
      <c r="F349" s="883" t="s">
        <v>1000</v>
      </c>
      <c r="G349" s="883" t="s">
        <v>2191</v>
      </c>
      <c r="H349" s="883" t="s">
        <v>2543</v>
      </c>
      <c r="I349" s="883" t="s">
        <v>2538</v>
      </c>
      <c r="J349" s="884">
        <v>0.71</v>
      </c>
      <c r="K349" s="885">
        <v>0</v>
      </c>
      <c r="L349" s="886">
        <v>0</v>
      </c>
      <c r="M349" s="882"/>
    </row>
    <row r="350" spans="1:13" ht="12.75">
      <c r="A350" s="882"/>
      <c r="B350" s="882"/>
      <c r="C350" s="882"/>
      <c r="D350" s="882"/>
      <c r="E350" s="883" t="s">
        <v>1001</v>
      </c>
      <c r="F350" s="883" t="s">
        <v>1002</v>
      </c>
      <c r="G350" s="883" t="s">
        <v>2191</v>
      </c>
      <c r="H350" s="883" t="s">
        <v>2543</v>
      </c>
      <c r="I350" s="883" t="s">
        <v>2538</v>
      </c>
      <c r="J350" s="884">
        <v>0.525</v>
      </c>
      <c r="K350" s="885">
        <v>0</v>
      </c>
      <c r="L350" s="886">
        <v>0</v>
      </c>
      <c r="M350" s="882"/>
    </row>
    <row r="351" spans="1:13" ht="12.75">
      <c r="A351" s="882"/>
      <c r="B351" s="882"/>
      <c r="C351" s="882"/>
      <c r="D351" s="882"/>
      <c r="E351" s="883" t="s">
        <v>1003</v>
      </c>
      <c r="F351" s="883" t="s">
        <v>1004</v>
      </c>
      <c r="G351" s="883" t="s">
        <v>2190</v>
      </c>
      <c r="H351" s="883" t="s">
        <v>2063</v>
      </c>
      <c r="I351" s="883" t="s">
        <v>2538</v>
      </c>
      <c r="J351" s="884">
        <v>0.3</v>
      </c>
      <c r="K351" s="885">
        <v>0.3</v>
      </c>
      <c r="L351" s="886">
        <v>0.3</v>
      </c>
      <c r="M351" s="882"/>
    </row>
    <row r="352" spans="1:13" ht="12.75">
      <c r="A352" s="882"/>
      <c r="B352" s="882"/>
      <c r="C352" s="882"/>
      <c r="D352" s="882"/>
      <c r="E352" s="883" t="s">
        <v>1005</v>
      </c>
      <c r="F352" s="883" t="s">
        <v>1006</v>
      </c>
      <c r="G352" s="883" t="s">
        <v>2190</v>
      </c>
      <c r="H352" s="883" t="s">
        <v>2543</v>
      </c>
      <c r="I352" s="883" t="s">
        <v>2538</v>
      </c>
      <c r="J352" s="884">
        <v>0.38</v>
      </c>
      <c r="K352" s="885">
        <v>0</v>
      </c>
      <c r="L352" s="886">
        <v>0</v>
      </c>
      <c r="M352" s="882"/>
    </row>
    <row r="353" spans="1:13" ht="12.75">
      <c r="A353" s="882"/>
      <c r="B353" s="882"/>
      <c r="C353" s="882"/>
      <c r="D353" s="882"/>
      <c r="E353" s="883" t="s">
        <v>1007</v>
      </c>
      <c r="F353" s="883" t="s">
        <v>1008</v>
      </c>
      <c r="G353" s="883" t="s">
        <v>2190</v>
      </c>
      <c r="H353" s="883" t="s">
        <v>2543</v>
      </c>
      <c r="I353" s="883" t="s">
        <v>2538</v>
      </c>
      <c r="J353" s="884">
        <v>0.363</v>
      </c>
      <c r="K353" s="885">
        <v>0</v>
      </c>
      <c r="L353" s="886">
        <v>0</v>
      </c>
      <c r="M353" s="882"/>
    </row>
    <row r="354" spans="1:13" ht="12.75">
      <c r="A354" s="882"/>
      <c r="B354" s="882"/>
      <c r="C354" s="882"/>
      <c r="D354" s="882"/>
      <c r="E354" s="883" t="s">
        <v>1009</v>
      </c>
      <c r="F354" s="883" t="s">
        <v>1010</v>
      </c>
      <c r="G354" s="883" t="s">
        <v>1011</v>
      </c>
      <c r="H354" s="883" t="s">
        <v>2063</v>
      </c>
      <c r="I354" s="883" t="s">
        <v>2538</v>
      </c>
      <c r="J354" s="884">
        <v>0.1</v>
      </c>
      <c r="K354" s="885">
        <v>0.1</v>
      </c>
      <c r="L354" s="886">
        <v>0.099948</v>
      </c>
      <c r="M354" s="882"/>
    </row>
    <row r="355" spans="1:13" ht="12.75">
      <c r="A355" s="882"/>
      <c r="B355" s="882"/>
      <c r="C355" s="882"/>
      <c r="D355" s="882"/>
      <c r="E355" s="883" t="s">
        <v>1012</v>
      </c>
      <c r="F355" s="883" t="s">
        <v>1013</v>
      </c>
      <c r="G355" s="883" t="s">
        <v>1011</v>
      </c>
      <c r="H355" s="883" t="s">
        <v>2063</v>
      </c>
      <c r="I355" s="883" t="s">
        <v>2538</v>
      </c>
      <c r="J355" s="884">
        <v>0.1</v>
      </c>
      <c r="K355" s="885">
        <v>0.1</v>
      </c>
      <c r="L355" s="886">
        <v>0.099972</v>
      </c>
      <c r="M355" s="882"/>
    </row>
    <row r="356" spans="1:13" ht="12.75">
      <c r="A356" s="882"/>
      <c r="B356" s="882"/>
      <c r="C356" s="882"/>
      <c r="D356" s="882"/>
      <c r="E356" s="883" t="s">
        <v>1014</v>
      </c>
      <c r="F356" s="883" t="s">
        <v>1015</v>
      </c>
      <c r="G356" s="883" t="s">
        <v>1011</v>
      </c>
      <c r="H356" s="883" t="s">
        <v>2063</v>
      </c>
      <c r="I356" s="883" t="s">
        <v>2538</v>
      </c>
      <c r="J356" s="884">
        <v>0.18</v>
      </c>
      <c r="K356" s="885">
        <v>0.177</v>
      </c>
      <c r="L356" s="886">
        <v>0.176358</v>
      </c>
      <c r="M356" s="882"/>
    </row>
    <row r="357" spans="1:13" ht="12.75">
      <c r="A357" s="882"/>
      <c r="B357" s="882"/>
      <c r="C357" s="882"/>
      <c r="D357" s="882"/>
      <c r="E357" s="883" t="s">
        <v>1016</v>
      </c>
      <c r="F357" s="883" t="s">
        <v>2619</v>
      </c>
      <c r="G357" s="883" t="s">
        <v>1011</v>
      </c>
      <c r="H357" s="883" t="s">
        <v>2063</v>
      </c>
      <c r="I357" s="883" t="s">
        <v>2538</v>
      </c>
      <c r="J357" s="884">
        <v>0.05</v>
      </c>
      <c r="K357" s="885">
        <v>0.053</v>
      </c>
      <c r="L357" s="886">
        <v>0.05292</v>
      </c>
      <c r="M357" s="882"/>
    </row>
    <row r="358" spans="1:13" ht="12.75">
      <c r="A358" s="882"/>
      <c r="B358" s="882"/>
      <c r="C358" s="882"/>
      <c r="D358" s="882"/>
      <c r="E358" s="883" t="s">
        <v>1017</v>
      </c>
      <c r="F358" s="883" t="s">
        <v>1018</v>
      </c>
      <c r="G358" s="883" t="s">
        <v>2194</v>
      </c>
      <c r="H358" s="883" t="s">
        <v>2543</v>
      </c>
      <c r="I358" s="883" t="s">
        <v>2538</v>
      </c>
      <c r="J358" s="884">
        <v>2.241</v>
      </c>
      <c r="K358" s="885">
        <v>0</v>
      </c>
      <c r="L358" s="886">
        <v>0</v>
      </c>
      <c r="M358" s="882"/>
    </row>
    <row r="359" spans="1:13" ht="12.75">
      <c r="A359" s="882"/>
      <c r="B359" s="882"/>
      <c r="C359" s="882"/>
      <c r="D359" s="882"/>
      <c r="E359" s="883" t="s">
        <v>1019</v>
      </c>
      <c r="F359" s="883" t="s">
        <v>1020</v>
      </c>
      <c r="G359" s="883" t="s">
        <v>2183</v>
      </c>
      <c r="H359" s="883" t="s">
        <v>2063</v>
      </c>
      <c r="I359" s="883" t="s">
        <v>2538</v>
      </c>
      <c r="J359" s="885">
        <v>0</v>
      </c>
      <c r="K359" s="885">
        <v>0.12</v>
      </c>
      <c r="L359" s="886">
        <v>0.119952</v>
      </c>
      <c r="M359" s="882"/>
    </row>
    <row r="360" spans="1:13" ht="12.75">
      <c r="A360" s="882"/>
      <c r="B360" s="882"/>
      <c r="C360" s="882"/>
      <c r="D360" s="882"/>
      <c r="E360" s="883" t="s">
        <v>1021</v>
      </c>
      <c r="F360" s="883" t="s">
        <v>1022</v>
      </c>
      <c r="G360" s="883" t="s">
        <v>2183</v>
      </c>
      <c r="H360" s="883" t="s">
        <v>2063</v>
      </c>
      <c r="I360" s="883" t="s">
        <v>2538</v>
      </c>
      <c r="J360" s="885">
        <v>0</v>
      </c>
      <c r="K360" s="885">
        <v>0.197</v>
      </c>
      <c r="L360" s="886">
        <v>0.196138</v>
      </c>
      <c r="M360" s="882"/>
    </row>
    <row r="361" spans="1:13" ht="12.75">
      <c r="A361" s="882"/>
      <c r="B361" s="882"/>
      <c r="C361" s="882"/>
      <c r="D361" s="882"/>
      <c r="E361" s="883" t="s">
        <v>1023</v>
      </c>
      <c r="F361" s="883" t="s">
        <v>1024</v>
      </c>
      <c r="G361" s="883" t="s">
        <v>2179</v>
      </c>
      <c r="H361" s="883" t="s">
        <v>2063</v>
      </c>
      <c r="I361" s="883" t="s">
        <v>2538</v>
      </c>
      <c r="J361" s="885">
        <v>0</v>
      </c>
      <c r="K361" s="885">
        <v>0.125</v>
      </c>
      <c r="L361" s="886">
        <v>0.124649</v>
      </c>
      <c r="M361" s="882"/>
    </row>
    <row r="362" spans="1:13" ht="12.75">
      <c r="A362" s="882"/>
      <c r="B362" s="882"/>
      <c r="C362" s="882"/>
      <c r="D362" s="882"/>
      <c r="E362" s="883" t="s">
        <v>1025</v>
      </c>
      <c r="F362" s="883" t="s">
        <v>2619</v>
      </c>
      <c r="G362" s="883" t="s">
        <v>2180</v>
      </c>
      <c r="H362" s="883" t="s">
        <v>2063</v>
      </c>
      <c r="I362" s="883" t="s">
        <v>2538</v>
      </c>
      <c r="J362" s="885">
        <v>0</v>
      </c>
      <c r="K362" s="885">
        <v>0.375</v>
      </c>
      <c r="L362" s="886">
        <v>0.374707</v>
      </c>
      <c r="M362" s="882"/>
    </row>
    <row r="363" spans="1:13" ht="12.75">
      <c r="A363" s="882"/>
      <c r="B363" s="882"/>
      <c r="C363" s="882"/>
      <c r="D363" s="882"/>
      <c r="E363" s="883" t="s">
        <v>1026</v>
      </c>
      <c r="F363" s="883" t="s">
        <v>1027</v>
      </c>
      <c r="G363" s="883" t="s">
        <v>2181</v>
      </c>
      <c r="H363" s="883" t="s">
        <v>2063</v>
      </c>
      <c r="I363" s="883" t="s">
        <v>2538</v>
      </c>
      <c r="J363" s="885">
        <v>0</v>
      </c>
      <c r="K363" s="885">
        <v>0.123</v>
      </c>
      <c r="L363" s="886">
        <v>0.1225001</v>
      </c>
      <c r="M363" s="882"/>
    </row>
    <row r="364" spans="1:13" ht="12.75">
      <c r="A364" s="882"/>
      <c r="B364" s="882"/>
      <c r="C364" s="882"/>
      <c r="D364" s="882"/>
      <c r="E364" s="883" t="s">
        <v>1028</v>
      </c>
      <c r="F364" s="883" t="s">
        <v>1029</v>
      </c>
      <c r="G364" s="883" t="s">
        <v>2182</v>
      </c>
      <c r="H364" s="883" t="s">
        <v>2063</v>
      </c>
      <c r="I364" s="883" t="s">
        <v>2538</v>
      </c>
      <c r="J364" s="885">
        <v>0</v>
      </c>
      <c r="K364" s="885">
        <v>0.108</v>
      </c>
      <c r="L364" s="886">
        <v>0.107507</v>
      </c>
      <c r="M364" s="882"/>
    </row>
    <row r="365" spans="1:13" ht="12.75">
      <c r="A365" s="882"/>
      <c r="B365" s="882"/>
      <c r="C365" s="882"/>
      <c r="D365" s="882"/>
      <c r="E365" s="883" t="s">
        <v>1030</v>
      </c>
      <c r="F365" s="883" t="s">
        <v>1031</v>
      </c>
      <c r="G365" s="883" t="s">
        <v>2184</v>
      </c>
      <c r="H365" s="883" t="s">
        <v>2063</v>
      </c>
      <c r="I365" s="883" t="s">
        <v>2538</v>
      </c>
      <c r="J365" s="885">
        <v>0</v>
      </c>
      <c r="K365" s="885">
        <v>0.125</v>
      </c>
      <c r="L365" s="886">
        <v>0.12495</v>
      </c>
      <c r="M365" s="882"/>
    </row>
    <row r="366" spans="1:13" ht="12.75">
      <c r="A366" s="882"/>
      <c r="B366" s="882"/>
      <c r="C366" s="882"/>
      <c r="D366" s="882"/>
      <c r="E366" s="883" t="s">
        <v>1032</v>
      </c>
      <c r="F366" s="883" t="s">
        <v>1033</v>
      </c>
      <c r="G366" s="883" t="s">
        <v>2186</v>
      </c>
      <c r="H366" s="883" t="s">
        <v>2063</v>
      </c>
      <c r="I366" s="883" t="s">
        <v>2538</v>
      </c>
      <c r="J366" s="885">
        <v>0</v>
      </c>
      <c r="K366" s="885">
        <v>0.148</v>
      </c>
      <c r="L366" s="886">
        <v>0.147977</v>
      </c>
      <c r="M366" s="882"/>
    </row>
    <row r="367" spans="1:13" ht="12.75">
      <c r="A367" s="882"/>
      <c r="B367" s="882"/>
      <c r="C367" s="882"/>
      <c r="D367" s="882"/>
      <c r="E367" s="883" t="s">
        <v>1034</v>
      </c>
      <c r="F367" s="883" t="s">
        <v>2619</v>
      </c>
      <c r="G367" s="883" t="s">
        <v>2187</v>
      </c>
      <c r="H367" s="883" t="s">
        <v>2063</v>
      </c>
      <c r="I367" s="883" t="s">
        <v>2538</v>
      </c>
      <c r="J367" s="885">
        <v>0</v>
      </c>
      <c r="K367" s="885">
        <v>0.125</v>
      </c>
      <c r="L367" s="886">
        <v>0.125</v>
      </c>
      <c r="M367" s="882"/>
    </row>
    <row r="368" spans="1:13" ht="12.75">
      <c r="A368" s="882"/>
      <c r="B368" s="882"/>
      <c r="C368" s="882"/>
      <c r="D368" s="882"/>
      <c r="E368" s="883" t="s">
        <v>1035</v>
      </c>
      <c r="F368" s="883" t="s">
        <v>1036</v>
      </c>
      <c r="G368" s="883" t="s">
        <v>2478</v>
      </c>
      <c r="H368" s="883" t="s">
        <v>2063</v>
      </c>
      <c r="I368" s="883" t="s">
        <v>2538</v>
      </c>
      <c r="J368" s="885">
        <v>0</v>
      </c>
      <c r="K368" s="885">
        <v>0.137</v>
      </c>
      <c r="L368" s="886">
        <v>0.136392</v>
      </c>
      <c r="M368" s="882"/>
    </row>
    <row r="369" spans="1:13" ht="12.75">
      <c r="A369" s="882"/>
      <c r="B369" s="882"/>
      <c r="C369" s="882"/>
      <c r="D369" s="882"/>
      <c r="E369" s="883" t="s">
        <v>1037</v>
      </c>
      <c r="F369" s="883" t="s">
        <v>1038</v>
      </c>
      <c r="G369" s="883" t="s">
        <v>2189</v>
      </c>
      <c r="H369" s="883" t="s">
        <v>2063</v>
      </c>
      <c r="I369" s="883" t="s">
        <v>2538</v>
      </c>
      <c r="J369" s="885">
        <v>0</v>
      </c>
      <c r="K369" s="885">
        <v>0.072</v>
      </c>
      <c r="L369" s="886">
        <v>0.07199</v>
      </c>
      <c r="M369" s="882"/>
    </row>
    <row r="370" spans="1:13" ht="12.75">
      <c r="A370" s="882"/>
      <c r="B370" s="882"/>
      <c r="C370" s="882"/>
      <c r="D370" s="882"/>
      <c r="E370" s="883" t="s">
        <v>1039</v>
      </c>
      <c r="F370" s="883" t="s">
        <v>1040</v>
      </c>
      <c r="G370" s="883" t="s">
        <v>2190</v>
      </c>
      <c r="H370" s="883" t="s">
        <v>2063</v>
      </c>
      <c r="I370" s="883" t="s">
        <v>2538</v>
      </c>
      <c r="J370" s="885">
        <v>0</v>
      </c>
      <c r="K370" s="885">
        <v>0.119</v>
      </c>
      <c r="L370" s="886">
        <v>0.119</v>
      </c>
      <c r="M370" s="882"/>
    </row>
    <row r="371" spans="1:13" ht="12.75">
      <c r="A371" s="882"/>
      <c r="B371" s="882"/>
      <c r="C371" s="882"/>
      <c r="D371" s="882"/>
      <c r="E371" s="883" t="s">
        <v>1041</v>
      </c>
      <c r="F371" s="883" t="s">
        <v>1042</v>
      </c>
      <c r="G371" s="883" t="s">
        <v>2192</v>
      </c>
      <c r="H371" s="883" t="s">
        <v>2063</v>
      </c>
      <c r="I371" s="883" t="s">
        <v>2538</v>
      </c>
      <c r="J371" s="885">
        <v>0</v>
      </c>
      <c r="K371" s="885">
        <v>0.16</v>
      </c>
      <c r="L371" s="886">
        <v>0.159436</v>
      </c>
      <c r="M371" s="882"/>
    </row>
    <row r="372" spans="1:13" ht="12.75">
      <c r="A372" s="882"/>
      <c r="B372" s="882"/>
      <c r="C372" s="882"/>
      <c r="D372" s="882"/>
      <c r="E372" s="883" t="s">
        <v>1043</v>
      </c>
      <c r="F372" s="883" t="s">
        <v>1044</v>
      </c>
      <c r="G372" s="883" t="s">
        <v>2191</v>
      </c>
      <c r="H372" s="883" t="s">
        <v>2063</v>
      </c>
      <c r="I372" s="883" t="s">
        <v>2538</v>
      </c>
      <c r="J372" s="885">
        <v>0</v>
      </c>
      <c r="K372" s="885">
        <v>0.134</v>
      </c>
      <c r="L372" s="886">
        <v>0.13302177</v>
      </c>
      <c r="M372" s="882"/>
    </row>
    <row r="373" spans="1:13" ht="12.75">
      <c r="A373" s="882"/>
      <c r="B373" s="882"/>
      <c r="C373" s="882"/>
      <c r="D373" s="882"/>
      <c r="E373" s="883" t="s">
        <v>1045</v>
      </c>
      <c r="F373" s="883" t="s">
        <v>1046</v>
      </c>
      <c r="G373" s="883" t="s">
        <v>2194</v>
      </c>
      <c r="H373" s="883" t="s">
        <v>2063</v>
      </c>
      <c r="I373" s="883" t="s">
        <v>2538</v>
      </c>
      <c r="J373" s="885">
        <v>0</v>
      </c>
      <c r="K373" s="885">
        <v>0.125</v>
      </c>
      <c r="L373" s="886">
        <v>0.124801</v>
      </c>
      <c r="M373" s="882"/>
    </row>
    <row r="374" spans="1:13" ht="12.75">
      <c r="A374" s="882"/>
      <c r="B374" s="882"/>
      <c r="C374" s="882"/>
      <c r="D374" s="882"/>
      <c r="E374" s="883" t="s">
        <v>1047</v>
      </c>
      <c r="F374" s="883" t="s">
        <v>1048</v>
      </c>
      <c r="G374" s="883" t="s">
        <v>2194</v>
      </c>
      <c r="H374" s="883" t="s">
        <v>2063</v>
      </c>
      <c r="I374" s="883" t="s">
        <v>2538</v>
      </c>
      <c r="J374" s="885">
        <v>0</v>
      </c>
      <c r="K374" s="885">
        <v>0.118</v>
      </c>
      <c r="L374" s="886">
        <v>0.117215</v>
      </c>
      <c r="M374" s="882"/>
    </row>
    <row r="375" spans="1:13" ht="12.75">
      <c r="A375" s="882"/>
      <c r="B375" s="882"/>
      <c r="C375" s="882"/>
      <c r="D375" s="882"/>
      <c r="E375" s="883" t="s">
        <v>1049</v>
      </c>
      <c r="F375" s="883" t="s">
        <v>1050</v>
      </c>
      <c r="G375" s="883" t="s">
        <v>2181</v>
      </c>
      <c r="H375" s="883" t="s">
        <v>2063</v>
      </c>
      <c r="I375" s="883" t="s">
        <v>2841</v>
      </c>
      <c r="J375" s="885">
        <v>0</v>
      </c>
      <c r="K375" s="885">
        <v>0.382</v>
      </c>
      <c r="L375" s="886">
        <v>0.38144974</v>
      </c>
      <c r="M375" s="882"/>
    </row>
    <row r="376" spans="1:13" ht="12.75">
      <c r="A376" s="882"/>
      <c r="B376" s="882"/>
      <c r="C376" s="882"/>
      <c r="D376" s="882"/>
      <c r="E376" s="883" t="s">
        <v>1049</v>
      </c>
      <c r="F376" s="883" t="s">
        <v>1050</v>
      </c>
      <c r="G376" s="883" t="s">
        <v>2181</v>
      </c>
      <c r="H376" s="883" t="s">
        <v>2063</v>
      </c>
      <c r="I376" s="883" t="s">
        <v>2538</v>
      </c>
      <c r="J376" s="885">
        <v>0</v>
      </c>
      <c r="K376" s="885">
        <v>0.577</v>
      </c>
      <c r="L376" s="886">
        <v>0.57678586</v>
      </c>
      <c r="M376" s="882"/>
    </row>
    <row r="377" spans="1:13" ht="12.75">
      <c r="A377" s="882"/>
      <c r="B377" s="882"/>
      <c r="C377" s="882"/>
      <c r="D377" s="882"/>
      <c r="E377" s="883" t="s">
        <v>1051</v>
      </c>
      <c r="F377" s="883" t="s">
        <v>1050</v>
      </c>
      <c r="G377" s="883" t="s">
        <v>2182</v>
      </c>
      <c r="H377" s="883" t="s">
        <v>2063</v>
      </c>
      <c r="I377" s="883" t="s">
        <v>2538</v>
      </c>
      <c r="J377" s="885">
        <v>0</v>
      </c>
      <c r="K377" s="885">
        <v>0.862</v>
      </c>
      <c r="L377" s="886">
        <v>0.861714</v>
      </c>
      <c r="M377" s="882"/>
    </row>
    <row r="378" spans="1:13" ht="12.75">
      <c r="A378" s="882"/>
      <c r="B378" s="882"/>
      <c r="C378" s="882"/>
      <c r="D378" s="882"/>
      <c r="E378" s="883" t="s">
        <v>1052</v>
      </c>
      <c r="F378" s="883" t="s">
        <v>1050</v>
      </c>
      <c r="G378" s="883" t="s">
        <v>2183</v>
      </c>
      <c r="H378" s="883" t="s">
        <v>2063</v>
      </c>
      <c r="I378" s="883" t="s">
        <v>2841</v>
      </c>
      <c r="J378" s="885">
        <v>0</v>
      </c>
      <c r="K378" s="885">
        <v>0.084</v>
      </c>
      <c r="L378" s="886">
        <v>0.08015</v>
      </c>
      <c r="M378" s="882"/>
    </row>
    <row r="379" spans="1:13" ht="12.75">
      <c r="A379" s="882"/>
      <c r="B379" s="882"/>
      <c r="C379" s="882"/>
      <c r="D379" s="882"/>
      <c r="E379" s="883" t="s">
        <v>1052</v>
      </c>
      <c r="F379" s="883" t="s">
        <v>1050</v>
      </c>
      <c r="G379" s="883" t="s">
        <v>2183</v>
      </c>
      <c r="H379" s="883" t="s">
        <v>2063</v>
      </c>
      <c r="I379" s="883" t="s">
        <v>2538</v>
      </c>
      <c r="J379" s="885">
        <v>0</v>
      </c>
      <c r="K379" s="885">
        <v>0.126</v>
      </c>
      <c r="L379" s="886">
        <v>0.125488</v>
      </c>
      <c r="M379" s="882"/>
    </row>
    <row r="380" spans="1:13" ht="12.75">
      <c r="A380" s="882"/>
      <c r="B380" s="882"/>
      <c r="C380" s="882"/>
      <c r="D380" s="882"/>
      <c r="E380" s="883" t="s">
        <v>1053</v>
      </c>
      <c r="F380" s="883" t="s">
        <v>1050</v>
      </c>
      <c r="G380" s="883" t="s">
        <v>2185</v>
      </c>
      <c r="H380" s="883" t="s">
        <v>2063</v>
      </c>
      <c r="I380" s="883" t="s">
        <v>2538</v>
      </c>
      <c r="J380" s="885">
        <v>0</v>
      </c>
      <c r="K380" s="885">
        <v>0.609</v>
      </c>
      <c r="L380" s="886">
        <v>0.6089883</v>
      </c>
      <c r="M380" s="882"/>
    </row>
    <row r="381" spans="1:13" ht="12.75">
      <c r="A381" s="882"/>
      <c r="B381" s="882"/>
      <c r="C381" s="882"/>
      <c r="D381" s="882"/>
      <c r="E381" s="883" t="s">
        <v>1054</v>
      </c>
      <c r="F381" s="883" t="s">
        <v>1055</v>
      </c>
      <c r="G381" s="883" t="s">
        <v>2189</v>
      </c>
      <c r="H381" s="883" t="s">
        <v>2063</v>
      </c>
      <c r="I381" s="883" t="s">
        <v>2538</v>
      </c>
      <c r="J381" s="885">
        <v>0</v>
      </c>
      <c r="K381" s="885">
        <v>0.792</v>
      </c>
      <c r="L381" s="886">
        <v>0.7913738</v>
      </c>
      <c r="M381" s="882"/>
    </row>
    <row r="382" spans="1:13" ht="12.75">
      <c r="A382" s="882"/>
      <c r="B382" s="882"/>
      <c r="C382" s="882"/>
      <c r="D382" s="882"/>
      <c r="E382" s="883" t="s">
        <v>1056</v>
      </c>
      <c r="F382" s="883" t="s">
        <v>1057</v>
      </c>
      <c r="G382" s="883" t="s">
        <v>2191</v>
      </c>
      <c r="H382" s="883" t="s">
        <v>2063</v>
      </c>
      <c r="I382" s="883" t="s">
        <v>2538</v>
      </c>
      <c r="J382" s="885">
        <v>0</v>
      </c>
      <c r="K382" s="885">
        <v>0.712</v>
      </c>
      <c r="L382" s="886">
        <v>0.710913</v>
      </c>
      <c r="M382" s="882"/>
    </row>
    <row r="383" spans="1:13" ht="12.75">
      <c r="A383" s="882"/>
      <c r="B383" s="882"/>
      <c r="C383" s="882"/>
      <c r="D383" s="882"/>
      <c r="E383" s="883" t="s">
        <v>1056</v>
      </c>
      <c r="F383" s="883" t="s">
        <v>1057</v>
      </c>
      <c r="G383" s="883" t="s">
        <v>2191</v>
      </c>
      <c r="H383" s="883" t="s">
        <v>2063</v>
      </c>
      <c r="I383" s="883" t="s">
        <v>2841</v>
      </c>
      <c r="J383" s="885">
        <v>0</v>
      </c>
      <c r="K383" s="885">
        <v>0.391</v>
      </c>
      <c r="L383" s="886">
        <v>0.390288</v>
      </c>
      <c r="M383" s="882"/>
    </row>
    <row r="384" spans="1:13" ht="12.75">
      <c r="A384" s="882"/>
      <c r="B384" s="882"/>
      <c r="C384" s="882"/>
      <c r="D384" s="882"/>
      <c r="E384" s="883" t="s">
        <v>1058</v>
      </c>
      <c r="F384" s="883" t="s">
        <v>1050</v>
      </c>
      <c r="G384" s="883" t="s">
        <v>2190</v>
      </c>
      <c r="H384" s="883" t="s">
        <v>2063</v>
      </c>
      <c r="I384" s="883" t="s">
        <v>2841</v>
      </c>
      <c r="J384" s="885">
        <v>0</v>
      </c>
      <c r="K384" s="885">
        <v>0.321</v>
      </c>
      <c r="L384" s="886">
        <v>0.3206</v>
      </c>
      <c r="M384" s="882"/>
    </row>
    <row r="385" spans="1:13" ht="12.75">
      <c r="A385" s="882"/>
      <c r="B385" s="882"/>
      <c r="C385" s="882"/>
      <c r="D385" s="882"/>
      <c r="E385" s="883" t="s">
        <v>1058</v>
      </c>
      <c r="F385" s="883" t="s">
        <v>1050</v>
      </c>
      <c r="G385" s="883" t="s">
        <v>2190</v>
      </c>
      <c r="H385" s="883" t="s">
        <v>2063</v>
      </c>
      <c r="I385" s="883" t="s">
        <v>2538</v>
      </c>
      <c r="J385" s="885">
        <v>0</v>
      </c>
      <c r="K385" s="885">
        <v>0.338</v>
      </c>
      <c r="L385" s="886">
        <v>0.33757</v>
      </c>
      <c r="M385" s="882"/>
    </row>
    <row r="386" spans="1:13" ht="12.75">
      <c r="A386" s="882"/>
      <c r="B386" s="882"/>
      <c r="C386" s="882"/>
      <c r="D386" s="882"/>
      <c r="E386" s="883" t="s">
        <v>1059</v>
      </c>
      <c r="F386" s="883" t="s">
        <v>1060</v>
      </c>
      <c r="G386" s="883" t="s">
        <v>2279</v>
      </c>
      <c r="H386" s="883" t="s">
        <v>2063</v>
      </c>
      <c r="I386" s="883" t="s">
        <v>2538</v>
      </c>
      <c r="J386" s="885">
        <v>0</v>
      </c>
      <c r="K386" s="885">
        <v>0.161</v>
      </c>
      <c r="L386" s="886">
        <v>0.1604215</v>
      </c>
      <c r="M386" s="882"/>
    </row>
    <row r="387" spans="1:13" ht="12.75">
      <c r="A387" s="882"/>
      <c r="B387" s="882"/>
      <c r="C387" s="882"/>
      <c r="D387" s="882"/>
      <c r="E387" s="883" t="s">
        <v>1061</v>
      </c>
      <c r="F387" s="883" t="s">
        <v>1062</v>
      </c>
      <c r="G387" s="883" t="s">
        <v>2279</v>
      </c>
      <c r="H387" s="883" t="s">
        <v>2063</v>
      </c>
      <c r="I387" s="883" t="s">
        <v>2538</v>
      </c>
      <c r="J387" s="885">
        <v>0</v>
      </c>
      <c r="K387" s="885">
        <v>0.37</v>
      </c>
      <c r="L387" s="886">
        <v>0.36999956</v>
      </c>
      <c r="M387" s="882"/>
    </row>
    <row r="388" spans="1:13" ht="12.75">
      <c r="A388" s="882"/>
      <c r="B388" s="882"/>
      <c r="C388" s="882"/>
      <c r="D388" s="882"/>
      <c r="E388" s="883" t="s">
        <v>1063</v>
      </c>
      <c r="F388" s="883" t="s">
        <v>1064</v>
      </c>
      <c r="G388" s="883" t="s">
        <v>2279</v>
      </c>
      <c r="H388" s="883" t="s">
        <v>2063</v>
      </c>
      <c r="I388" s="883" t="s">
        <v>2538</v>
      </c>
      <c r="J388" s="885">
        <v>0</v>
      </c>
      <c r="K388" s="885">
        <v>0.101</v>
      </c>
      <c r="L388" s="886">
        <v>0.100317</v>
      </c>
      <c r="M388" s="882"/>
    </row>
    <row r="389" spans="1:13" ht="12.75">
      <c r="A389" s="882"/>
      <c r="B389" s="882"/>
      <c r="C389" s="882"/>
      <c r="D389" s="882"/>
      <c r="E389" s="883" t="s">
        <v>1065</v>
      </c>
      <c r="F389" s="883" t="s">
        <v>1066</v>
      </c>
      <c r="G389" s="883" t="s">
        <v>2279</v>
      </c>
      <c r="H389" s="883" t="s">
        <v>2063</v>
      </c>
      <c r="I389" s="883" t="s">
        <v>2538</v>
      </c>
      <c r="J389" s="885">
        <v>0</v>
      </c>
      <c r="K389" s="885">
        <v>0.25</v>
      </c>
      <c r="L389" s="886">
        <v>0.25</v>
      </c>
      <c r="M389" s="882"/>
    </row>
    <row r="390" spans="1:13" ht="12.75">
      <c r="A390" s="882"/>
      <c r="B390" s="882"/>
      <c r="C390" s="882"/>
      <c r="D390" s="882"/>
      <c r="E390" s="883" t="s">
        <v>1067</v>
      </c>
      <c r="F390" s="883" t="s">
        <v>1068</v>
      </c>
      <c r="G390" s="883" t="s">
        <v>2191</v>
      </c>
      <c r="H390" s="883" t="s">
        <v>2063</v>
      </c>
      <c r="I390" s="883" t="s">
        <v>2627</v>
      </c>
      <c r="J390" s="885">
        <v>0</v>
      </c>
      <c r="K390" s="885">
        <v>0</v>
      </c>
      <c r="L390" s="886">
        <v>0.679985</v>
      </c>
      <c r="M390" s="882"/>
    </row>
    <row r="391" spans="1:13" ht="12.75">
      <c r="A391" s="882"/>
      <c r="B391" s="882"/>
      <c r="C391" s="882"/>
      <c r="D391" s="882"/>
      <c r="E391" s="883" t="s">
        <v>1069</v>
      </c>
      <c r="F391" s="883" t="s">
        <v>1070</v>
      </c>
      <c r="G391" s="883" t="s">
        <v>2180</v>
      </c>
      <c r="H391" s="883" t="s">
        <v>2063</v>
      </c>
      <c r="I391" s="883" t="s">
        <v>2538</v>
      </c>
      <c r="J391" s="885">
        <v>0</v>
      </c>
      <c r="K391" s="885">
        <v>0.484</v>
      </c>
      <c r="L391" s="886">
        <v>0.483973</v>
      </c>
      <c r="M391" s="882"/>
    </row>
    <row r="392" spans="1:13" ht="12.75">
      <c r="A392" s="882"/>
      <c r="B392" s="882"/>
      <c r="C392" s="882"/>
      <c r="D392" s="882"/>
      <c r="E392" s="883" t="s">
        <v>1071</v>
      </c>
      <c r="F392" s="883" t="s">
        <v>1072</v>
      </c>
      <c r="G392" s="883" t="s">
        <v>2186</v>
      </c>
      <c r="H392" s="883" t="s">
        <v>2063</v>
      </c>
      <c r="I392" s="883" t="s">
        <v>2627</v>
      </c>
      <c r="J392" s="885">
        <v>0</v>
      </c>
      <c r="K392" s="885">
        <v>0</v>
      </c>
      <c r="L392" s="886">
        <v>2.365006</v>
      </c>
      <c r="M392" s="882"/>
    </row>
    <row r="393" spans="1:13" ht="12.75">
      <c r="A393" s="882"/>
      <c r="B393" s="882"/>
      <c r="C393" s="882"/>
      <c r="D393" s="882"/>
      <c r="E393" s="883" t="s">
        <v>1073</v>
      </c>
      <c r="F393" s="883" t="s">
        <v>1074</v>
      </c>
      <c r="G393" s="883" t="s">
        <v>2279</v>
      </c>
      <c r="H393" s="883" t="s">
        <v>2063</v>
      </c>
      <c r="I393" s="883" t="s">
        <v>2538</v>
      </c>
      <c r="J393" s="885">
        <v>0</v>
      </c>
      <c r="K393" s="885">
        <v>0.4</v>
      </c>
      <c r="L393" s="886">
        <v>0.399999</v>
      </c>
      <c r="M393" s="882"/>
    </row>
    <row r="394" spans="1:13" ht="12.75">
      <c r="A394" s="882"/>
      <c r="B394" s="882"/>
      <c r="C394" s="882"/>
      <c r="D394" s="882"/>
      <c r="E394" s="883" t="s">
        <v>1075</v>
      </c>
      <c r="F394" s="883" t="s">
        <v>1076</v>
      </c>
      <c r="G394" s="883" t="s">
        <v>2279</v>
      </c>
      <c r="H394" s="883" t="s">
        <v>2063</v>
      </c>
      <c r="I394" s="883" t="s">
        <v>2538</v>
      </c>
      <c r="J394" s="885">
        <v>0</v>
      </c>
      <c r="K394" s="885">
        <v>2.1</v>
      </c>
      <c r="L394" s="886">
        <v>2.099673</v>
      </c>
      <c r="M394" s="882"/>
    </row>
    <row r="395" spans="1:13" ht="12.75">
      <c r="A395" s="882"/>
      <c r="B395" s="882"/>
      <c r="C395" s="882"/>
      <c r="D395" s="882"/>
      <c r="E395" s="883" t="s">
        <v>1077</v>
      </c>
      <c r="F395" s="883" t="s">
        <v>1078</v>
      </c>
      <c r="G395" s="883" t="s">
        <v>2279</v>
      </c>
      <c r="H395" s="883" t="s">
        <v>2063</v>
      </c>
      <c r="I395" s="883" t="s">
        <v>2538</v>
      </c>
      <c r="J395" s="885">
        <v>0</v>
      </c>
      <c r="K395" s="885">
        <v>0.126</v>
      </c>
      <c r="L395" s="886">
        <v>0.12519138</v>
      </c>
      <c r="M395" s="882"/>
    </row>
    <row r="396" spans="1:13" ht="12.75">
      <c r="A396" s="882"/>
      <c r="B396" s="882"/>
      <c r="C396" s="882"/>
      <c r="D396" s="882"/>
      <c r="E396" s="883" t="s">
        <v>1077</v>
      </c>
      <c r="F396" s="883" t="s">
        <v>1078</v>
      </c>
      <c r="G396" s="883" t="s">
        <v>2279</v>
      </c>
      <c r="H396" s="883" t="s">
        <v>2063</v>
      </c>
      <c r="I396" s="883" t="s">
        <v>1079</v>
      </c>
      <c r="J396" s="885">
        <v>0</v>
      </c>
      <c r="K396" s="885">
        <v>0</v>
      </c>
      <c r="L396" s="886">
        <v>0.12426032</v>
      </c>
      <c r="M396" s="882"/>
    </row>
    <row r="397" spans="1:13" ht="12.75">
      <c r="A397" s="882"/>
      <c r="B397" s="882"/>
      <c r="C397" s="882"/>
      <c r="D397" s="882"/>
      <c r="E397" s="883" t="s">
        <v>1080</v>
      </c>
      <c r="F397" s="883" t="s">
        <v>1078</v>
      </c>
      <c r="G397" s="883" t="s">
        <v>2179</v>
      </c>
      <c r="H397" s="883" t="s">
        <v>2063</v>
      </c>
      <c r="I397" s="883" t="s">
        <v>2538</v>
      </c>
      <c r="J397" s="885">
        <v>0</v>
      </c>
      <c r="K397" s="885">
        <v>0.15</v>
      </c>
      <c r="L397" s="886">
        <v>0.14974</v>
      </c>
      <c r="M397" s="882"/>
    </row>
    <row r="398" spans="1:13" ht="12.75">
      <c r="A398" s="882"/>
      <c r="B398" s="882"/>
      <c r="C398" s="882"/>
      <c r="D398" s="882"/>
      <c r="E398" s="883" t="s">
        <v>1080</v>
      </c>
      <c r="F398" s="883" t="s">
        <v>1078</v>
      </c>
      <c r="G398" s="883" t="s">
        <v>2179</v>
      </c>
      <c r="H398" s="883" t="s">
        <v>2063</v>
      </c>
      <c r="I398" s="883" t="s">
        <v>1079</v>
      </c>
      <c r="J398" s="885">
        <v>0</v>
      </c>
      <c r="K398" s="885">
        <v>0</v>
      </c>
      <c r="L398" s="886">
        <v>0.15</v>
      </c>
      <c r="M398" s="882"/>
    </row>
    <row r="399" spans="1:13" ht="12.75">
      <c r="A399" s="882"/>
      <c r="B399" s="882"/>
      <c r="C399" s="882"/>
      <c r="D399" s="882"/>
      <c r="E399" s="883" t="s">
        <v>1081</v>
      </c>
      <c r="F399" s="883" t="s">
        <v>1050</v>
      </c>
      <c r="G399" s="883" t="s">
        <v>2192</v>
      </c>
      <c r="H399" s="883" t="s">
        <v>2063</v>
      </c>
      <c r="I399" s="883" t="s">
        <v>2538</v>
      </c>
      <c r="J399" s="885">
        <v>0</v>
      </c>
      <c r="K399" s="885">
        <v>0.604</v>
      </c>
      <c r="L399" s="886">
        <v>0.60341</v>
      </c>
      <c r="M399" s="882"/>
    </row>
    <row r="400" spans="1:13" ht="12.75">
      <c r="A400" s="882"/>
      <c r="B400" s="882"/>
      <c r="C400" s="882"/>
      <c r="D400" s="882"/>
      <c r="E400" s="883" t="s">
        <v>1082</v>
      </c>
      <c r="F400" s="883" t="s">
        <v>1083</v>
      </c>
      <c r="G400" s="883" t="s">
        <v>2187</v>
      </c>
      <c r="H400" s="883" t="s">
        <v>2063</v>
      </c>
      <c r="I400" s="883" t="s">
        <v>2538</v>
      </c>
      <c r="J400" s="885">
        <v>0</v>
      </c>
      <c r="K400" s="885">
        <v>0.242</v>
      </c>
      <c r="L400" s="886">
        <v>0.24157</v>
      </c>
      <c r="M400" s="882"/>
    </row>
    <row r="401" spans="1:13" ht="12.75">
      <c r="A401" s="882"/>
      <c r="B401" s="882"/>
      <c r="C401" s="882"/>
      <c r="D401" s="882"/>
      <c r="E401" s="883" t="s">
        <v>1084</v>
      </c>
      <c r="F401" s="883" t="s">
        <v>1085</v>
      </c>
      <c r="G401" s="883" t="s">
        <v>2180</v>
      </c>
      <c r="H401" s="883" t="s">
        <v>2063</v>
      </c>
      <c r="I401" s="883" t="s">
        <v>2538</v>
      </c>
      <c r="J401" s="885">
        <v>0</v>
      </c>
      <c r="K401" s="885">
        <v>0.431</v>
      </c>
      <c r="L401" s="886">
        <v>0.430612</v>
      </c>
      <c r="M401" s="882"/>
    </row>
    <row r="402" spans="1:13" ht="12.75">
      <c r="A402" s="882"/>
      <c r="B402" s="882"/>
      <c r="C402" s="882"/>
      <c r="D402" s="882"/>
      <c r="E402" s="883" t="s">
        <v>1086</v>
      </c>
      <c r="F402" s="883" t="s">
        <v>1087</v>
      </c>
      <c r="G402" s="883" t="s">
        <v>2184</v>
      </c>
      <c r="H402" s="883" t="s">
        <v>2063</v>
      </c>
      <c r="I402" s="883" t="s">
        <v>2841</v>
      </c>
      <c r="J402" s="885">
        <v>0</v>
      </c>
      <c r="K402" s="885">
        <v>0.375</v>
      </c>
      <c r="L402" s="886">
        <v>0.37403366</v>
      </c>
      <c r="M402" s="882"/>
    </row>
    <row r="403" spans="1:13" ht="12.75">
      <c r="A403" s="882"/>
      <c r="B403" s="882"/>
      <c r="C403" s="882"/>
      <c r="D403" s="882"/>
      <c r="E403" s="883" t="s">
        <v>1086</v>
      </c>
      <c r="F403" s="883" t="s">
        <v>1087</v>
      </c>
      <c r="G403" s="883" t="s">
        <v>2184</v>
      </c>
      <c r="H403" s="883" t="s">
        <v>2063</v>
      </c>
      <c r="I403" s="883" t="s">
        <v>2538</v>
      </c>
      <c r="J403" s="885">
        <v>0</v>
      </c>
      <c r="K403" s="885">
        <v>0.693</v>
      </c>
      <c r="L403" s="886">
        <v>0.69290834</v>
      </c>
      <c r="M403" s="882"/>
    </row>
    <row r="404" spans="1:13" ht="12.75">
      <c r="A404" s="882"/>
      <c r="B404" s="882"/>
      <c r="C404" s="882"/>
      <c r="D404" s="882"/>
      <c r="E404" s="883" t="s">
        <v>1088</v>
      </c>
      <c r="F404" s="883" t="s">
        <v>1089</v>
      </c>
      <c r="G404" s="883" t="s">
        <v>2478</v>
      </c>
      <c r="H404" s="883" t="s">
        <v>2063</v>
      </c>
      <c r="I404" s="883" t="s">
        <v>2538</v>
      </c>
      <c r="J404" s="885">
        <v>0</v>
      </c>
      <c r="K404" s="885">
        <v>0.328</v>
      </c>
      <c r="L404" s="886">
        <v>0.327579</v>
      </c>
      <c r="M404" s="882"/>
    </row>
    <row r="405" spans="1:13" ht="12.75">
      <c r="A405" s="882"/>
      <c r="B405" s="882"/>
      <c r="C405" s="882"/>
      <c r="D405" s="882"/>
      <c r="E405" s="883" t="s">
        <v>1090</v>
      </c>
      <c r="F405" s="883" t="s">
        <v>1050</v>
      </c>
      <c r="G405" s="883" t="s">
        <v>2279</v>
      </c>
      <c r="H405" s="883" t="s">
        <v>2063</v>
      </c>
      <c r="I405" s="883" t="s">
        <v>2538</v>
      </c>
      <c r="J405" s="885">
        <v>0</v>
      </c>
      <c r="K405" s="885">
        <v>0.474</v>
      </c>
      <c r="L405" s="886">
        <v>0.473511</v>
      </c>
      <c r="M405" s="882"/>
    </row>
    <row r="406" spans="1:13" ht="12.75">
      <c r="A406" s="882"/>
      <c r="B406" s="882"/>
      <c r="C406" s="882"/>
      <c r="D406" s="882"/>
      <c r="E406" s="883" t="s">
        <v>1091</v>
      </c>
      <c r="F406" s="883" t="s">
        <v>1092</v>
      </c>
      <c r="G406" s="883" t="s">
        <v>2183</v>
      </c>
      <c r="H406" s="883" t="s">
        <v>2063</v>
      </c>
      <c r="I406" s="883" t="s">
        <v>2538</v>
      </c>
      <c r="J406" s="885">
        <v>0</v>
      </c>
      <c r="K406" s="885">
        <v>0.241</v>
      </c>
      <c r="L406" s="886">
        <v>0.240632</v>
      </c>
      <c r="M406" s="882"/>
    </row>
    <row r="407" spans="1:13" ht="12.75">
      <c r="A407" s="882"/>
      <c r="B407" s="882"/>
      <c r="C407" s="882"/>
      <c r="D407" s="882"/>
      <c r="E407" s="883" t="s">
        <v>1093</v>
      </c>
      <c r="F407" s="883" t="s">
        <v>1094</v>
      </c>
      <c r="G407" s="883" t="s">
        <v>2185</v>
      </c>
      <c r="H407" s="883" t="s">
        <v>2063</v>
      </c>
      <c r="I407" s="883" t="s">
        <v>2627</v>
      </c>
      <c r="J407" s="885">
        <v>0</v>
      </c>
      <c r="K407" s="885">
        <v>0</v>
      </c>
      <c r="L407" s="886">
        <v>0.10214</v>
      </c>
      <c r="M407" s="882"/>
    </row>
    <row r="408" spans="1:13" ht="12.75">
      <c r="A408" s="882"/>
      <c r="B408" s="882"/>
      <c r="C408" s="882"/>
      <c r="D408" s="882"/>
      <c r="E408" s="883" t="s">
        <v>1095</v>
      </c>
      <c r="F408" s="883" t="s">
        <v>1096</v>
      </c>
      <c r="G408" s="883" t="s">
        <v>2180</v>
      </c>
      <c r="H408" s="883" t="s">
        <v>2063</v>
      </c>
      <c r="I408" s="883" t="s">
        <v>2538</v>
      </c>
      <c r="J408" s="885">
        <v>0</v>
      </c>
      <c r="K408" s="885">
        <v>0.072</v>
      </c>
      <c r="L408" s="886">
        <v>0.071995</v>
      </c>
      <c r="M408" s="882"/>
    </row>
    <row r="409" spans="1:13" ht="12.75">
      <c r="A409" s="882"/>
      <c r="B409" s="882"/>
      <c r="C409" s="882"/>
      <c r="D409" s="882"/>
      <c r="E409" s="883" t="s">
        <v>1097</v>
      </c>
      <c r="F409" s="883" t="s">
        <v>1098</v>
      </c>
      <c r="G409" s="883" t="s">
        <v>2180</v>
      </c>
      <c r="H409" s="883" t="s">
        <v>2063</v>
      </c>
      <c r="I409" s="883" t="s">
        <v>2538</v>
      </c>
      <c r="J409" s="885">
        <v>0</v>
      </c>
      <c r="K409" s="885">
        <v>0.191</v>
      </c>
      <c r="L409" s="886">
        <v>0.1903405</v>
      </c>
      <c r="M409" s="882"/>
    </row>
    <row r="410" spans="1:13" ht="12.75">
      <c r="A410" s="882"/>
      <c r="B410" s="882"/>
      <c r="C410" s="882"/>
      <c r="D410" s="882"/>
      <c r="E410" s="883" t="s">
        <v>1099</v>
      </c>
      <c r="F410" s="883" t="s">
        <v>1100</v>
      </c>
      <c r="G410" s="883" t="s">
        <v>2180</v>
      </c>
      <c r="H410" s="883" t="s">
        <v>2063</v>
      </c>
      <c r="I410" s="883" t="s">
        <v>2538</v>
      </c>
      <c r="J410" s="885">
        <v>0</v>
      </c>
      <c r="K410" s="885">
        <v>0.2</v>
      </c>
      <c r="L410" s="886">
        <v>0.1999997</v>
      </c>
      <c r="M410" s="882"/>
    </row>
    <row r="411" spans="1:13" ht="12.75">
      <c r="A411" s="882"/>
      <c r="B411" s="882"/>
      <c r="C411" s="882"/>
      <c r="D411" s="882"/>
      <c r="E411" s="883" t="s">
        <v>1101</v>
      </c>
      <c r="F411" s="883" t="s">
        <v>1102</v>
      </c>
      <c r="G411" s="883" t="s">
        <v>2180</v>
      </c>
      <c r="H411" s="883" t="s">
        <v>2063</v>
      </c>
      <c r="I411" s="883" t="s">
        <v>2627</v>
      </c>
      <c r="J411" s="885">
        <v>0</v>
      </c>
      <c r="K411" s="885">
        <v>0</v>
      </c>
      <c r="L411" s="886">
        <v>0.060006</v>
      </c>
      <c r="M411" s="882"/>
    </row>
    <row r="412" spans="1:13" ht="12.75">
      <c r="A412" s="882"/>
      <c r="B412" s="882"/>
      <c r="C412" s="882"/>
      <c r="D412" s="882"/>
      <c r="E412" s="883" t="s">
        <v>1103</v>
      </c>
      <c r="F412" s="883" t="s">
        <v>1104</v>
      </c>
      <c r="G412" s="883" t="s">
        <v>2180</v>
      </c>
      <c r="H412" s="883" t="s">
        <v>2063</v>
      </c>
      <c r="I412" s="883" t="s">
        <v>2627</v>
      </c>
      <c r="J412" s="885">
        <v>0</v>
      </c>
      <c r="K412" s="885">
        <v>0</v>
      </c>
      <c r="L412" s="886">
        <v>1.993251</v>
      </c>
      <c r="M412" s="882"/>
    </row>
    <row r="413" spans="1:13" ht="12.75">
      <c r="A413" s="882"/>
      <c r="B413" s="882"/>
      <c r="C413" s="882"/>
      <c r="D413" s="882"/>
      <c r="E413" s="883" t="s">
        <v>1105</v>
      </c>
      <c r="F413" s="883" t="s">
        <v>1106</v>
      </c>
      <c r="G413" s="883" t="s">
        <v>2180</v>
      </c>
      <c r="H413" s="883" t="s">
        <v>2063</v>
      </c>
      <c r="I413" s="883" t="s">
        <v>2627</v>
      </c>
      <c r="J413" s="885">
        <v>0</v>
      </c>
      <c r="K413" s="885">
        <v>0</v>
      </c>
      <c r="L413" s="886">
        <v>0.99420216</v>
      </c>
      <c r="M413" s="882"/>
    </row>
    <row r="414" spans="1:13" ht="12.75">
      <c r="A414" s="882"/>
      <c r="B414" s="882"/>
      <c r="C414" s="882"/>
      <c r="D414" s="882"/>
      <c r="E414" s="883" t="s">
        <v>1107</v>
      </c>
      <c r="F414" s="883" t="s">
        <v>1108</v>
      </c>
      <c r="G414" s="883" t="s">
        <v>2183</v>
      </c>
      <c r="H414" s="883" t="s">
        <v>2063</v>
      </c>
      <c r="I414" s="883" t="s">
        <v>2538</v>
      </c>
      <c r="J414" s="885">
        <v>0</v>
      </c>
      <c r="K414" s="885">
        <v>0.085</v>
      </c>
      <c r="L414" s="886">
        <v>0.084633</v>
      </c>
      <c r="M414" s="882"/>
    </row>
    <row r="415" spans="1:13" ht="12.75">
      <c r="A415" s="882"/>
      <c r="B415" s="882"/>
      <c r="C415" s="882"/>
      <c r="D415" s="882"/>
      <c r="E415" s="883" t="s">
        <v>1109</v>
      </c>
      <c r="F415" s="883" t="s">
        <v>1110</v>
      </c>
      <c r="G415" s="883" t="s">
        <v>2279</v>
      </c>
      <c r="H415" s="883" t="s">
        <v>2063</v>
      </c>
      <c r="I415" s="883" t="s">
        <v>2538</v>
      </c>
      <c r="J415" s="885">
        <v>0</v>
      </c>
      <c r="K415" s="885">
        <v>0.179</v>
      </c>
      <c r="L415" s="886">
        <v>0.1785</v>
      </c>
      <c r="M415" s="882"/>
    </row>
    <row r="416" spans="1:13" ht="12.75">
      <c r="A416" s="882"/>
      <c r="B416" s="882"/>
      <c r="C416" s="882"/>
      <c r="D416" s="882"/>
      <c r="E416" s="883" t="s">
        <v>1111</v>
      </c>
      <c r="F416" s="883" t="s">
        <v>1112</v>
      </c>
      <c r="G416" s="883" t="s">
        <v>2279</v>
      </c>
      <c r="H416" s="883" t="s">
        <v>2063</v>
      </c>
      <c r="I416" s="883" t="s">
        <v>2538</v>
      </c>
      <c r="J416" s="885">
        <v>0</v>
      </c>
      <c r="K416" s="885">
        <v>1</v>
      </c>
      <c r="L416" s="886">
        <v>0.99999984</v>
      </c>
      <c r="M416" s="882"/>
    </row>
    <row r="417" spans="1:13" ht="12.75">
      <c r="A417" s="882"/>
      <c r="B417" s="882"/>
      <c r="C417" s="882"/>
      <c r="D417" s="882"/>
      <c r="E417" s="883" t="s">
        <v>1113</v>
      </c>
      <c r="F417" s="883" t="s">
        <v>1114</v>
      </c>
      <c r="G417" s="883" t="s">
        <v>2279</v>
      </c>
      <c r="H417" s="883" t="s">
        <v>2063</v>
      </c>
      <c r="I417" s="883" t="s">
        <v>2538</v>
      </c>
      <c r="J417" s="885">
        <v>0</v>
      </c>
      <c r="K417" s="885">
        <v>4.164</v>
      </c>
      <c r="L417" s="886">
        <v>4.16281277</v>
      </c>
      <c r="M417" s="882"/>
    </row>
    <row r="418" spans="1:13" ht="12.75">
      <c r="A418" s="882"/>
      <c r="B418" s="882"/>
      <c r="C418" s="882"/>
      <c r="D418" s="882"/>
      <c r="E418" s="883" t="s">
        <v>1115</v>
      </c>
      <c r="F418" s="883" t="s">
        <v>1116</v>
      </c>
      <c r="G418" s="883" t="s">
        <v>2192</v>
      </c>
      <c r="H418" s="883" t="s">
        <v>2063</v>
      </c>
      <c r="I418" s="883" t="s">
        <v>2538</v>
      </c>
      <c r="J418" s="885">
        <v>0</v>
      </c>
      <c r="K418" s="885">
        <v>1.515</v>
      </c>
      <c r="L418" s="886">
        <v>1.51454162</v>
      </c>
      <c r="M418" s="882"/>
    </row>
    <row r="419" spans="1:13" ht="12.75">
      <c r="A419" s="882"/>
      <c r="B419" s="882"/>
      <c r="C419" s="882"/>
      <c r="D419" s="882"/>
      <c r="E419" s="883" t="s">
        <v>1117</v>
      </c>
      <c r="F419" s="883" t="s">
        <v>1118</v>
      </c>
      <c r="G419" s="883" t="s">
        <v>2179</v>
      </c>
      <c r="H419" s="883" t="s">
        <v>2063</v>
      </c>
      <c r="I419" s="883" t="s">
        <v>2538</v>
      </c>
      <c r="J419" s="885">
        <v>0</v>
      </c>
      <c r="K419" s="885">
        <v>7.001</v>
      </c>
      <c r="L419" s="886">
        <v>6.999995</v>
      </c>
      <c r="M419" s="882"/>
    </row>
    <row r="420" spans="1:13" ht="12.75">
      <c r="A420" s="882"/>
      <c r="B420" s="882"/>
      <c r="C420" s="882"/>
      <c r="D420" s="882"/>
      <c r="E420" s="883" t="s">
        <v>1119</v>
      </c>
      <c r="F420" s="883" t="s">
        <v>1116</v>
      </c>
      <c r="G420" s="883" t="s">
        <v>2279</v>
      </c>
      <c r="H420" s="883" t="s">
        <v>2063</v>
      </c>
      <c r="I420" s="883" t="s">
        <v>2538</v>
      </c>
      <c r="J420" s="885">
        <v>0</v>
      </c>
      <c r="K420" s="885">
        <v>21.195</v>
      </c>
      <c r="L420" s="886">
        <v>21.193067</v>
      </c>
      <c r="M420" s="882"/>
    </row>
    <row r="421" spans="1:13" ht="12.75">
      <c r="A421" s="882"/>
      <c r="B421" s="882"/>
      <c r="C421" s="882"/>
      <c r="D421" s="882"/>
      <c r="E421" s="883" t="s">
        <v>1119</v>
      </c>
      <c r="F421" s="883" t="s">
        <v>1116</v>
      </c>
      <c r="G421" s="883" t="s">
        <v>2279</v>
      </c>
      <c r="H421" s="883" t="s">
        <v>2063</v>
      </c>
      <c r="I421" s="883" t="s">
        <v>2841</v>
      </c>
      <c r="J421" s="885">
        <v>0</v>
      </c>
      <c r="K421" s="885">
        <v>4.994</v>
      </c>
      <c r="L421" s="886">
        <v>4.99324</v>
      </c>
      <c r="M421" s="882"/>
    </row>
    <row r="422" spans="1:13" ht="12.75">
      <c r="A422" s="882"/>
      <c r="B422" s="882"/>
      <c r="C422" s="882"/>
      <c r="D422" s="882"/>
      <c r="E422" s="883" t="s">
        <v>1120</v>
      </c>
      <c r="F422" s="883" t="s">
        <v>1121</v>
      </c>
      <c r="G422" s="883" t="s">
        <v>2194</v>
      </c>
      <c r="H422" s="883" t="s">
        <v>2063</v>
      </c>
      <c r="I422" s="883" t="s">
        <v>2538</v>
      </c>
      <c r="J422" s="885">
        <v>0</v>
      </c>
      <c r="K422" s="885">
        <v>0.828</v>
      </c>
      <c r="L422" s="886">
        <v>0.8270262</v>
      </c>
      <c r="M422" s="882"/>
    </row>
    <row r="423" spans="1:13" ht="12.75">
      <c r="A423" s="882"/>
      <c r="B423" s="882"/>
      <c r="C423" s="882"/>
      <c r="D423" s="882"/>
      <c r="E423" s="883" t="s">
        <v>1122</v>
      </c>
      <c r="F423" s="883" t="s">
        <v>1123</v>
      </c>
      <c r="G423" s="883" t="s">
        <v>2179</v>
      </c>
      <c r="H423" s="883" t="s">
        <v>2063</v>
      </c>
      <c r="I423" s="883" t="s">
        <v>2538</v>
      </c>
      <c r="J423" s="885">
        <v>0</v>
      </c>
      <c r="K423" s="885">
        <v>15.001</v>
      </c>
      <c r="L423" s="886">
        <v>15</v>
      </c>
      <c r="M423" s="882"/>
    </row>
    <row r="424" spans="1:13" ht="12.75">
      <c r="A424" s="882"/>
      <c r="B424" s="882"/>
      <c r="C424" s="882"/>
      <c r="D424" s="882"/>
      <c r="E424" s="883" t="s">
        <v>1124</v>
      </c>
      <c r="F424" s="883" t="s">
        <v>1125</v>
      </c>
      <c r="G424" s="883" t="s">
        <v>2185</v>
      </c>
      <c r="H424" s="883" t="s">
        <v>2063</v>
      </c>
      <c r="I424" s="883" t="s">
        <v>2538</v>
      </c>
      <c r="J424" s="885">
        <v>0</v>
      </c>
      <c r="K424" s="885">
        <v>1.094</v>
      </c>
      <c r="L424" s="886">
        <v>1.09326803</v>
      </c>
      <c r="M424" s="882"/>
    </row>
    <row r="425" spans="1:13" ht="12.75">
      <c r="A425" s="882"/>
      <c r="B425" s="882"/>
      <c r="C425" s="882"/>
      <c r="D425" s="882"/>
      <c r="E425" s="883" t="s">
        <v>1126</v>
      </c>
      <c r="F425" s="883" t="s">
        <v>1127</v>
      </c>
      <c r="G425" s="883" t="s">
        <v>2279</v>
      </c>
      <c r="H425" s="883" t="s">
        <v>2063</v>
      </c>
      <c r="I425" s="883" t="s">
        <v>2538</v>
      </c>
      <c r="J425" s="885">
        <v>0</v>
      </c>
      <c r="K425" s="885">
        <v>0.297</v>
      </c>
      <c r="L425" s="886">
        <v>0.29615975</v>
      </c>
      <c r="M425" s="882"/>
    </row>
    <row r="426" spans="1:13" ht="12.75">
      <c r="A426" s="882"/>
      <c r="B426" s="882"/>
      <c r="C426" s="882"/>
      <c r="D426" s="882"/>
      <c r="E426" s="883" t="s">
        <v>1128</v>
      </c>
      <c r="F426" s="883" t="s">
        <v>1129</v>
      </c>
      <c r="G426" s="883" t="s">
        <v>2189</v>
      </c>
      <c r="H426" s="883" t="s">
        <v>2063</v>
      </c>
      <c r="I426" s="883" t="s">
        <v>2627</v>
      </c>
      <c r="J426" s="885">
        <v>0</v>
      </c>
      <c r="K426" s="885">
        <v>0</v>
      </c>
      <c r="L426" s="886">
        <v>0.4925529</v>
      </c>
      <c r="M426" s="882"/>
    </row>
    <row r="427" spans="1:13" ht="12.75">
      <c r="A427" s="882"/>
      <c r="B427" s="882"/>
      <c r="C427" s="882"/>
      <c r="D427" s="882"/>
      <c r="E427" s="883" t="s">
        <v>1130</v>
      </c>
      <c r="F427" s="883" t="s">
        <v>1131</v>
      </c>
      <c r="G427" s="883" t="s">
        <v>2185</v>
      </c>
      <c r="H427" s="883" t="s">
        <v>2063</v>
      </c>
      <c r="I427" s="883" t="s">
        <v>2538</v>
      </c>
      <c r="J427" s="885">
        <v>0</v>
      </c>
      <c r="K427" s="885">
        <v>0.36</v>
      </c>
      <c r="L427" s="886">
        <v>0.36</v>
      </c>
      <c r="M427" s="882"/>
    </row>
    <row r="428" spans="1:13" ht="12.75">
      <c r="A428" s="882"/>
      <c r="B428" s="882"/>
      <c r="C428" s="882"/>
      <c r="D428" s="882"/>
      <c r="E428" s="883" t="s">
        <v>1132</v>
      </c>
      <c r="F428" s="883" t="s">
        <v>1133</v>
      </c>
      <c r="G428" s="883" t="s">
        <v>2186</v>
      </c>
      <c r="H428" s="883" t="s">
        <v>2063</v>
      </c>
      <c r="I428" s="883" t="s">
        <v>2538</v>
      </c>
      <c r="J428" s="885">
        <v>0</v>
      </c>
      <c r="K428" s="885">
        <v>0.089</v>
      </c>
      <c r="L428" s="886">
        <v>0.088834</v>
      </c>
      <c r="M428" s="882"/>
    </row>
    <row r="429" spans="1:13" ht="12.75">
      <c r="A429" s="882"/>
      <c r="B429" s="882"/>
      <c r="C429" s="882"/>
      <c r="D429" s="882"/>
      <c r="E429" s="883" t="s">
        <v>1134</v>
      </c>
      <c r="F429" s="883" t="s">
        <v>1135</v>
      </c>
      <c r="G429" s="883" t="s">
        <v>2183</v>
      </c>
      <c r="H429" s="883" t="s">
        <v>2063</v>
      </c>
      <c r="I429" s="883" t="s">
        <v>2538</v>
      </c>
      <c r="J429" s="885">
        <v>0</v>
      </c>
      <c r="K429" s="885">
        <v>0.189</v>
      </c>
      <c r="L429" s="886">
        <v>0.188867</v>
      </c>
      <c r="M429" s="882"/>
    </row>
    <row r="430" spans="1:13" ht="12.75">
      <c r="A430" s="882"/>
      <c r="B430" s="882"/>
      <c r="C430" s="882"/>
      <c r="D430" s="882"/>
      <c r="E430" s="883" t="s">
        <v>1136</v>
      </c>
      <c r="F430" s="883" t="s">
        <v>1137</v>
      </c>
      <c r="G430" s="883" t="s">
        <v>2279</v>
      </c>
      <c r="H430" s="883" t="s">
        <v>2543</v>
      </c>
      <c r="I430" s="883" t="s">
        <v>2538</v>
      </c>
      <c r="J430" s="884">
        <v>5</v>
      </c>
      <c r="K430" s="885">
        <v>0</v>
      </c>
      <c r="L430" s="886">
        <v>0</v>
      </c>
      <c r="M430" s="882"/>
    </row>
    <row r="431" spans="1:13" ht="12.75">
      <c r="A431" s="882"/>
      <c r="B431" s="882"/>
      <c r="C431" s="882"/>
      <c r="D431" s="882"/>
      <c r="E431" s="883" t="s">
        <v>1138</v>
      </c>
      <c r="F431" s="883" t="s">
        <v>1139</v>
      </c>
      <c r="G431" s="883" t="s">
        <v>2189</v>
      </c>
      <c r="H431" s="883" t="s">
        <v>2063</v>
      </c>
      <c r="I431" s="883" t="s">
        <v>2538</v>
      </c>
      <c r="J431" s="884">
        <v>2.4</v>
      </c>
      <c r="K431" s="885">
        <v>1.307</v>
      </c>
      <c r="L431" s="886">
        <v>1.306501</v>
      </c>
      <c r="M431" s="882"/>
    </row>
    <row r="432" spans="1:13" ht="12.75">
      <c r="A432" s="882"/>
      <c r="B432" s="882"/>
      <c r="C432" s="882"/>
      <c r="D432" s="882"/>
      <c r="E432" s="883" t="s">
        <v>1140</v>
      </c>
      <c r="F432" s="883" t="s">
        <v>1141</v>
      </c>
      <c r="G432" s="883" t="s">
        <v>2279</v>
      </c>
      <c r="H432" s="883" t="s">
        <v>2063</v>
      </c>
      <c r="I432" s="883" t="s">
        <v>2538</v>
      </c>
      <c r="J432" s="884">
        <v>3</v>
      </c>
      <c r="K432" s="885">
        <v>9.989</v>
      </c>
      <c r="L432" s="886">
        <v>9.987229</v>
      </c>
      <c r="M432" s="882"/>
    </row>
    <row r="433" spans="1:13" ht="12.75">
      <c r="A433" s="882"/>
      <c r="B433" s="882"/>
      <c r="C433" s="882"/>
      <c r="D433" s="882"/>
      <c r="E433" s="883" t="s">
        <v>1142</v>
      </c>
      <c r="F433" s="883" t="s">
        <v>1143</v>
      </c>
      <c r="G433" s="883" t="s">
        <v>2179</v>
      </c>
      <c r="H433" s="883" t="s">
        <v>2543</v>
      </c>
      <c r="I433" s="883" t="s">
        <v>2538</v>
      </c>
      <c r="J433" s="884">
        <v>5</v>
      </c>
      <c r="K433" s="885">
        <v>0</v>
      </c>
      <c r="L433" s="886">
        <v>0</v>
      </c>
      <c r="M433" s="882"/>
    </row>
    <row r="434" spans="1:13" ht="12.75">
      <c r="A434" s="882"/>
      <c r="B434" s="882"/>
      <c r="C434" s="882"/>
      <c r="D434" s="882"/>
      <c r="E434" s="883" t="s">
        <v>1144</v>
      </c>
      <c r="F434" s="883" t="s">
        <v>1145</v>
      </c>
      <c r="G434" s="883" t="s">
        <v>2194</v>
      </c>
      <c r="H434" s="883" t="s">
        <v>2063</v>
      </c>
      <c r="I434" s="883" t="s">
        <v>2538</v>
      </c>
      <c r="J434" s="884">
        <v>6.8</v>
      </c>
      <c r="K434" s="885">
        <v>7.727</v>
      </c>
      <c r="L434" s="886">
        <v>7.72654</v>
      </c>
      <c r="M434" s="882"/>
    </row>
    <row r="435" spans="1:13" ht="12.75">
      <c r="A435" s="882"/>
      <c r="B435" s="882"/>
      <c r="C435" s="882"/>
      <c r="D435" s="882"/>
      <c r="E435" s="883" t="s">
        <v>1146</v>
      </c>
      <c r="F435" s="883" t="s">
        <v>1147</v>
      </c>
      <c r="G435" s="883" t="s">
        <v>2183</v>
      </c>
      <c r="H435" s="883" t="s">
        <v>2063</v>
      </c>
      <c r="I435" s="883" t="s">
        <v>2627</v>
      </c>
      <c r="J435" s="885">
        <v>0</v>
      </c>
      <c r="K435" s="885">
        <v>0</v>
      </c>
      <c r="L435" s="886">
        <v>0.5293685</v>
      </c>
      <c r="M435" s="882"/>
    </row>
    <row r="436" spans="1:13" ht="12.75">
      <c r="A436" s="882"/>
      <c r="B436" s="882"/>
      <c r="C436" s="882"/>
      <c r="D436" s="882"/>
      <c r="E436" s="883" t="s">
        <v>1148</v>
      </c>
      <c r="F436" s="883" t="s">
        <v>1149</v>
      </c>
      <c r="G436" s="883" t="s">
        <v>2180</v>
      </c>
      <c r="H436" s="883" t="s">
        <v>2063</v>
      </c>
      <c r="I436" s="883" t="s">
        <v>2538</v>
      </c>
      <c r="J436" s="885">
        <v>0</v>
      </c>
      <c r="K436" s="885">
        <v>0.035</v>
      </c>
      <c r="L436" s="886">
        <v>0.0344</v>
      </c>
      <c r="M436" s="882"/>
    </row>
    <row r="437" spans="1:13" ht="12.75">
      <c r="A437" s="882"/>
      <c r="B437" s="882"/>
      <c r="C437" s="882"/>
      <c r="D437" s="882"/>
      <c r="E437" s="883" t="s">
        <v>1150</v>
      </c>
      <c r="F437" s="883" t="s">
        <v>1151</v>
      </c>
      <c r="G437" s="883" t="s">
        <v>2179</v>
      </c>
      <c r="H437" s="883" t="s">
        <v>2063</v>
      </c>
      <c r="I437" s="883" t="s">
        <v>2538</v>
      </c>
      <c r="J437" s="885">
        <v>0</v>
      </c>
      <c r="K437" s="885">
        <v>0.155</v>
      </c>
      <c r="L437" s="886">
        <v>0.1547</v>
      </c>
      <c r="M437" s="882"/>
    </row>
    <row r="438" spans="1:13" ht="12.75">
      <c r="A438" s="882"/>
      <c r="B438" s="882"/>
      <c r="C438" s="882"/>
      <c r="D438" s="882"/>
      <c r="E438" s="883" t="s">
        <v>1152</v>
      </c>
      <c r="F438" s="883" t="s">
        <v>1153</v>
      </c>
      <c r="G438" s="883" t="s">
        <v>2179</v>
      </c>
      <c r="H438" s="883" t="s">
        <v>2063</v>
      </c>
      <c r="I438" s="883" t="s">
        <v>2538</v>
      </c>
      <c r="J438" s="885">
        <v>0</v>
      </c>
      <c r="K438" s="885">
        <v>0.355</v>
      </c>
      <c r="L438" s="886">
        <v>0.35437</v>
      </c>
      <c r="M438" s="882"/>
    </row>
    <row r="439" spans="1:13" ht="12.75">
      <c r="A439" s="882"/>
      <c r="B439" s="882"/>
      <c r="C439" s="882"/>
      <c r="D439" s="882"/>
      <c r="E439" s="883" t="s">
        <v>1154</v>
      </c>
      <c r="F439" s="883" t="s">
        <v>1155</v>
      </c>
      <c r="G439" s="883" t="s">
        <v>2189</v>
      </c>
      <c r="H439" s="883" t="s">
        <v>2063</v>
      </c>
      <c r="I439" s="883" t="s">
        <v>2627</v>
      </c>
      <c r="J439" s="885">
        <v>0</v>
      </c>
      <c r="K439" s="885">
        <v>0</v>
      </c>
      <c r="L439" s="886">
        <v>0.48</v>
      </c>
      <c r="M439" s="882"/>
    </row>
    <row r="440" spans="1:13" ht="12.75">
      <c r="A440" s="882"/>
      <c r="B440" s="882"/>
      <c r="C440" s="882"/>
      <c r="D440" s="882"/>
      <c r="E440" s="883" t="s">
        <v>1156</v>
      </c>
      <c r="F440" s="883" t="s">
        <v>1157</v>
      </c>
      <c r="G440" s="883" t="s">
        <v>2279</v>
      </c>
      <c r="H440" s="883" t="s">
        <v>2063</v>
      </c>
      <c r="I440" s="883" t="s">
        <v>2538</v>
      </c>
      <c r="J440" s="885">
        <v>0</v>
      </c>
      <c r="K440" s="885">
        <v>0.626</v>
      </c>
      <c r="L440" s="886">
        <v>0.62539855</v>
      </c>
      <c r="M440" s="882"/>
    </row>
    <row r="441" spans="1:13" ht="12.75">
      <c r="A441" s="882"/>
      <c r="B441" s="882"/>
      <c r="C441" s="882"/>
      <c r="D441" s="882"/>
      <c r="E441" s="883" t="s">
        <v>1158</v>
      </c>
      <c r="F441" s="883" t="s">
        <v>1159</v>
      </c>
      <c r="G441" s="883" t="s">
        <v>2183</v>
      </c>
      <c r="H441" s="883" t="s">
        <v>2063</v>
      </c>
      <c r="I441" s="883" t="s">
        <v>2627</v>
      </c>
      <c r="J441" s="885">
        <v>0</v>
      </c>
      <c r="K441" s="885">
        <v>0</v>
      </c>
      <c r="L441" s="886">
        <v>1.597848</v>
      </c>
      <c r="M441" s="882"/>
    </row>
    <row r="442" spans="1:13" ht="12.75">
      <c r="A442" s="882"/>
      <c r="B442" s="882"/>
      <c r="C442" s="882"/>
      <c r="D442" s="882"/>
      <c r="E442" s="883" t="s">
        <v>1160</v>
      </c>
      <c r="F442" s="883" t="s">
        <v>1161</v>
      </c>
      <c r="G442" s="883" t="s">
        <v>2478</v>
      </c>
      <c r="H442" s="883" t="s">
        <v>2063</v>
      </c>
      <c r="I442" s="883" t="s">
        <v>2627</v>
      </c>
      <c r="J442" s="885">
        <v>0</v>
      </c>
      <c r="K442" s="885">
        <v>0</v>
      </c>
      <c r="L442" s="886">
        <v>2.529947</v>
      </c>
      <c r="M442" s="882"/>
    </row>
    <row r="443" spans="1:13" ht="12.75">
      <c r="A443" s="882"/>
      <c r="B443" s="882"/>
      <c r="C443" s="882"/>
      <c r="D443" s="882"/>
      <c r="E443" s="883" t="s">
        <v>1162</v>
      </c>
      <c r="F443" s="883" t="s">
        <v>1163</v>
      </c>
      <c r="G443" s="883" t="s">
        <v>2478</v>
      </c>
      <c r="H443" s="883" t="s">
        <v>2063</v>
      </c>
      <c r="I443" s="883" t="s">
        <v>2627</v>
      </c>
      <c r="J443" s="885">
        <v>0</v>
      </c>
      <c r="K443" s="885">
        <v>0</v>
      </c>
      <c r="L443" s="886">
        <v>0.178738</v>
      </c>
      <c r="M443" s="882"/>
    </row>
    <row r="444" spans="1:13" ht="12.75">
      <c r="A444" s="882"/>
      <c r="B444" s="882"/>
      <c r="C444" s="882"/>
      <c r="D444" s="882"/>
      <c r="E444" s="883" t="s">
        <v>1164</v>
      </c>
      <c r="F444" s="883" t="s">
        <v>1165</v>
      </c>
      <c r="G444" s="883" t="s">
        <v>2279</v>
      </c>
      <c r="H444" s="883" t="s">
        <v>2063</v>
      </c>
      <c r="I444" s="883" t="s">
        <v>2538</v>
      </c>
      <c r="J444" s="885">
        <v>0</v>
      </c>
      <c r="K444" s="885">
        <v>19.988</v>
      </c>
      <c r="L444" s="886">
        <v>19.986202</v>
      </c>
      <c r="M444" s="882"/>
    </row>
    <row r="445" spans="1:13" ht="12.75">
      <c r="A445" s="882"/>
      <c r="B445" s="882"/>
      <c r="C445" s="882"/>
      <c r="D445" s="882"/>
      <c r="E445" s="883" t="s">
        <v>1166</v>
      </c>
      <c r="F445" s="883" t="s">
        <v>1167</v>
      </c>
      <c r="G445" s="883" t="s">
        <v>2183</v>
      </c>
      <c r="H445" s="883" t="s">
        <v>2063</v>
      </c>
      <c r="I445" s="883" t="s">
        <v>2627</v>
      </c>
      <c r="J445" s="885">
        <v>0</v>
      </c>
      <c r="K445" s="885">
        <v>0</v>
      </c>
      <c r="L445" s="886">
        <v>1.999178</v>
      </c>
      <c r="M445" s="882"/>
    </row>
    <row r="446" spans="1:13" ht="12.75">
      <c r="A446" s="882"/>
      <c r="B446" s="882"/>
      <c r="C446" s="882"/>
      <c r="D446" s="882"/>
      <c r="E446" s="883" t="s">
        <v>1168</v>
      </c>
      <c r="F446" s="883" t="s">
        <v>1169</v>
      </c>
      <c r="G446" s="883" t="s">
        <v>2191</v>
      </c>
      <c r="H446" s="883" t="s">
        <v>2063</v>
      </c>
      <c r="I446" s="883" t="s">
        <v>2627</v>
      </c>
      <c r="J446" s="885">
        <v>0</v>
      </c>
      <c r="K446" s="885">
        <v>0</v>
      </c>
      <c r="L446" s="886">
        <v>0.799978</v>
      </c>
      <c r="M446" s="882"/>
    </row>
    <row r="447" spans="1:13" ht="12.75">
      <c r="A447" s="882"/>
      <c r="B447" s="882"/>
      <c r="C447" s="882"/>
      <c r="D447" s="882"/>
      <c r="E447" s="883" t="s">
        <v>1170</v>
      </c>
      <c r="F447" s="883" t="s">
        <v>1171</v>
      </c>
      <c r="G447" s="883" t="s">
        <v>2194</v>
      </c>
      <c r="H447" s="883" t="s">
        <v>2063</v>
      </c>
      <c r="I447" s="883" t="s">
        <v>2538</v>
      </c>
      <c r="J447" s="885">
        <v>0</v>
      </c>
      <c r="K447" s="885">
        <v>6.417</v>
      </c>
      <c r="L447" s="886">
        <v>6.415871</v>
      </c>
      <c r="M447" s="882"/>
    </row>
    <row r="448" spans="1:13" ht="12.75">
      <c r="A448" s="882"/>
      <c r="B448" s="882"/>
      <c r="C448" s="882"/>
      <c r="D448" s="882"/>
      <c r="E448" s="883" t="s">
        <v>1172</v>
      </c>
      <c r="F448" s="883" t="s">
        <v>1173</v>
      </c>
      <c r="G448" s="883" t="s">
        <v>2190</v>
      </c>
      <c r="H448" s="883" t="s">
        <v>2063</v>
      </c>
      <c r="I448" s="883" t="s">
        <v>2538</v>
      </c>
      <c r="J448" s="885">
        <v>0</v>
      </c>
      <c r="K448" s="885">
        <v>0.325</v>
      </c>
      <c r="L448" s="886">
        <v>0.325</v>
      </c>
      <c r="M448" s="882"/>
    </row>
    <row r="449" spans="1:13" ht="12.75">
      <c r="A449" s="882"/>
      <c r="B449" s="882"/>
      <c r="C449" s="882"/>
      <c r="D449" s="882"/>
      <c r="E449" s="883" t="s">
        <v>1174</v>
      </c>
      <c r="F449" s="883" t="s">
        <v>1175</v>
      </c>
      <c r="G449" s="883" t="s">
        <v>2190</v>
      </c>
      <c r="H449" s="883" t="s">
        <v>2063</v>
      </c>
      <c r="I449" s="883" t="s">
        <v>2538</v>
      </c>
      <c r="J449" s="885">
        <v>0</v>
      </c>
      <c r="K449" s="885">
        <v>0.059</v>
      </c>
      <c r="L449" s="886">
        <v>0.05849</v>
      </c>
      <c r="M449" s="882"/>
    </row>
    <row r="450" spans="1:13" ht="12.75">
      <c r="A450" s="882"/>
      <c r="B450" s="882"/>
      <c r="C450" s="882"/>
      <c r="D450" s="882"/>
      <c r="E450" s="883" t="s">
        <v>1176</v>
      </c>
      <c r="F450" s="883" t="s">
        <v>1177</v>
      </c>
      <c r="G450" s="883" t="s">
        <v>2185</v>
      </c>
      <c r="H450" s="883" t="s">
        <v>2063</v>
      </c>
      <c r="I450" s="883" t="s">
        <v>2538</v>
      </c>
      <c r="J450" s="885">
        <v>0</v>
      </c>
      <c r="K450" s="885">
        <v>0.331</v>
      </c>
      <c r="L450" s="886">
        <v>0.3302964</v>
      </c>
      <c r="M450" s="882"/>
    </row>
    <row r="451" spans="1:13" ht="12.75">
      <c r="A451" s="882"/>
      <c r="B451" s="882"/>
      <c r="C451" s="882"/>
      <c r="D451" s="882"/>
      <c r="E451" s="883" t="s">
        <v>1178</v>
      </c>
      <c r="F451" s="883" t="s">
        <v>1179</v>
      </c>
      <c r="G451" s="883" t="s">
        <v>2190</v>
      </c>
      <c r="H451" s="883" t="s">
        <v>2063</v>
      </c>
      <c r="I451" s="883" t="s">
        <v>2627</v>
      </c>
      <c r="J451" s="885">
        <v>0</v>
      </c>
      <c r="K451" s="885">
        <v>0</v>
      </c>
      <c r="L451" s="886">
        <v>0.076234</v>
      </c>
      <c r="M451" s="882"/>
    </row>
    <row r="452" spans="1:13" ht="12.75">
      <c r="A452" s="882"/>
      <c r="B452" s="882"/>
      <c r="C452" s="882"/>
      <c r="D452" s="882"/>
      <c r="E452" s="883" t="s">
        <v>1180</v>
      </c>
      <c r="F452" s="883" t="s">
        <v>1181</v>
      </c>
      <c r="G452" s="883" t="s">
        <v>2190</v>
      </c>
      <c r="H452" s="883" t="s">
        <v>2063</v>
      </c>
      <c r="I452" s="883" t="s">
        <v>2627</v>
      </c>
      <c r="J452" s="885">
        <v>0</v>
      </c>
      <c r="K452" s="885">
        <v>0</v>
      </c>
      <c r="L452" s="886">
        <v>0.153356</v>
      </c>
      <c r="M452" s="882"/>
    </row>
    <row r="453" spans="1:13" ht="12.75">
      <c r="A453" s="882"/>
      <c r="B453" s="882"/>
      <c r="C453" s="882"/>
      <c r="D453" s="882"/>
      <c r="E453" s="883" t="s">
        <v>1182</v>
      </c>
      <c r="F453" s="883" t="s">
        <v>1183</v>
      </c>
      <c r="G453" s="883" t="s">
        <v>2279</v>
      </c>
      <c r="H453" s="883" t="s">
        <v>2063</v>
      </c>
      <c r="I453" s="883" t="s">
        <v>2538</v>
      </c>
      <c r="J453" s="885">
        <v>0</v>
      </c>
      <c r="K453" s="885">
        <v>25</v>
      </c>
      <c r="L453" s="886">
        <v>24.99702</v>
      </c>
      <c r="M453" s="882"/>
    </row>
    <row r="454" spans="1:13" ht="12.75">
      <c r="A454" s="882"/>
      <c r="B454" s="882"/>
      <c r="C454" s="882"/>
      <c r="D454" s="882"/>
      <c r="E454" s="883" t="s">
        <v>1184</v>
      </c>
      <c r="F454" s="883" t="s">
        <v>1185</v>
      </c>
      <c r="G454" s="883" t="s">
        <v>2279</v>
      </c>
      <c r="H454" s="883" t="s">
        <v>2063</v>
      </c>
      <c r="I454" s="883" t="s">
        <v>2538</v>
      </c>
      <c r="J454" s="885">
        <v>0</v>
      </c>
      <c r="K454" s="885">
        <v>2.695</v>
      </c>
      <c r="L454" s="886">
        <v>2.694985</v>
      </c>
      <c r="M454" s="882"/>
    </row>
    <row r="455" spans="1:13" ht="12.75">
      <c r="A455" s="882"/>
      <c r="B455" s="882"/>
      <c r="C455" s="882"/>
      <c r="D455" s="882"/>
      <c r="E455" s="883" t="s">
        <v>1186</v>
      </c>
      <c r="F455" s="883" t="s">
        <v>1187</v>
      </c>
      <c r="G455" s="883" t="s">
        <v>2185</v>
      </c>
      <c r="H455" s="883" t="s">
        <v>2063</v>
      </c>
      <c r="I455" s="883" t="s">
        <v>2538</v>
      </c>
      <c r="J455" s="885">
        <v>0</v>
      </c>
      <c r="K455" s="885">
        <v>0.167</v>
      </c>
      <c r="L455" s="886">
        <v>0.1664</v>
      </c>
      <c r="M455" s="882"/>
    </row>
    <row r="456" spans="1:13" ht="12.75">
      <c r="A456" s="882"/>
      <c r="B456" s="882"/>
      <c r="C456" s="882"/>
      <c r="D456" s="882"/>
      <c r="E456" s="883" t="s">
        <v>1188</v>
      </c>
      <c r="F456" s="883" t="s">
        <v>1189</v>
      </c>
      <c r="G456" s="883" t="s">
        <v>2185</v>
      </c>
      <c r="H456" s="883" t="s">
        <v>2063</v>
      </c>
      <c r="I456" s="883" t="s">
        <v>2538</v>
      </c>
      <c r="J456" s="885">
        <v>0</v>
      </c>
      <c r="K456" s="885">
        <v>0.417</v>
      </c>
      <c r="L456" s="886">
        <v>0.4165</v>
      </c>
      <c r="M456" s="882"/>
    </row>
    <row r="457" spans="1:13" ht="12.75">
      <c r="A457" s="882"/>
      <c r="B457" s="882"/>
      <c r="C457" s="882"/>
      <c r="D457" s="882"/>
      <c r="E457" s="883" t="s">
        <v>1190</v>
      </c>
      <c r="F457" s="883" t="s">
        <v>1191</v>
      </c>
      <c r="G457" s="883" t="s">
        <v>2184</v>
      </c>
      <c r="H457" s="883" t="s">
        <v>2063</v>
      </c>
      <c r="I457" s="883" t="s">
        <v>2627</v>
      </c>
      <c r="J457" s="885">
        <v>0</v>
      </c>
      <c r="K457" s="885">
        <v>0</v>
      </c>
      <c r="L457" s="886">
        <v>0.209165</v>
      </c>
      <c r="M457" s="882"/>
    </row>
    <row r="458" spans="1:13" ht="12.75">
      <c r="A458" s="882"/>
      <c r="B458" s="882"/>
      <c r="C458" s="882"/>
      <c r="D458" s="882"/>
      <c r="E458" s="883" t="s">
        <v>1192</v>
      </c>
      <c r="F458" s="883" t="s">
        <v>1193</v>
      </c>
      <c r="G458" s="883" t="s">
        <v>2186</v>
      </c>
      <c r="H458" s="883" t="s">
        <v>2063</v>
      </c>
      <c r="I458" s="883" t="s">
        <v>2627</v>
      </c>
      <c r="J458" s="885">
        <v>0</v>
      </c>
      <c r="K458" s="885">
        <v>0</v>
      </c>
      <c r="L458" s="886">
        <v>0.492158</v>
      </c>
      <c r="M458" s="882"/>
    </row>
    <row r="459" spans="1:13" ht="12.75">
      <c r="A459" s="882"/>
      <c r="B459" s="882"/>
      <c r="C459" s="882"/>
      <c r="D459" s="882"/>
      <c r="E459" s="883" t="s">
        <v>1194</v>
      </c>
      <c r="F459" s="883" t="s">
        <v>1195</v>
      </c>
      <c r="G459" s="883" t="s">
        <v>2186</v>
      </c>
      <c r="H459" s="883" t="s">
        <v>2063</v>
      </c>
      <c r="I459" s="883" t="s">
        <v>2538</v>
      </c>
      <c r="J459" s="885">
        <v>0</v>
      </c>
      <c r="K459" s="885">
        <v>0.277</v>
      </c>
      <c r="L459" s="886">
        <v>0.276972</v>
      </c>
      <c r="M459" s="882"/>
    </row>
    <row r="460" spans="1:13" ht="12.75">
      <c r="A460" s="882"/>
      <c r="B460" s="882"/>
      <c r="C460" s="882"/>
      <c r="D460" s="882"/>
      <c r="E460" s="883" t="s">
        <v>1194</v>
      </c>
      <c r="F460" s="883" t="s">
        <v>1195</v>
      </c>
      <c r="G460" s="883" t="s">
        <v>2186</v>
      </c>
      <c r="H460" s="883" t="s">
        <v>2063</v>
      </c>
      <c r="I460" s="883" t="s">
        <v>2627</v>
      </c>
      <c r="J460" s="885">
        <v>0</v>
      </c>
      <c r="K460" s="885">
        <v>0</v>
      </c>
      <c r="L460" s="886">
        <v>0.627842</v>
      </c>
      <c r="M460" s="882"/>
    </row>
    <row r="461" spans="1:13" ht="12.75">
      <c r="A461" s="882"/>
      <c r="B461" s="882"/>
      <c r="C461" s="882"/>
      <c r="D461" s="882"/>
      <c r="E461" s="883" t="s">
        <v>1196</v>
      </c>
      <c r="F461" s="883" t="s">
        <v>1197</v>
      </c>
      <c r="G461" s="883" t="s">
        <v>2189</v>
      </c>
      <c r="H461" s="883" t="s">
        <v>2063</v>
      </c>
      <c r="I461" s="883" t="s">
        <v>2627</v>
      </c>
      <c r="J461" s="885">
        <v>0</v>
      </c>
      <c r="K461" s="885">
        <v>0</v>
      </c>
      <c r="L461" s="886">
        <v>0.4</v>
      </c>
      <c r="M461" s="882"/>
    </row>
    <row r="462" spans="1:13" ht="12.75">
      <c r="A462" s="882"/>
      <c r="B462" s="882"/>
      <c r="C462" s="882"/>
      <c r="D462" s="882"/>
      <c r="E462" s="883" t="s">
        <v>1198</v>
      </c>
      <c r="F462" s="883" t="s">
        <v>1199</v>
      </c>
      <c r="G462" s="883" t="s">
        <v>2279</v>
      </c>
      <c r="H462" s="883" t="s">
        <v>2063</v>
      </c>
      <c r="I462" s="883" t="s">
        <v>2538</v>
      </c>
      <c r="J462" s="885">
        <v>0</v>
      </c>
      <c r="K462" s="885">
        <v>0.101</v>
      </c>
      <c r="L462" s="886">
        <v>0.100436</v>
      </c>
      <c r="M462" s="882"/>
    </row>
    <row r="463" spans="1:13" ht="12.75">
      <c r="A463" s="882"/>
      <c r="B463" s="882"/>
      <c r="C463" s="882"/>
      <c r="D463" s="882"/>
      <c r="E463" s="883" t="s">
        <v>1200</v>
      </c>
      <c r="F463" s="883" t="s">
        <v>1201</v>
      </c>
      <c r="G463" s="883" t="s">
        <v>2180</v>
      </c>
      <c r="H463" s="883" t="s">
        <v>2063</v>
      </c>
      <c r="I463" s="883" t="s">
        <v>2538</v>
      </c>
      <c r="J463" s="885">
        <v>0</v>
      </c>
      <c r="K463" s="885">
        <v>0.218</v>
      </c>
      <c r="L463" s="886">
        <v>0.2174725</v>
      </c>
      <c r="M463" s="882"/>
    </row>
    <row r="464" spans="1:13" ht="12.75">
      <c r="A464" s="882"/>
      <c r="B464" s="882"/>
      <c r="C464" s="882"/>
      <c r="D464" s="882"/>
      <c r="E464" s="883" t="s">
        <v>1202</v>
      </c>
      <c r="F464" s="883" t="s">
        <v>1203</v>
      </c>
      <c r="G464" s="883" t="s">
        <v>2182</v>
      </c>
      <c r="H464" s="883" t="s">
        <v>2063</v>
      </c>
      <c r="I464" s="883" t="s">
        <v>2627</v>
      </c>
      <c r="J464" s="885">
        <v>0</v>
      </c>
      <c r="K464" s="885">
        <v>0</v>
      </c>
      <c r="L464" s="886">
        <v>0.650237</v>
      </c>
      <c r="M464" s="882"/>
    </row>
    <row r="465" spans="1:13" ht="12.75">
      <c r="A465" s="882"/>
      <c r="B465" s="882"/>
      <c r="C465" s="882"/>
      <c r="D465" s="882"/>
      <c r="E465" s="883" t="s">
        <v>1204</v>
      </c>
      <c r="F465" s="883" t="s">
        <v>1205</v>
      </c>
      <c r="G465" s="883" t="s">
        <v>2185</v>
      </c>
      <c r="H465" s="883" t="s">
        <v>2063</v>
      </c>
      <c r="I465" s="883" t="s">
        <v>2538</v>
      </c>
      <c r="J465" s="885">
        <v>0</v>
      </c>
      <c r="K465" s="885">
        <v>0.06</v>
      </c>
      <c r="L465" s="886">
        <v>0.0598</v>
      </c>
      <c r="M465" s="882"/>
    </row>
    <row r="466" spans="1:13" ht="12.75">
      <c r="A466" s="882"/>
      <c r="B466" s="882"/>
      <c r="C466" s="882"/>
      <c r="D466" s="882"/>
      <c r="E466" s="883" t="s">
        <v>1206</v>
      </c>
      <c r="F466" s="883" t="s">
        <v>1207</v>
      </c>
      <c r="G466" s="883" t="s">
        <v>2191</v>
      </c>
      <c r="H466" s="883" t="s">
        <v>2063</v>
      </c>
      <c r="I466" s="883" t="s">
        <v>2627</v>
      </c>
      <c r="J466" s="885">
        <v>0</v>
      </c>
      <c r="K466" s="885">
        <v>0</v>
      </c>
      <c r="L466" s="886">
        <v>0.199682</v>
      </c>
      <c r="M466" s="882"/>
    </row>
    <row r="467" spans="1:13" ht="12.75">
      <c r="A467" s="882"/>
      <c r="B467" s="882"/>
      <c r="C467" s="882"/>
      <c r="D467" s="882"/>
      <c r="E467" s="883" t="s">
        <v>1208</v>
      </c>
      <c r="F467" s="883" t="s">
        <v>1209</v>
      </c>
      <c r="G467" s="883" t="s">
        <v>2191</v>
      </c>
      <c r="H467" s="883" t="s">
        <v>2063</v>
      </c>
      <c r="I467" s="883" t="s">
        <v>2627</v>
      </c>
      <c r="J467" s="885">
        <v>0</v>
      </c>
      <c r="K467" s="885">
        <v>0</v>
      </c>
      <c r="L467" s="886">
        <v>1.73978</v>
      </c>
      <c r="M467" s="882"/>
    </row>
    <row r="468" spans="1:13" ht="12.75">
      <c r="A468" s="882"/>
      <c r="B468" s="882"/>
      <c r="C468" s="882"/>
      <c r="D468" s="882"/>
      <c r="E468" s="883" t="s">
        <v>1210</v>
      </c>
      <c r="F468" s="883" t="s">
        <v>1211</v>
      </c>
      <c r="G468" s="883" t="s">
        <v>2191</v>
      </c>
      <c r="H468" s="883" t="s">
        <v>2063</v>
      </c>
      <c r="I468" s="883" t="s">
        <v>2627</v>
      </c>
      <c r="J468" s="885">
        <v>0</v>
      </c>
      <c r="K468" s="885">
        <v>0</v>
      </c>
      <c r="L468" s="886">
        <v>0.5355</v>
      </c>
      <c r="M468" s="882"/>
    </row>
    <row r="469" spans="1:13" ht="12.75">
      <c r="A469" s="882"/>
      <c r="B469" s="882"/>
      <c r="C469" s="882"/>
      <c r="D469" s="882"/>
      <c r="E469" s="883" t="s">
        <v>1212</v>
      </c>
      <c r="F469" s="883" t="s">
        <v>1213</v>
      </c>
      <c r="G469" s="883" t="s">
        <v>2192</v>
      </c>
      <c r="H469" s="883" t="s">
        <v>2063</v>
      </c>
      <c r="I469" s="883" t="s">
        <v>2627</v>
      </c>
      <c r="J469" s="885">
        <v>0</v>
      </c>
      <c r="K469" s="885">
        <v>0</v>
      </c>
      <c r="L469" s="886">
        <v>0.178286</v>
      </c>
      <c r="M469" s="882"/>
    </row>
    <row r="470" spans="1:13" ht="12.75">
      <c r="A470" s="882"/>
      <c r="B470" s="882"/>
      <c r="C470" s="882"/>
      <c r="D470" s="882"/>
      <c r="E470" s="883" t="s">
        <v>1214</v>
      </c>
      <c r="F470" s="883" t="s">
        <v>1215</v>
      </c>
      <c r="G470" s="883" t="s">
        <v>2191</v>
      </c>
      <c r="H470" s="883" t="s">
        <v>2063</v>
      </c>
      <c r="I470" s="883" t="s">
        <v>2627</v>
      </c>
      <c r="J470" s="885">
        <v>0</v>
      </c>
      <c r="K470" s="885">
        <v>0</v>
      </c>
      <c r="L470" s="886">
        <v>0.1</v>
      </c>
      <c r="M470" s="882"/>
    </row>
    <row r="471" spans="1:13" ht="12.75">
      <c r="A471" s="882"/>
      <c r="B471" s="882"/>
      <c r="C471" s="882"/>
      <c r="D471" s="882"/>
      <c r="E471" s="883" t="s">
        <v>1216</v>
      </c>
      <c r="F471" s="883" t="s">
        <v>1217</v>
      </c>
      <c r="G471" s="883" t="s">
        <v>2478</v>
      </c>
      <c r="H471" s="883" t="s">
        <v>2063</v>
      </c>
      <c r="I471" s="883" t="s">
        <v>2538</v>
      </c>
      <c r="J471" s="885">
        <v>0</v>
      </c>
      <c r="K471" s="885">
        <v>0.306</v>
      </c>
      <c r="L471" s="886">
        <v>0.305317</v>
      </c>
      <c r="M471" s="882"/>
    </row>
    <row r="472" spans="1:13" ht="12.75">
      <c r="A472" s="882"/>
      <c r="B472" s="882"/>
      <c r="C472" s="882"/>
      <c r="D472" s="882"/>
      <c r="E472" s="883" t="s">
        <v>1218</v>
      </c>
      <c r="F472" s="883" t="s">
        <v>1219</v>
      </c>
      <c r="G472" s="883" t="s">
        <v>2478</v>
      </c>
      <c r="H472" s="883" t="s">
        <v>2063</v>
      </c>
      <c r="I472" s="883" t="s">
        <v>2538</v>
      </c>
      <c r="J472" s="885">
        <v>0</v>
      </c>
      <c r="K472" s="885">
        <v>0.286</v>
      </c>
      <c r="L472" s="886">
        <v>0.285771</v>
      </c>
      <c r="M472" s="882"/>
    </row>
    <row r="473" spans="1:13" ht="12.75">
      <c r="A473" s="882"/>
      <c r="B473" s="882"/>
      <c r="C473" s="882"/>
      <c r="D473" s="882"/>
      <c r="E473" s="883" t="s">
        <v>1220</v>
      </c>
      <c r="F473" s="883" t="s">
        <v>1221</v>
      </c>
      <c r="G473" s="883" t="s">
        <v>2183</v>
      </c>
      <c r="H473" s="883" t="s">
        <v>2063</v>
      </c>
      <c r="I473" s="883" t="s">
        <v>2627</v>
      </c>
      <c r="J473" s="885">
        <v>0</v>
      </c>
      <c r="K473" s="885">
        <v>0</v>
      </c>
      <c r="L473" s="886">
        <v>0.32</v>
      </c>
      <c r="M473" s="882"/>
    </row>
    <row r="474" spans="1:13" ht="12.75">
      <c r="A474" s="882"/>
      <c r="B474" s="882"/>
      <c r="C474" s="882"/>
      <c r="D474" s="882"/>
      <c r="E474" s="883" t="s">
        <v>1222</v>
      </c>
      <c r="F474" s="883" t="s">
        <v>1223</v>
      </c>
      <c r="G474" s="883" t="s">
        <v>2190</v>
      </c>
      <c r="H474" s="883" t="s">
        <v>2063</v>
      </c>
      <c r="I474" s="883" t="s">
        <v>2538</v>
      </c>
      <c r="J474" s="885">
        <v>0</v>
      </c>
      <c r="K474" s="885">
        <v>0.623</v>
      </c>
      <c r="L474" s="886">
        <v>0.62248</v>
      </c>
      <c r="M474" s="882"/>
    </row>
    <row r="475" spans="1:13" ht="12.75">
      <c r="A475" s="882"/>
      <c r="B475" s="882"/>
      <c r="C475" s="882"/>
      <c r="D475" s="882"/>
      <c r="E475" s="883" t="s">
        <v>1224</v>
      </c>
      <c r="F475" s="883" t="s">
        <v>1225</v>
      </c>
      <c r="G475" s="883" t="s">
        <v>2183</v>
      </c>
      <c r="H475" s="883" t="s">
        <v>2063</v>
      </c>
      <c r="I475" s="883" t="s">
        <v>2538</v>
      </c>
      <c r="J475" s="885">
        <v>0</v>
      </c>
      <c r="K475" s="885">
        <v>0.039</v>
      </c>
      <c r="L475" s="886">
        <v>0.03896</v>
      </c>
      <c r="M475" s="882"/>
    </row>
    <row r="476" spans="1:13" ht="12.75">
      <c r="A476" s="882"/>
      <c r="B476" s="882"/>
      <c r="C476" s="882"/>
      <c r="D476" s="882"/>
      <c r="E476" s="883" t="s">
        <v>1226</v>
      </c>
      <c r="F476" s="883" t="s">
        <v>1227</v>
      </c>
      <c r="G476" s="883" t="s">
        <v>2478</v>
      </c>
      <c r="H476" s="883" t="s">
        <v>2063</v>
      </c>
      <c r="I476" s="883" t="s">
        <v>2841</v>
      </c>
      <c r="J476" s="885">
        <v>0</v>
      </c>
      <c r="K476" s="885">
        <v>0.006</v>
      </c>
      <c r="L476" s="886">
        <v>0.005933</v>
      </c>
      <c r="M476" s="882"/>
    </row>
    <row r="477" spans="1:13" ht="12.75">
      <c r="A477" s="882"/>
      <c r="B477" s="882"/>
      <c r="C477" s="882"/>
      <c r="D477" s="882"/>
      <c r="E477" s="883" t="s">
        <v>1226</v>
      </c>
      <c r="F477" s="883" t="s">
        <v>1227</v>
      </c>
      <c r="G477" s="883" t="s">
        <v>2478</v>
      </c>
      <c r="H477" s="883" t="s">
        <v>2063</v>
      </c>
      <c r="I477" s="883" t="s">
        <v>2538</v>
      </c>
      <c r="J477" s="885">
        <v>0</v>
      </c>
      <c r="K477" s="885">
        <v>0.062</v>
      </c>
      <c r="L477" s="886">
        <v>0.062</v>
      </c>
      <c r="M477" s="882"/>
    </row>
    <row r="478" spans="1:13" ht="12.75">
      <c r="A478" s="882"/>
      <c r="B478" s="882"/>
      <c r="C478" s="882"/>
      <c r="D478" s="882"/>
      <c r="E478" s="883" t="s">
        <v>1228</v>
      </c>
      <c r="F478" s="883" t="s">
        <v>1229</v>
      </c>
      <c r="G478" s="883" t="s">
        <v>2190</v>
      </c>
      <c r="H478" s="883" t="s">
        <v>2063</v>
      </c>
      <c r="I478" s="883" t="s">
        <v>2538</v>
      </c>
      <c r="J478" s="885">
        <v>0</v>
      </c>
      <c r="K478" s="885">
        <v>0.085</v>
      </c>
      <c r="L478" s="886">
        <v>0.085</v>
      </c>
      <c r="M478" s="882"/>
    </row>
    <row r="479" spans="1:13" ht="12.75">
      <c r="A479" s="882"/>
      <c r="B479" s="882"/>
      <c r="C479" s="882"/>
      <c r="D479" s="882"/>
      <c r="E479" s="883" t="s">
        <v>1230</v>
      </c>
      <c r="F479" s="883" t="s">
        <v>1231</v>
      </c>
      <c r="G479" s="883" t="s">
        <v>2279</v>
      </c>
      <c r="H479" s="883" t="s">
        <v>2543</v>
      </c>
      <c r="I479" s="883" t="s">
        <v>2538</v>
      </c>
      <c r="J479" s="884">
        <v>5.26</v>
      </c>
      <c r="K479" s="885">
        <v>0</v>
      </c>
      <c r="L479" s="886">
        <v>0</v>
      </c>
      <c r="M479" s="882"/>
    </row>
    <row r="480" spans="1:13" ht="12.75">
      <c r="A480" s="882"/>
      <c r="B480" s="882"/>
      <c r="C480" s="882"/>
      <c r="D480" s="882"/>
      <c r="E480" s="883" t="s">
        <v>1232</v>
      </c>
      <c r="F480" s="883" t="s">
        <v>1233</v>
      </c>
      <c r="G480" s="883" t="s">
        <v>2279</v>
      </c>
      <c r="H480" s="883" t="s">
        <v>2063</v>
      </c>
      <c r="I480" s="883" t="s">
        <v>2538</v>
      </c>
      <c r="J480" s="884">
        <v>0.2</v>
      </c>
      <c r="K480" s="885">
        <v>0.195</v>
      </c>
      <c r="L480" s="886">
        <v>0.194779</v>
      </c>
      <c r="M480" s="882"/>
    </row>
    <row r="481" spans="1:13" ht="12.75">
      <c r="A481" s="882"/>
      <c r="B481" s="882"/>
      <c r="C481" s="882"/>
      <c r="D481" s="882"/>
      <c r="E481" s="883" t="s">
        <v>1234</v>
      </c>
      <c r="F481" s="883" t="s">
        <v>1235</v>
      </c>
      <c r="G481" s="883" t="s">
        <v>2279</v>
      </c>
      <c r="H481" s="883" t="s">
        <v>2063</v>
      </c>
      <c r="I481" s="883" t="s">
        <v>2538</v>
      </c>
      <c r="J481" s="884">
        <v>0.151</v>
      </c>
      <c r="K481" s="885">
        <v>0.132</v>
      </c>
      <c r="L481" s="886">
        <v>0.131495</v>
      </c>
      <c r="M481" s="882"/>
    </row>
    <row r="482" spans="1:13" ht="12.75">
      <c r="A482" s="882"/>
      <c r="B482" s="882"/>
      <c r="C482" s="882"/>
      <c r="D482" s="882"/>
      <c r="E482" s="883" t="s">
        <v>1236</v>
      </c>
      <c r="F482" s="883" t="s">
        <v>1237</v>
      </c>
      <c r="G482" s="883" t="s">
        <v>2279</v>
      </c>
      <c r="H482" s="883" t="s">
        <v>2063</v>
      </c>
      <c r="I482" s="883" t="s">
        <v>2538</v>
      </c>
      <c r="J482" s="884">
        <v>0.13</v>
      </c>
      <c r="K482" s="885">
        <v>0.118</v>
      </c>
      <c r="L482" s="886">
        <v>0.118</v>
      </c>
      <c r="M482" s="882"/>
    </row>
    <row r="483" spans="1:13" ht="12.75">
      <c r="A483" s="882"/>
      <c r="B483" s="882"/>
      <c r="C483" s="882"/>
      <c r="D483" s="882"/>
      <c r="E483" s="883" t="s">
        <v>1238</v>
      </c>
      <c r="F483" s="883" t="s">
        <v>1239</v>
      </c>
      <c r="G483" s="883" t="s">
        <v>2279</v>
      </c>
      <c r="H483" s="883" t="s">
        <v>2543</v>
      </c>
      <c r="I483" s="883" t="s">
        <v>2538</v>
      </c>
      <c r="J483" s="884">
        <v>2.5</v>
      </c>
      <c r="K483" s="885">
        <v>0</v>
      </c>
      <c r="L483" s="886">
        <v>0</v>
      </c>
      <c r="M483" s="882"/>
    </row>
    <row r="484" spans="1:13" ht="12.75">
      <c r="A484" s="882"/>
      <c r="B484" s="882"/>
      <c r="C484" s="882"/>
      <c r="D484" s="882"/>
      <c r="E484" s="883" t="s">
        <v>1240</v>
      </c>
      <c r="F484" s="883" t="s">
        <v>1241</v>
      </c>
      <c r="G484" s="883" t="s">
        <v>2279</v>
      </c>
      <c r="H484" s="883" t="s">
        <v>2063</v>
      </c>
      <c r="I484" s="883" t="s">
        <v>2538</v>
      </c>
      <c r="J484" s="884">
        <v>0.35</v>
      </c>
      <c r="K484" s="885">
        <v>0.35</v>
      </c>
      <c r="L484" s="886">
        <v>0.34999685</v>
      </c>
      <c r="M484" s="882"/>
    </row>
    <row r="485" spans="1:13" ht="12.75">
      <c r="A485" s="882"/>
      <c r="B485" s="882"/>
      <c r="C485" s="882"/>
      <c r="D485" s="882"/>
      <c r="E485" s="883" t="s">
        <v>1242</v>
      </c>
      <c r="F485" s="883" t="s">
        <v>1243</v>
      </c>
      <c r="G485" s="883" t="s">
        <v>2279</v>
      </c>
      <c r="H485" s="883" t="s">
        <v>2063</v>
      </c>
      <c r="I485" s="883" t="s">
        <v>2538</v>
      </c>
      <c r="J485" s="884">
        <v>0.05</v>
      </c>
      <c r="K485" s="885">
        <v>0.044</v>
      </c>
      <c r="L485" s="886">
        <v>0.043477</v>
      </c>
      <c r="M485" s="882"/>
    </row>
    <row r="486" spans="1:13" ht="12.75">
      <c r="A486" s="882"/>
      <c r="B486" s="882"/>
      <c r="C486" s="882"/>
      <c r="D486" s="882"/>
      <c r="E486" s="883" t="s">
        <v>1244</v>
      </c>
      <c r="F486" s="883" t="s">
        <v>1245</v>
      </c>
      <c r="G486" s="883" t="s">
        <v>2279</v>
      </c>
      <c r="H486" s="883" t="s">
        <v>2063</v>
      </c>
      <c r="I486" s="883" t="s">
        <v>2538</v>
      </c>
      <c r="J486" s="884">
        <v>0.15</v>
      </c>
      <c r="K486" s="885">
        <v>0.117</v>
      </c>
      <c r="L486" s="886">
        <v>0.116452</v>
      </c>
      <c r="M486" s="882"/>
    </row>
    <row r="487" spans="1:13" ht="12.75">
      <c r="A487" s="882"/>
      <c r="B487" s="882"/>
      <c r="C487" s="882"/>
      <c r="D487" s="882"/>
      <c r="E487" s="883" t="s">
        <v>1246</v>
      </c>
      <c r="F487" s="883" t="s">
        <v>1247</v>
      </c>
      <c r="G487" s="883" t="s">
        <v>2279</v>
      </c>
      <c r="H487" s="883" t="s">
        <v>2543</v>
      </c>
      <c r="I487" s="883" t="s">
        <v>2538</v>
      </c>
      <c r="J487" s="884">
        <v>0.056</v>
      </c>
      <c r="K487" s="885">
        <v>0</v>
      </c>
      <c r="L487" s="886">
        <v>0</v>
      </c>
      <c r="M487" s="882"/>
    </row>
    <row r="488" spans="1:13" ht="12.75">
      <c r="A488" s="882"/>
      <c r="B488" s="882"/>
      <c r="C488" s="882"/>
      <c r="D488" s="882"/>
      <c r="E488" s="883" t="s">
        <v>1248</v>
      </c>
      <c r="F488" s="883" t="s">
        <v>1249</v>
      </c>
      <c r="G488" s="883" t="s">
        <v>2279</v>
      </c>
      <c r="H488" s="883" t="s">
        <v>2063</v>
      </c>
      <c r="I488" s="883" t="s">
        <v>2538</v>
      </c>
      <c r="J488" s="884">
        <v>0.15</v>
      </c>
      <c r="K488" s="885">
        <v>0.178</v>
      </c>
      <c r="L488" s="886">
        <v>0.17731</v>
      </c>
      <c r="M488" s="882"/>
    </row>
    <row r="489" spans="1:13" ht="12.75">
      <c r="A489" s="882"/>
      <c r="B489" s="882"/>
      <c r="C489" s="882"/>
      <c r="D489" s="882"/>
      <c r="E489" s="883" t="s">
        <v>1250</v>
      </c>
      <c r="F489" s="883" t="s">
        <v>1251</v>
      </c>
      <c r="G489" s="883" t="s">
        <v>2279</v>
      </c>
      <c r="H489" s="883" t="s">
        <v>2543</v>
      </c>
      <c r="I489" s="883" t="s">
        <v>2538</v>
      </c>
      <c r="J489" s="884">
        <v>2.55</v>
      </c>
      <c r="K489" s="885">
        <v>0</v>
      </c>
      <c r="L489" s="886">
        <v>0</v>
      </c>
      <c r="M489" s="882"/>
    </row>
    <row r="490" spans="1:13" ht="12.75">
      <c r="A490" s="882"/>
      <c r="B490" s="882"/>
      <c r="C490" s="882"/>
      <c r="D490" s="882"/>
      <c r="E490" s="883" t="s">
        <v>1252</v>
      </c>
      <c r="F490" s="883" t="s">
        <v>1253</v>
      </c>
      <c r="G490" s="883" t="s">
        <v>2279</v>
      </c>
      <c r="H490" s="883" t="s">
        <v>2063</v>
      </c>
      <c r="I490" s="883" t="s">
        <v>2538</v>
      </c>
      <c r="J490" s="884">
        <v>0.8</v>
      </c>
      <c r="K490" s="885">
        <v>2.554</v>
      </c>
      <c r="L490" s="886">
        <v>2.55365</v>
      </c>
      <c r="M490" s="882"/>
    </row>
    <row r="491" spans="1:13" ht="12.75">
      <c r="A491" s="882"/>
      <c r="B491" s="882"/>
      <c r="C491" s="882"/>
      <c r="D491" s="882"/>
      <c r="E491" s="883" t="s">
        <v>1254</v>
      </c>
      <c r="F491" s="883" t="s">
        <v>1255</v>
      </c>
      <c r="G491" s="883" t="s">
        <v>2279</v>
      </c>
      <c r="H491" s="883" t="s">
        <v>2063</v>
      </c>
      <c r="I491" s="883" t="s">
        <v>2538</v>
      </c>
      <c r="J491" s="884">
        <v>0.95</v>
      </c>
      <c r="K491" s="885">
        <v>1.597</v>
      </c>
      <c r="L491" s="886">
        <v>1.596509</v>
      </c>
      <c r="M491" s="882"/>
    </row>
    <row r="492" spans="1:13" ht="12.75">
      <c r="A492" s="882"/>
      <c r="B492" s="882"/>
      <c r="C492" s="882"/>
      <c r="D492" s="882"/>
      <c r="E492" s="883" t="s">
        <v>1256</v>
      </c>
      <c r="F492" s="883" t="s">
        <v>1257</v>
      </c>
      <c r="G492" s="883" t="s">
        <v>2279</v>
      </c>
      <c r="H492" s="883" t="s">
        <v>2543</v>
      </c>
      <c r="I492" s="883" t="s">
        <v>2538</v>
      </c>
      <c r="J492" s="884">
        <v>0.18</v>
      </c>
      <c r="K492" s="885">
        <v>0</v>
      </c>
      <c r="L492" s="886">
        <v>0</v>
      </c>
      <c r="M492" s="882"/>
    </row>
    <row r="493" spans="1:13" ht="12.75">
      <c r="A493" s="882"/>
      <c r="B493" s="882"/>
      <c r="C493" s="882"/>
      <c r="D493" s="882"/>
      <c r="E493" s="883" t="s">
        <v>1258</v>
      </c>
      <c r="F493" s="883" t="s">
        <v>1259</v>
      </c>
      <c r="G493" s="883" t="s">
        <v>2279</v>
      </c>
      <c r="H493" s="883" t="s">
        <v>2543</v>
      </c>
      <c r="I493" s="883" t="s">
        <v>2538</v>
      </c>
      <c r="J493" s="884">
        <v>0.25</v>
      </c>
      <c r="K493" s="885">
        <v>0</v>
      </c>
      <c r="L493" s="886">
        <v>0</v>
      </c>
      <c r="M493" s="882"/>
    </row>
    <row r="494" spans="1:13" ht="12.75">
      <c r="A494" s="882"/>
      <c r="B494" s="882"/>
      <c r="C494" s="882"/>
      <c r="D494" s="882"/>
      <c r="E494" s="883" t="s">
        <v>1260</v>
      </c>
      <c r="F494" s="883" t="s">
        <v>1261</v>
      </c>
      <c r="G494" s="883" t="s">
        <v>2279</v>
      </c>
      <c r="H494" s="883" t="s">
        <v>2543</v>
      </c>
      <c r="I494" s="883" t="s">
        <v>2538</v>
      </c>
      <c r="J494" s="884">
        <v>0.1</v>
      </c>
      <c r="K494" s="885">
        <v>0</v>
      </c>
      <c r="L494" s="886">
        <v>0</v>
      </c>
      <c r="M494" s="882"/>
    </row>
    <row r="495" spans="1:13" ht="12.75">
      <c r="A495" s="882"/>
      <c r="B495" s="882"/>
      <c r="C495" s="882"/>
      <c r="D495" s="882"/>
      <c r="E495" s="883" t="s">
        <v>1262</v>
      </c>
      <c r="F495" s="883" t="s">
        <v>1263</v>
      </c>
      <c r="G495" s="883" t="s">
        <v>2279</v>
      </c>
      <c r="H495" s="883" t="s">
        <v>2543</v>
      </c>
      <c r="I495" s="883" t="s">
        <v>2538</v>
      </c>
      <c r="J495" s="884">
        <v>0.11</v>
      </c>
      <c r="K495" s="885">
        <v>0</v>
      </c>
      <c r="L495" s="886">
        <v>0</v>
      </c>
      <c r="M495" s="882"/>
    </row>
    <row r="496" spans="1:13" ht="12.75">
      <c r="A496" s="882"/>
      <c r="B496" s="882"/>
      <c r="C496" s="882"/>
      <c r="D496" s="882"/>
      <c r="E496" s="883" t="s">
        <v>1264</v>
      </c>
      <c r="F496" s="883" t="s">
        <v>1265</v>
      </c>
      <c r="G496" s="883" t="s">
        <v>2279</v>
      </c>
      <c r="H496" s="883" t="s">
        <v>2543</v>
      </c>
      <c r="I496" s="883" t="s">
        <v>2538</v>
      </c>
      <c r="J496" s="884">
        <v>0.22</v>
      </c>
      <c r="K496" s="885">
        <v>0</v>
      </c>
      <c r="L496" s="886">
        <v>0</v>
      </c>
      <c r="M496" s="882"/>
    </row>
    <row r="497" spans="1:13" ht="12.75">
      <c r="A497" s="882"/>
      <c r="B497" s="882"/>
      <c r="C497" s="882"/>
      <c r="D497" s="882"/>
      <c r="E497" s="883" t="s">
        <v>1266</v>
      </c>
      <c r="F497" s="883" t="s">
        <v>1267</v>
      </c>
      <c r="G497" s="883" t="s">
        <v>2279</v>
      </c>
      <c r="H497" s="883" t="s">
        <v>2543</v>
      </c>
      <c r="I497" s="883" t="s">
        <v>2538</v>
      </c>
      <c r="J497" s="884">
        <v>9.543</v>
      </c>
      <c r="K497" s="885">
        <v>0</v>
      </c>
      <c r="L497" s="886">
        <v>0</v>
      </c>
      <c r="M497" s="882"/>
    </row>
    <row r="498" spans="1:13" ht="12.75">
      <c r="A498" s="882"/>
      <c r="B498" s="882"/>
      <c r="C498" s="882"/>
      <c r="D498" s="882"/>
      <c r="E498" s="883" t="s">
        <v>1268</v>
      </c>
      <c r="F498" s="883" t="s">
        <v>1269</v>
      </c>
      <c r="G498" s="883" t="s">
        <v>2279</v>
      </c>
      <c r="H498" s="883" t="s">
        <v>2543</v>
      </c>
      <c r="I498" s="883" t="s">
        <v>2538</v>
      </c>
      <c r="J498" s="884">
        <v>1.3</v>
      </c>
      <c r="K498" s="885">
        <v>0</v>
      </c>
      <c r="L498" s="886">
        <v>0</v>
      </c>
      <c r="M498" s="882"/>
    </row>
    <row r="499" spans="1:13" ht="12.75">
      <c r="A499" s="882"/>
      <c r="B499" s="882"/>
      <c r="C499" s="882"/>
      <c r="D499" s="882"/>
      <c r="E499" s="883" t="s">
        <v>1270</v>
      </c>
      <c r="F499" s="883" t="s">
        <v>1271</v>
      </c>
      <c r="G499" s="883" t="s">
        <v>2179</v>
      </c>
      <c r="H499" s="883" t="s">
        <v>2543</v>
      </c>
      <c r="I499" s="883" t="s">
        <v>2538</v>
      </c>
      <c r="J499" s="884">
        <v>1.6</v>
      </c>
      <c r="K499" s="885">
        <v>0</v>
      </c>
      <c r="L499" s="886">
        <v>0</v>
      </c>
      <c r="M499" s="882"/>
    </row>
    <row r="500" spans="1:13" ht="12.75">
      <c r="A500" s="882"/>
      <c r="B500" s="882"/>
      <c r="C500" s="882"/>
      <c r="D500" s="882"/>
      <c r="E500" s="883" t="s">
        <v>1272</v>
      </c>
      <c r="F500" s="883" t="s">
        <v>1273</v>
      </c>
      <c r="G500" s="883" t="s">
        <v>2179</v>
      </c>
      <c r="H500" s="883" t="s">
        <v>2543</v>
      </c>
      <c r="I500" s="883" t="s">
        <v>2538</v>
      </c>
      <c r="J500" s="884">
        <v>1.06</v>
      </c>
      <c r="K500" s="885">
        <v>0</v>
      </c>
      <c r="L500" s="886">
        <v>0</v>
      </c>
      <c r="M500" s="882"/>
    </row>
    <row r="501" spans="1:13" ht="12.75">
      <c r="A501" s="882"/>
      <c r="B501" s="882"/>
      <c r="C501" s="882"/>
      <c r="D501" s="882"/>
      <c r="E501" s="883" t="s">
        <v>1274</v>
      </c>
      <c r="F501" s="883" t="s">
        <v>1275</v>
      </c>
      <c r="G501" s="883" t="s">
        <v>2180</v>
      </c>
      <c r="H501" s="883" t="s">
        <v>2063</v>
      </c>
      <c r="I501" s="883" t="s">
        <v>2538</v>
      </c>
      <c r="J501" s="884">
        <v>8.5</v>
      </c>
      <c r="K501" s="885">
        <v>8.487</v>
      </c>
      <c r="L501" s="886">
        <v>8.4869</v>
      </c>
      <c r="M501" s="882"/>
    </row>
    <row r="502" spans="1:13" ht="12.75">
      <c r="A502" s="882"/>
      <c r="B502" s="882"/>
      <c r="C502" s="882"/>
      <c r="D502" s="882"/>
      <c r="E502" s="883" t="s">
        <v>1276</v>
      </c>
      <c r="F502" s="883" t="s">
        <v>1277</v>
      </c>
      <c r="G502" s="883" t="s">
        <v>2180</v>
      </c>
      <c r="H502" s="883" t="s">
        <v>2063</v>
      </c>
      <c r="I502" s="883" t="s">
        <v>2538</v>
      </c>
      <c r="J502" s="884">
        <v>6.06</v>
      </c>
      <c r="K502" s="885">
        <v>6.049</v>
      </c>
      <c r="L502" s="886">
        <v>6.048114</v>
      </c>
      <c r="M502" s="882"/>
    </row>
    <row r="503" spans="1:13" ht="12.75">
      <c r="A503" s="882"/>
      <c r="B503" s="882"/>
      <c r="C503" s="882"/>
      <c r="D503" s="882"/>
      <c r="E503" s="883" t="s">
        <v>1278</v>
      </c>
      <c r="F503" s="883" t="s">
        <v>1279</v>
      </c>
      <c r="G503" s="883" t="s">
        <v>2180</v>
      </c>
      <c r="H503" s="883" t="s">
        <v>2063</v>
      </c>
      <c r="I503" s="883" t="s">
        <v>2538</v>
      </c>
      <c r="J503" s="884">
        <v>3.77</v>
      </c>
      <c r="K503" s="885">
        <v>3.964</v>
      </c>
      <c r="L503" s="886">
        <v>3.963472</v>
      </c>
      <c r="M503" s="882"/>
    </row>
    <row r="504" spans="1:13" ht="12.75">
      <c r="A504" s="882"/>
      <c r="B504" s="882"/>
      <c r="C504" s="882"/>
      <c r="D504" s="882"/>
      <c r="E504" s="883" t="s">
        <v>1280</v>
      </c>
      <c r="F504" s="883" t="s">
        <v>1281</v>
      </c>
      <c r="G504" s="883" t="s">
        <v>2180</v>
      </c>
      <c r="H504" s="883" t="s">
        <v>2543</v>
      </c>
      <c r="I504" s="883" t="s">
        <v>2538</v>
      </c>
      <c r="J504" s="884">
        <v>1.3</v>
      </c>
      <c r="K504" s="885">
        <v>0</v>
      </c>
      <c r="L504" s="886">
        <v>0</v>
      </c>
      <c r="M504" s="882"/>
    </row>
    <row r="505" spans="1:13" ht="12.75">
      <c r="A505" s="882"/>
      <c r="B505" s="882"/>
      <c r="C505" s="882"/>
      <c r="D505" s="882"/>
      <c r="E505" s="883" t="s">
        <v>1282</v>
      </c>
      <c r="F505" s="883" t="s">
        <v>1283</v>
      </c>
      <c r="G505" s="883" t="s">
        <v>2180</v>
      </c>
      <c r="H505" s="883" t="s">
        <v>2063</v>
      </c>
      <c r="I505" s="883" t="s">
        <v>2538</v>
      </c>
      <c r="J505" s="884">
        <v>2</v>
      </c>
      <c r="K505" s="885">
        <v>1.9</v>
      </c>
      <c r="L505" s="886">
        <v>1.9</v>
      </c>
      <c r="M505" s="882"/>
    </row>
    <row r="506" spans="1:13" ht="12.75">
      <c r="A506" s="882"/>
      <c r="B506" s="882"/>
      <c r="C506" s="882"/>
      <c r="D506" s="882"/>
      <c r="E506" s="883" t="s">
        <v>1284</v>
      </c>
      <c r="F506" s="883" t="s">
        <v>1271</v>
      </c>
      <c r="G506" s="883" t="s">
        <v>2180</v>
      </c>
      <c r="H506" s="883" t="s">
        <v>2063</v>
      </c>
      <c r="I506" s="883" t="s">
        <v>2538</v>
      </c>
      <c r="J506" s="884">
        <v>0.37</v>
      </c>
      <c r="K506" s="885">
        <v>0.24</v>
      </c>
      <c r="L506" s="886">
        <v>0.239846</v>
      </c>
      <c r="M506" s="882"/>
    </row>
    <row r="507" spans="1:13" ht="12.75">
      <c r="A507" s="882"/>
      <c r="B507" s="882"/>
      <c r="C507" s="882"/>
      <c r="D507" s="882"/>
      <c r="E507" s="883" t="s">
        <v>1285</v>
      </c>
      <c r="F507" s="883" t="s">
        <v>1286</v>
      </c>
      <c r="G507" s="883" t="s">
        <v>2180</v>
      </c>
      <c r="H507" s="883" t="s">
        <v>2543</v>
      </c>
      <c r="I507" s="883" t="s">
        <v>2538</v>
      </c>
      <c r="J507" s="884">
        <v>1.4</v>
      </c>
      <c r="K507" s="885">
        <v>0</v>
      </c>
      <c r="L507" s="886">
        <v>0</v>
      </c>
      <c r="M507" s="882"/>
    </row>
    <row r="508" spans="1:13" ht="12.75">
      <c r="A508" s="882"/>
      <c r="B508" s="882"/>
      <c r="C508" s="882"/>
      <c r="D508" s="882"/>
      <c r="E508" s="883" t="s">
        <v>1287</v>
      </c>
      <c r="F508" s="883" t="s">
        <v>1288</v>
      </c>
      <c r="G508" s="883" t="s">
        <v>2180</v>
      </c>
      <c r="H508" s="883" t="s">
        <v>2543</v>
      </c>
      <c r="I508" s="883" t="s">
        <v>2538</v>
      </c>
      <c r="J508" s="884">
        <v>1.6</v>
      </c>
      <c r="K508" s="885">
        <v>0</v>
      </c>
      <c r="L508" s="886">
        <v>0</v>
      </c>
      <c r="M508" s="882"/>
    </row>
    <row r="509" spans="1:13" ht="12.75">
      <c r="A509" s="882"/>
      <c r="B509" s="882"/>
      <c r="C509" s="882"/>
      <c r="D509" s="882"/>
      <c r="E509" s="883" t="s">
        <v>1289</v>
      </c>
      <c r="F509" s="883" t="s">
        <v>1290</v>
      </c>
      <c r="G509" s="883" t="s">
        <v>2180</v>
      </c>
      <c r="H509" s="883" t="s">
        <v>2063</v>
      </c>
      <c r="I509" s="883" t="s">
        <v>2538</v>
      </c>
      <c r="J509" s="884">
        <v>2.97</v>
      </c>
      <c r="K509" s="885">
        <v>2.17</v>
      </c>
      <c r="L509" s="886">
        <v>2.1696796</v>
      </c>
      <c r="M509" s="882"/>
    </row>
    <row r="510" spans="1:13" ht="12.75">
      <c r="A510" s="882"/>
      <c r="B510" s="882"/>
      <c r="C510" s="882"/>
      <c r="D510" s="882"/>
      <c r="E510" s="883" t="s">
        <v>1291</v>
      </c>
      <c r="F510" s="883" t="s">
        <v>1292</v>
      </c>
      <c r="G510" s="883" t="s">
        <v>2181</v>
      </c>
      <c r="H510" s="883" t="s">
        <v>2063</v>
      </c>
      <c r="I510" s="883" t="s">
        <v>2538</v>
      </c>
      <c r="J510" s="884">
        <v>8.5</v>
      </c>
      <c r="K510" s="885">
        <v>8.49</v>
      </c>
      <c r="L510" s="886">
        <v>8.489994</v>
      </c>
      <c r="M510" s="882"/>
    </row>
    <row r="511" spans="1:13" ht="12.75">
      <c r="A511" s="882"/>
      <c r="B511" s="882"/>
      <c r="C511" s="882"/>
      <c r="D511" s="882"/>
      <c r="E511" s="883" t="s">
        <v>1293</v>
      </c>
      <c r="F511" s="883" t="s">
        <v>1294</v>
      </c>
      <c r="G511" s="883" t="s">
        <v>2181</v>
      </c>
      <c r="H511" s="883" t="s">
        <v>2063</v>
      </c>
      <c r="I511" s="883" t="s">
        <v>2538</v>
      </c>
      <c r="J511" s="884">
        <v>4.5</v>
      </c>
      <c r="K511" s="885">
        <v>4.488</v>
      </c>
      <c r="L511" s="886">
        <v>4.4874</v>
      </c>
      <c r="M511" s="882"/>
    </row>
    <row r="512" spans="1:13" ht="12.75">
      <c r="A512" s="882"/>
      <c r="B512" s="882"/>
      <c r="C512" s="882"/>
      <c r="D512" s="882"/>
      <c r="E512" s="883" t="s">
        <v>1295</v>
      </c>
      <c r="F512" s="883" t="s">
        <v>1296</v>
      </c>
      <c r="G512" s="883" t="s">
        <v>2181</v>
      </c>
      <c r="H512" s="883" t="s">
        <v>2063</v>
      </c>
      <c r="I512" s="883" t="s">
        <v>2538</v>
      </c>
      <c r="J512" s="884">
        <v>1.1</v>
      </c>
      <c r="K512" s="885">
        <v>0.589</v>
      </c>
      <c r="L512" s="886">
        <v>0.588901</v>
      </c>
      <c r="M512" s="882"/>
    </row>
    <row r="513" spans="1:13" ht="12.75">
      <c r="A513" s="882"/>
      <c r="B513" s="882"/>
      <c r="C513" s="882"/>
      <c r="D513" s="882"/>
      <c r="E513" s="883" t="s">
        <v>1297</v>
      </c>
      <c r="F513" s="883" t="s">
        <v>1298</v>
      </c>
      <c r="G513" s="883" t="s">
        <v>2181</v>
      </c>
      <c r="H513" s="883" t="s">
        <v>2543</v>
      </c>
      <c r="I513" s="883" t="s">
        <v>2538</v>
      </c>
      <c r="J513" s="884">
        <v>0.9</v>
      </c>
      <c r="K513" s="885">
        <v>0</v>
      </c>
      <c r="L513" s="886">
        <v>0</v>
      </c>
      <c r="M513" s="882"/>
    </row>
    <row r="514" spans="1:13" ht="12.75">
      <c r="A514" s="882"/>
      <c r="B514" s="882"/>
      <c r="C514" s="882"/>
      <c r="D514" s="882"/>
      <c r="E514" s="883" t="s">
        <v>1299</v>
      </c>
      <c r="F514" s="883" t="s">
        <v>1300</v>
      </c>
      <c r="G514" s="883" t="s">
        <v>2181</v>
      </c>
      <c r="H514" s="883" t="s">
        <v>2063</v>
      </c>
      <c r="I514" s="883" t="s">
        <v>2538</v>
      </c>
      <c r="J514" s="884">
        <v>0.24</v>
      </c>
      <c r="K514" s="885">
        <v>0.175</v>
      </c>
      <c r="L514" s="886">
        <v>0.174894</v>
      </c>
      <c r="M514" s="882"/>
    </row>
    <row r="515" spans="1:13" ht="12.75">
      <c r="A515" s="882"/>
      <c r="B515" s="882"/>
      <c r="C515" s="882"/>
      <c r="D515" s="882"/>
      <c r="E515" s="883" t="s">
        <v>1301</v>
      </c>
      <c r="F515" s="883" t="s">
        <v>1302</v>
      </c>
      <c r="G515" s="883" t="s">
        <v>2181</v>
      </c>
      <c r="H515" s="883" t="s">
        <v>2063</v>
      </c>
      <c r="I515" s="883" t="s">
        <v>2538</v>
      </c>
      <c r="J515" s="884">
        <v>0.2</v>
      </c>
      <c r="K515" s="885">
        <v>0.203</v>
      </c>
      <c r="L515" s="886">
        <v>0.202381</v>
      </c>
      <c r="M515" s="882"/>
    </row>
    <row r="516" spans="1:13" ht="12.75">
      <c r="A516" s="882"/>
      <c r="B516" s="882"/>
      <c r="C516" s="882"/>
      <c r="D516" s="882"/>
      <c r="E516" s="883" t="s">
        <v>1303</v>
      </c>
      <c r="F516" s="883" t="s">
        <v>1304</v>
      </c>
      <c r="G516" s="883" t="s">
        <v>2181</v>
      </c>
      <c r="H516" s="883" t="s">
        <v>2543</v>
      </c>
      <c r="I516" s="883" t="s">
        <v>2538</v>
      </c>
      <c r="J516" s="884">
        <v>0.08</v>
      </c>
      <c r="K516" s="885">
        <v>0</v>
      </c>
      <c r="L516" s="886">
        <v>0</v>
      </c>
      <c r="M516" s="882"/>
    </row>
    <row r="517" spans="1:13" ht="12.75">
      <c r="A517" s="882"/>
      <c r="B517" s="882"/>
      <c r="C517" s="882"/>
      <c r="D517" s="882"/>
      <c r="E517" s="883" t="s">
        <v>1305</v>
      </c>
      <c r="F517" s="883" t="s">
        <v>1306</v>
      </c>
      <c r="G517" s="883" t="s">
        <v>2181</v>
      </c>
      <c r="H517" s="883" t="s">
        <v>2063</v>
      </c>
      <c r="I517" s="883" t="s">
        <v>2538</v>
      </c>
      <c r="J517" s="884">
        <v>0.09</v>
      </c>
      <c r="K517" s="885">
        <v>0.138</v>
      </c>
      <c r="L517" s="886">
        <v>0.137624</v>
      </c>
      <c r="M517" s="882"/>
    </row>
    <row r="518" spans="1:13" ht="12.75">
      <c r="A518" s="882"/>
      <c r="B518" s="882"/>
      <c r="C518" s="882"/>
      <c r="D518" s="882"/>
      <c r="E518" s="883" t="s">
        <v>1307</v>
      </c>
      <c r="F518" s="883" t="s">
        <v>1308</v>
      </c>
      <c r="G518" s="883" t="s">
        <v>2181</v>
      </c>
      <c r="H518" s="883" t="s">
        <v>2063</v>
      </c>
      <c r="I518" s="883" t="s">
        <v>2538</v>
      </c>
      <c r="J518" s="884">
        <v>1.37</v>
      </c>
      <c r="K518" s="885">
        <v>1.37</v>
      </c>
      <c r="L518" s="886">
        <v>1.3698757</v>
      </c>
      <c r="M518" s="882"/>
    </row>
    <row r="519" spans="1:13" ht="12.75">
      <c r="A519" s="882"/>
      <c r="B519" s="882"/>
      <c r="C519" s="882"/>
      <c r="D519" s="882"/>
      <c r="E519" s="883" t="s">
        <v>1309</v>
      </c>
      <c r="F519" s="883" t="s">
        <v>1310</v>
      </c>
      <c r="G519" s="883" t="s">
        <v>2181</v>
      </c>
      <c r="H519" s="883" t="s">
        <v>2063</v>
      </c>
      <c r="I519" s="883" t="s">
        <v>2538</v>
      </c>
      <c r="J519" s="884">
        <v>0.6</v>
      </c>
      <c r="K519" s="885">
        <v>0.672</v>
      </c>
      <c r="L519" s="886">
        <v>0.67116</v>
      </c>
      <c r="M519" s="882"/>
    </row>
    <row r="520" spans="1:13" ht="12.75">
      <c r="A520" s="882"/>
      <c r="B520" s="882"/>
      <c r="C520" s="882"/>
      <c r="D520" s="882"/>
      <c r="E520" s="883" t="s">
        <v>1311</v>
      </c>
      <c r="F520" s="883" t="s">
        <v>1312</v>
      </c>
      <c r="G520" s="883" t="s">
        <v>2181</v>
      </c>
      <c r="H520" s="883" t="s">
        <v>2063</v>
      </c>
      <c r="I520" s="883" t="s">
        <v>2538</v>
      </c>
      <c r="J520" s="884">
        <v>0.23</v>
      </c>
      <c r="K520" s="885">
        <v>0.2</v>
      </c>
      <c r="L520" s="886">
        <v>0.199763</v>
      </c>
      <c r="M520" s="882"/>
    </row>
    <row r="521" spans="1:13" ht="12.75">
      <c r="A521" s="882"/>
      <c r="B521" s="882"/>
      <c r="C521" s="882"/>
      <c r="D521" s="882"/>
      <c r="E521" s="883" t="s">
        <v>1313</v>
      </c>
      <c r="F521" s="883" t="s">
        <v>1314</v>
      </c>
      <c r="G521" s="883" t="s">
        <v>2181</v>
      </c>
      <c r="H521" s="883" t="s">
        <v>2063</v>
      </c>
      <c r="I521" s="883" t="s">
        <v>2538</v>
      </c>
      <c r="J521" s="884">
        <v>0.1</v>
      </c>
      <c r="K521" s="885">
        <v>0.145</v>
      </c>
      <c r="L521" s="886">
        <v>0.144764</v>
      </c>
      <c r="M521" s="882"/>
    </row>
    <row r="522" spans="1:13" ht="12.75">
      <c r="A522" s="882"/>
      <c r="B522" s="882"/>
      <c r="C522" s="882"/>
      <c r="D522" s="882"/>
      <c r="E522" s="883" t="s">
        <v>1315</v>
      </c>
      <c r="F522" s="883" t="s">
        <v>1316</v>
      </c>
      <c r="G522" s="883" t="s">
        <v>2181</v>
      </c>
      <c r="H522" s="883" t="s">
        <v>2063</v>
      </c>
      <c r="I522" s="883" t="s">
        <v>2538</v>
      </c>
      <c r="J522" s="884">
        <v>0.1</v>
      </c>
      <c r="K522" s="885">
        <v>0.07</v>
      </c>
      <c r="L522" s="886">
        <v>0.069008</v>
      </c>
      <c r="M522" s="882"/>
    </row>
    <row r="523" spans="1:13" ht="12.75">
      <c r="A523" s="882"/>
      <c r="B523" s="882"/>
      <c r="C523" s="882"/>
      <c r="D523" s="882"/>
      <c r="E523" s="883" t="s">
        <v>1317</v>
      </c>
      <c r="F523" s="883" t="s">
        <v>1318</v>
      </c>
      <c r="G523" s="883" t="s">
        <v>2181</v>
      </c>
      <c r="H523" s="883" t="s">
        <v>2063</v>
      </c>
      <c r="I523" s="883" t="s">
        <v>2538</v>
      </c>
      <c r="J523" s="884">
        <v>0.15</v>
      </c>
      <c r="K523" s="885">
        <v>0.15</v>
      </c>
      <c r="L523" s="886">
        <v>0.1492498</v>
      </c>
      <c r="M523" s="882"/>
    </row>
    <row r="524" spans="1:13" ht="12.75">
      <c r="A524" s="882"/>
      <c r="B524" s="882"/>
      <c r="C524" s="882"/>
      <c r="D524" s="882"/>
      <c r="E524" s="883" t="s">
        <v>1319</v>
      </c>
      <c r="F524" s="883" t="s">
        <v>1320</v>
      </c>
      <c r="G524" s="883" t="s">
        <v>2181</v>
      </c>
      <c r="H524" s="883" t="s">
        <v>2543</v>
      </c>
      <c r="I524" s="883" t="s">
        <v>2538</v>
      </c>
      <c r="J524" s="884">
        <v>2</v>
      </c>
      <c r="K524" s="885">
        <v>0</v>
      </c>
      <c r="L524" s="886">
        <v>0</v>
      </c>
      <c r="M524" s="882"/>
    </row>
    <row r="525" spans="1:13" ht="12.75">
      <c r="A525" s="882"/>
      <c r="B525" s="882"/>
      <c r="C525" s="882"/>
      <c r="D525" s="882"/>
      <c r="E525" s="883" t="s">
        <v>1321</v>
      </c>
      <c r="F525" s="883" t="s">
        <v>1322</v>
      </c>
      <c r="G525" s="883" t="s">
        <v>2182</v>
      </c>
      <c r="H525" s="883" t="s">
        <v>2063</v>
      </c>
      <c r="I525" s="883" t="s">
        <v>2538</v>
      </c>
      <c r="J525" s="884">
        <v>5.44</v>
      </c>
      <c r="K525" s="885">
        <v>2.279</v>
      </c>
      <c r="L525" s="886">
        <v>2.278973</v>
      </c>
      <c r="M525" s="882"/>
    </row>
    <row r="526" spans="1:13" ht="12.75">
      <c r="A526" s="882"/>
      <c r="B526" s="882"/>
      <c r="C526" s="882"/>
      <c r="D526" s="882"/>
      <c r="E526" s="883" t="s">
        <v>1323</v>
      </c>
      <c r="F526" s="883" t="s">
        <v>1324</v>
      </c>
      <c r="G526" s="883" t="s">
        <v>2183</v>
      </c>
      <c r="H526" s="883" t="s">
        <v>2063</v>
      </c>
      <c r="I526" s="883" t="s">
        <v>2538</v>
      </c>
      <c r="J526" s="884">
        <v>6.8</v>
      </c>
      <c r="K526" s="885">
        <v>6.798</v>
      </c>
      <c r="L526" s="886">
        <v>6.7971</v>
      </c>
      <c r="M526" s="882"/>
    </row>
    <row r="527" spans="1:13" ht="12.75">
      <c r="A527" s="882"/>
      <c r="B527" s="882"/>
      <c r="C527" s="882"/>
      <c r="D527" s="882"/>
      <c r="E527" s="883" t="s">
        <v>1325</v>
      </c>
      <c r="F527" s="883" t="s">
        <v>1326</v>
      </c>
      <c r="G527" s="883" t="s">
        <v>2183</v>
      </c>
      <c r="H527" s="883" t="s">
        <v>2543</v>
      </c>
      <c r="I527" s="883" t="s">
        <v>2538</v>
      </c>
      <c r="J527" s="884">
        <v>9.5</v>
      </c>
      <c r="K527" s="885">
        <v>0</v>
      </c>
      <c r="L527" s="886">
        <v>0</v>
      </c>
      <c r="M527" s="882"/>
    </row>
    <row r="528" spans="1:13" ht="12.75">
      <c r="A528" s="882"/>
      <c r="B528" s="882"/>
      <c r="C528" s="882"/>
      <c r="D528" s="882"/>
      <c r="E528" s="883" t="s">
        <v>1327</v>
      </c>
      <c r="F528" s="883" t="s">
        <v>1271</v>
      </c>
      <c r="G528" s="883" t="s">
        <v>2183</v>
      </c>
      <c r="H528" s="883" t="s">
        <v>2063</v>
      </c>
      <c r="I528" s="883" t="s">
        <v>2538</v>
      </c>
      <c r="J528" s="884">
        <v>0.33</v>
      </c>
      <c r="K528" s="885">
        <v>0.33</v>
      </c>
      <c r="L528" s="886">
        <v>0.33</v>
      </c>
      <c r="M528" s="882"/>
    </row>
    <row r="529" spans="1:13" ht="12.75">
      <c r="A529" s="882"/>
      <c r="B529" s="882"/>
      <c r="C529" s="882"/>
      <c r="D529" s="882"/>
      <c r="E529" s="883" t="s">
        <v>1328</v>
      </c>
      <c r="F529" s="883" t="s">
        <v>1329</v>
      </c>
      <c r="G529" s="883" t="s">
        <v>2183</v>
      </c>
      <c r="H529" s="883" t="s">
        <v>2543</v>
      </c>
      <c r="I529" s="883" t="s">
        <v>2538</v>
      </c>
      <c r="J529" s="884">
        <v>0.12</v>
      </c>
      <c r="K529" s="885">
        <v>0</v>
      </c>
      <c r="L529" s="886">
        <v>0</v>
      </c>
      <c r="M529" s="882"/>
    </row>
    <row r="530" spans="1:13" ht="12.75">
      <c r="A530" s="882"/>
      <c r="B530" s="882"/>
      <c r="C530" s="882"/>
      <c r="D530" s="882"/>
      <c r="E530" s="883" t="s">
        <v>1330</v>
      </c>
      <c r="F530" s="883" t="s">
        <v>1331</v>
      </c>
      <c r="G530" s="883" t="s">
        <v>2183</v>
      </c>
      <c r="H530" s="883" t="s">
        <v>2063</v>
      </c>
      <c r="I530" s="883" t="s">
        <v>2538</v>
      </c>
      <c r="J530" s="884">
        <v>0.05</v>
      </c>
      <c r="K530" s="885">
        <v>0.05</v>
      </c>
      <c r="L530" s="886">
        <v>0.04986</v>
      </c>
      <c r="M530" s="882"/>
    </row>
    <row r="531" spans="1:13" ht="12.75">
      <c r="A531" s="882"/>
      <c r="B531" s="882"/>
      <c r="C531" s="882"/>
      <c r="D531" s="882"/>
      <c r="E531" s="883" t="s">
        <v>1332</v>
      </c>
      <c r="F531" s="883" t="s">
        <v>1245</v>
      </c>
      <c r="G531" s="883" t="s">
        <v>2183</v>
      </c>
      <c r="H531" s="883" t="s">
        <v>2543</v>
      </c>
      <c r="I531" s="883" t="s">
        <v>2538</v>
      </c>
      <c r="J531" s="884">
        <v>0.11</v>
      </c>
      <c r="K531" s="885">
        <v>0</v>
      </c>
      <c r="L531" s="886">
        <v>0</v>
      </c>
      <c r="M531" s="882"/>
    </row>
    <row r="532" spans="1:13" ht="12.75">
      <c r="A532" s="882"/>
      <c r="B532" s="882"/>
      <c r="C532" s="882"/>
      <c r="D532" s="882"/>
      <c r="E532" s="883" t="s">
        <v>1333</v>
      </c>
      <c r="F532" s="883" t="s">
        <v>1334</v>
      </c>
      <c r="G532" s="883" t="s">
        <v>2183</v>
      </c>
      <c r="H532" s="883" t="s">
        <v>2063</v>
      </c>
      <c r="I532" s="883" t="s">
        <v>2538</v>
      </c>
      <c r="J532" s="884">
        <v>0.06</v>
      </c>
      <c r="K532" s="885">
        <v>0.059</v>
      </c>
      <c r="L532" s="886">
        <v>0.058286</v>
      </c>
      <c r="M532" s="882"/>
    </row>
    <row r="533" spans="1:13" ht="12.75">
      <c r="A533" s="882"/>
      <c r="B533" s="882"/>
      <c r="C533" s="882"/>
      <c r="D533" s="882"/>
      <c r="E533" s="883" t="s">
        <v>1335</v>
      </c>
      <c r="F533" s="883" t="s">
        <v>1336</v>
      </c>
      <c r="G533" s="883" t="s">
        <v>2184</v>
      </c>
      <c r="H533" s="883" t="s">
        <v>2063</v>
      </c>
      <c r="I533" s="883" t="s">
        <v>2538</v>
      </c>
      <c r="J533" s="884">
        <v>6.6</v>
      </c>
      <c r="K533" s="885">
        <v>4.271</v>
      </c>
      <c r="L533" s="886">
        <v>4.2709</v>
      </c>
      <c r="M533" s="882"/>
    </row>
    <row r="534" spans="1:13" ht="12.75">
      <c r="A534" s="882"/>
      <c r="B534" s="882"/>
      <c r="C534" s="882"/>
      <c r="D534" s="882"/>
      <c r="E534" s="883" t="s">
        <v>1337</v>
      </c>
      <c r="F534" s="883" t="s">
        <v>1281</v>
      </c>
      <c r="G534" s="883" t="s">
        <v>2184</v>
      </c>
      <c r="H534" s="883" t="s">
        <v>2063</v>
      </c>
      <c r="I534" s="883" t="s">
        <v>2538</v>
      </c>
      <c r="J534" s="884">
        <v>0.8</v>
      </c>
      <c r="K534" s="885">
        <v>0.8</v>
      </c>
      <c r="L534" s="886">
        <v>0.799986</v>
      </c>
      <c r="M534" s="882"/>
    </row>
    <row r="535" spans="1:13" ht="12.75">
      <c r="A535" s="882"/>
      <c r="B535" s="882"/>
      <c r="C535" s="882"/>
      <c r="D535" s="882"/>
      <c r="E535" s="883" t="s">
        <v>1338</v>
      </c>
      <c r="F535" s="883" t="s">
        <v>1296</v>
      </c>
      <c r="G535" s="883" t="s">
        <v>2184</v>
      </c>
      <c r="H535" s="883" t="s">
        <v>2063</v>
      </c>
      <c r="I535" s="883" t="s">
        <v>2538</v>
      </c>
      <c r="J535" s="884">
        <v>2.4</v>
      </c>
      <c r="K535" s="885">
        <v>1.55</v>
      </c>
      <c r="L535" s="886">
        <v>1.5495</v>
      </c>
      <c r="M535" s="882"/>
    </row>
    <row r="536" spans="1:13" ht="12.75">
      <c r="A536" s="882"/>
      <c r="B536" s="882"/>
      <c r="C536" s="882"/>
      <c r="D536" s="882"/>
      <c r="E536" s="883" t="s">
        <v>1339</v>
      </c>
      <c r="F536" s="883" t="s">
        <v>1340</v>
      </c>
      <c r="G536" s="883" t="s">
        <v>2184</v>
      </c>
      <c r="H536" s="883" t="s">
        <v>2063</v>
      </c>
      <c r="I536" s="883" t="s">
        <v>2538</v>
      </c>
      <c r="J536" s="884">
        <v>1.3</v>
      </c>
      <c r="K536" s="885">
        <v>1.198</v>
      </c>
      <c r="L536" s="886">
        <v>1.197233</v>
      </c>
      <c r="M536" s="882"/>
    </row>
    <row r="537" spans="1:13" ht="12.75">
      <c r="A537" s="882"/>
      <c r="B537" s="882"/>
      <c r="C537" s="882"/>
      <c r="D537" s="882"/>
      <c r="E537" s="883" t="s">
        <v>1341</v>
      </c>
      <c r="F537" s="883" t="s">
        <v>1271</v>
      </c>
      <c r="G537" s="883" t="s">
        <v>2184</v>
      </c>
      <c r="H537" s="883" t="s">
        <v>2063</v>
      </c>
      <c r="I537" s="883" t="s">
        <v>2538</v>
      </c>
      <c r="J537" s="884">
        <v>0.5</v>
      </c>
      <c r="K537" s="885">
        <v>0.5</v>
      </c>
      <c r="L537" s="886">
        <v>0.49962</v>
      </c>
      <c r="M537" s="882"/>
    </row>
    <row r="538" spans="1:13" ht="12.75">
      <c r="A538" s="882"/>
      <c r="B538" s="882"/>
      <c r="C538" s="882"/>
      <c r="D538" s="882"/>
      <c r="E538" s="883" t="s">
        <v>1342</v>
      </c>
      <c r="F538" s="883" t="s">
        <v>1343</v>
      </c>
      <c r="G538" s="883" t="s">
        <v>2184</v>
      </c>
      <c r="H538" s="883" t="s">
        <v>2063</v>
      </c>
      <c r="I538" s="883" t="s">
        <v>2538</v>
      </c>
      <c r="J538" s="884">
        <v>1.37</v>
      </c>
      <c r="K538" s="885">
        <v>0.849</v>
      </c>
      <c r="L538" s="886">
        <v>0.848366</v>
      </c>
      <c r="M538" s="882"/>
    </row>
    <row r="539" spans="1:13" ht="12.75">
      <c r="A539" s="882"/>
      <c r="B539" s="882"/>
      <c r="C539" s="882"/>
      <c r="D539" s="882"/>
      <c r="E539" s="883" t="s">
        <v>1344</v>
      </c>
      <c r="F539" s="883" t="s">
        <v>1345</v>
      </c>
      <c r="G539" s="883" t="s">
        <v>2184</v>
      </c>
      <c r="H539" s="883" t="s">
        <v>2063</v>
      </c>
      <c r="I539" s="883" t="s">
        <v>2538</v>
      </c>
      <c r="J539" s="884">
        <v>0.08</v>
      </c>
      <c r="K539" s="885">
        <v>0.08</v>
      </c>
      <c r="L539" s="886">
        <v>0.079849</v>
      </c>
      <c r="M539" s="882"/>
    </row>
    <row r="540" spans="1:13" ht="12.75">
      <c r="A540" s="882"/>
      <c r="B540" s="882"/>
      <c r="C540" s="882"/>
      <c r="D540" s="882"/>
      <c r="E540" s="883" t="s">
        <v>1346</v>
      </c>
      <c r="F540" s="883" t="s">
        <v>1347</v>
      </c>
      <c r="G540" s="883" t="s">
        <v>2184</v>
      </c>
      <c r="H540" s="883" t="s">
        <v>2063</v>
      </c>
      <c r="I540" s="883" t="s">
        <v>2538</v>
      </c>
      <c r="J540" s="884">
        <v>0.2</v>
      </c>
      <c r="K540" s="885">
        <v>0.177</v>
      </c>
      <c r="L540" s="886">
        <v>0.176315</v>
      </c>
      <c r="M540" s="882"/>
    </row>
    <row r="541" spans="1:13" ht="12.75">
      <c r="A541" s="882"/>
      <c r="B541" s="882"/>
      <c r="C541" s="882"/>
      <c r="D541" s="882"/>
      <c r="E541" s="883" t="s">
        <v>1348</v>
      </c>
      <c r="F541" s="883" t="s">
        <v>1349</v>
      </c>
      <c r="G541" s="883" t="s">
        <v>2184</v>
      </c>
      <c r="H541" s="883" t="s">
        <v>2543</v>
      </c>
      <c r="I541" s="883" t="s">
        <v>2538</v>
      </c>
      <c r="J541" s="884">
        <v>0.8</v>
      </c>
      <c r="K541" s="885">
        <v>0</v>
      </c>
      <c r="L541" s="886">
        <v>0</v>
      </c>
      <c r="M541" s="882"/>
    </row>
    <row r="542" spans="1:13" ht="12.75">
      <c r="A542" s="882"/>
      <c r="B542" s="882"/>
      <c r="C542" s="882"/>
      <c r="D542" s="882"/>
      <c r="E542" s="883" t="s">
        <v>1350</v>
      </c>
      <c r="F542" s="883" t="s">
        <v>1351</v>
      </c>
      <c r="G542" s="883" t="s">
        <v>2184</v>
      </c>
      <c r="H542" s="883" t="s">
        <v>2543</v>
      </c>
      <c r="I542" s="883" t="s">
        <v>2538</v>
      </c>
      <c r="J542" s="884">
        <v>0.07</v>
      </c>
      <c r="K542" s="885">
        <v>0</v>
      </c>
      <c r="L542" s="886">
        <v>0</v>
      </c>
      <c r="M542" s="882"/>
    </row>
    <row r="543" spans="1:13" ht="12.75">
      <c r="A543" s="882"/>
      <c r="B543" s="882"/>
      <c r="C543" s="882"/>
      <c r="D543" s="882"/>
      <c r="E543" s="883" t="s">
        <v>1352</v>
      </c>
      <c r="F543" s="883" t="s">
        <v>1353</v>
      </c>
      <c r="G543" s="883" t="s">
        <v>2184</v>
      </c>
      <c r="H543" s="883" t="s">
        <v>2063</v>
      </c>
      <c r="I543" s="883" t="s">
        <v>2538</v>
      </c>
      <c r="J543" s="884">
        <v>0.15</v>
      </c>
      <c r="K543" s="885">
        <v>0.13</v>
      </c>
      <c r="L543" s="886">
        <v>0.129377</v>
      </c>
      <c r="M543" s="882"/>
    </row>
    <row r="544" spans="1:13" ht="12.75">
      <c r="A544" s="882"/>
      <c r="B544" s="882"/>
      <c r="C544" s="882"/>
      <c r="D544" s="882"/>
      <c r="E544" s="883" t="s">
        <v>1354</v>
      </c>
      <c r="F544" s="883" t="s">
        <v>1308</v>
      </c>
      <c r="G544" s="883" t="s">
        <v>2184</v>
      </c>
      <c r="H544" s="883" t="s">
        <v>2063</v>
      </c>
      <c r="I544" s="883" t="s">
        <v>2538</v>
      </c>
      <c r="J544" s="884">
        <v>3.15</v>
      </c>
      <c r="K544" s="885">
        <v>1.775</v>
      </c>
      <c r="L544" s="886">
        <v>1.7748355</v>
      </c>
      <c r="M544" s="882"/>
    </row>
    <row r="545" spans="1:13" ht="12.75">
      <c r="A545" s="882"/>
      <c r="B545" s="882"/>
      <c r="C545" s="882"/>
      <c r="D545" s="882"/>
      <c r="E545" s="883" t="s">
        <v>1355</v>
      </c>
      <c r="F545" s="883" t="s">
        <v>1356</v>
      </c>
      <c r="G545" s="883" t="s">
        <v>2184</v>
      </c>
      <c r="H545" s="883" t="s">
        <v>2063</v>
      </c>
      <c r="I545" s="883" t="s">
        <v>2538</v>
      </c>
      <c r="J545" s="884">
        <v>0.2</v>
      </c>
      <c r="K545" s="885">
        <v>0.168</v>
      </c>
      <c r="L545" s="886">
        <v>0.167704</v>
      </c>
      <c r="M545" s="882"/>
    </row>
    <row r="546" spans="1:13" ht="12.75">
      <c r="A546" s="882"/>
      <c r="B546" s="882"/>
      <c r="C546" s="882"/>
      <c r="D546" s="882"/>
      <c r="E546" s="883" t="s">
        <v>1357</v>
      </c>
      <c r="F546" s="883" t="s">
        <v>1316</v>
      </c>
      <c r="G546" s="883" t="s">
        <v>2184</v>
      </c>
      <c r="H546" s="883" t="s">
        <v>2063</v>
      </c>
      <c r="I546" s="883" t="s">
        <v>2538</v>
      </c>
      <c r="J546" s="884">
        <v>0.12</v>
      </c>
      <c r="K546" s="885">
        <v>0.077</v>
      </c>
      <c r="L546" s="886">
        <v>0.076042</v>
      </c>
      <c r="M546" s="882"/>
    </row>
    <row r="547" spans="1:13" ht="12.75">
      <c r="A547" s="882"/>
      <c r="B547" s="882"/>
      <c r="C547" s="882"/>
      <c r="D547" s="882"/>
      <c r="E547" s="883" t="s">
        <v>1358</v>
      </c>
      <c r="F547" s="883" t="s">
        <v>1359</v>
      </c>
      <c r="G547" s="883" t="s">
        <v>2184</v>
      </c>
      <c r="H547" s="883" t="s">
        <v>2063</v>
      </c>
      <c r="I547" s="883" t="s">
        <v>2538</v>
      </c>
      <c r="J547" s="884">
        <v>0.5</v>
      </c>
      <c r="K547" s="885">
        <v>0.476</v>
      </c>
      <c r="L547" s="886">
        <v>0.475446</v>
      </c>
      <c r="M547" s="882"/>
    </row>
    <row r="548" spans="1:13" ht="12.75">
      <c r="A548" s="882"/>
      <c r="B548" s="882"/>
      <c r="C548" s="882"/>
      <c r="D548" s="882"/>
      <c r="E548" s="883" t="s">
        <v>1360</v>
      </c>
      <c r="F548" s="883" t="s">
        <v>1361</v>
      </c>
      <c r="G548" s="883" t="s">
        <v>2185</v>
      </c>
      <c r="H548" s="883" t="s">
        <v>2063</v>
      </c>
      <c r="I548" s="883" t="s">
        <v>2538</v>
      </c>
      <c r="J548" s="884">
        <v>14</v>
      </c>
      <c r="K548" s="885">
        <v>16.996</v>
      </c>
      <c r="L548" s="886">
        <v>16.9954</v>
      </c>
      <c r="M548" s="882"/>
    </row>
    <row r="549" spans="1:13" ht="12.75">
      <c r="A549" s="882"/>
      <c r="B549" s="882"/>
      <c r="C549" s="882"/>
      <c r="D549" s="882"/>
      <c r="E549" s="883" t="s">
        <v>1362</v>
      </c>
      <c r="F549" s="883" t="s">
        <v>1296</v>
      </c>
      <c r="G549" s="883" t="s">
        <v>2185</v>
      </c>
      <c r="H549" s="883" t="s">
        <v>2063</v>
      </c>
      <c r="I549" s="883" t="s">
        <v>2538</v>
      </c>
      <c r="J549" s="884">
        <v>3.5</v>
      </c>
      <c r="K549" s="885">
        <v>1.065</v>
      </c>
      <c r="L549" s="886">
        <v>1.065</v>
      </c>
      <c r="M549" s="882"/>
    </row>
    <row r="550" spans="1:13" ht="12.75">
      <c r="A550" s="882"/>
      <c r="B550" s="882"/>
      <c r="C550" s="882"/>
      <c r="D550" s="882"/>
      <c r="E550" s="883" t="s">
        <v>1363</v>
      </c>
      <c r="F550" s="883" t="s">
        <v>1271</v>
      </c>
      <c r="G550" s="883" t="s">
        <v>2185</v>
      </c>
      <c r="H550" s="883" t="s">
        <v>2543</v>
      </c>
      <c r="I550" s="883" t="s">
        <v>2538</v>
      </c>
      <c r="J550" s="884">
        <v>0.49</v>
      </c>
      <c r="K550" s="885">
        <v>0</v>
      </c>
      <c r="L550" s="886">
        <v>0</v>
      </c>
      <c r="M550" s="882"/>
    </row>
    <row r="551" spans="1:13" ht="12.75">
      <c r="A551" s="882"/>
      <c r="B551" s="882"/>
      <c r="C551" s="882"/>
      <c r="D551" s="882"/>
      <c r="E551" s="883" t="s">
        <v>1364</v>
      </c>
      <c r="F551" s="883" t="s">
        <v>1340</v>
      </c>
      <c r="G551" s="883" t="s">
        <v>2185</v>
      </c>
      <c r="H551" s="883" t="s">
        <v>2543</v>
      </c>
      <c r="I551" s="883" t="s">
        <v>2538</v>
      </c>
      <c r="J551" s="884">
        <v>1.6</v>
      </c>
      <c r="K551" s="885">
        <v>0</v>
      </c>
      <c r="L551" s="886">
        <v>0</v>
      </c>
      <c r="M551" s="882"/>
    </row>
    <row r="552" spans="1:13" ht="12.75">
      <c r="A552" s="882"/>
      <c r="B552" s="882"/>
      <c r="C552" s="882"/>
      <c r="D552" s="882"/>
      <c r="E552" s="883" t="s">
        <v>1365</v>
      </c>
      <c r="F552" s="883" t="s">
        <v>1329</v>
      </c>
      <c r="G552" s="883" t="s">
        <v>2185</v>
      </c>
      <c r="H552" s="883" t="s">
        <v>2063</v>
      </c>
      <c r="I552" s="883" t="s">
        <v>2538</v>
      </c>
      <c r="J552" s="884">
        <v>0.23</v>
      </c>
      <c r="K552" s="885">
        <v>0.223</v>
      </c>
      <c r="L552" s="886">
        <v>0.222154</v>
      </c>
      <c r="M552" s="882"/>
    </row>
    <row r="553" spans="1:13" ht="12.75">
      <c r="A553" s="882"/>
      <c r="B553" s="882"/>
      <c r="C553" s="882"/>
      <c r="D553" s="882"/>
      <c r="E553" s="883" t="s">
        <v>1366</v>
      </c>
      <c r="F553" s="883" t="s">
        <v>1367</v>
      </c>
      <c r="G553" s="883" t="s">
        <v>2185</v>
      </c>
      <c r="H553" s="883" t="s">
        <v>2543</v>
      </c>
      <c r="I553" s="883" t="s">
        <v>2538</v>
      </c>
      <c r="J553" s="884">
        <v>0.48</v>
      </c>
      <c r="K553" s="885">
        <v>0</v>
      </c>
      <c r="L553" s="886">
        <v>0</v>
      </c>
      <c r="M553" s="882"/>
    </row>
    <row r="554" spans="1:13" ht="12.75">
      <c r="A554" s="882"/>
      <c r="B554" s="882"/>
      <c r="C554" s="882"/>
      <c r="D554" s="882"/>
      <c r="E554" s="883" t="s">
        <v>1368</v>
      </c>
      <c r="F554" s="883" t="s">
        <v>1369</v>
      </c>
      <c r="G554" s="883" t="s">
        <v>2185</v>
      </c>
      <c r="H554" s="883" t="s">
        <v>2063</v>
      </c>
      <c r="I554" s="883" t="s">
        <v>2538</v>
      </c>
      <c r="J554" s="884">
        <v>1</v>
      </c>
      <c r="K554" s="885">
        <v>0.795</v>
      </c>
      <c r="L554" s="886">
        <v>0.7948029</v>
      </c>
      <c r="M554" s="882"/>
    </row>
    <row r="555" spans="1:13" ht="12.75">
      <c r="A555" s="882"/>
      <c r="B555" s="882"/>
      <c r="C555" s="882"/>
      <c r="D555" s="882"/>
      <c r="E555" s="883" t="s">
        <v>1370</v>
      </c>
      <c r="F555" s="883" t="s">
        <v>1371</v>
      </c>
      <c r="G555" s="883" t="s">
        <v>2185</v>
      </c>
      <c r="H555" s="883" t="s">
        <v>2543</v>
      </c>
      <c r="I555" s="883" t="s">
        <v>2538</v>
      </c>
      <c r="J555" s="884">
        <v>0.34</v>
      </c>
      <c r="K555" s="885">
        <v>0</v>
      </c>
      <c r="L555" s="886">
        <v>0</v>
      </c>
      <c r="M555" s="882"/>
    </row>
    <row r="556" spans="1:13" ht="12.75">
      <c r="A556" s="882"/>
      <c r="B556" s="882"/>
      <c r="C556" s="882"/>
      <c r="D556" s="882"/>
      <c r="E556" s="883" t="s">
        <v>1372</v>
      </c>
      <c r="F556" s="883" t="s">
        <v>1373</v>
      </c>
      <c r="G556" s="883" t="s">
        <v>2185</v>
      </c>
      <c r="H556" s="883" t="s">
        <v>2543</v>
      </c>
      <c r="I556" s="883" t="s">
        <v>2538</v>
      </c>
      <c r="J556" s="884">
        <v>0.8</v>
      </c>
      <c r="K556" s="885">
        <v>0</v>
      </c>
      <c r="L556" s="886">
        <v>0</v>
      </c>
      <c r="M556" s="882"/>
    </row>
    <row r="557" spans="1:13" ht="12.75">
      <c r="A557" s="882"/>
      <c r="B557" s="882"/>
      <c r="C557" s="882"/>
      <c r="D557" s="882"/>
      <c r="E557" s="883" t="s">
        <v>1374</v>
      </c>
      <c r="F557" s="883" t="s">
        <v>1375</v>
      </c>
      <c r="G557" s="883" t="s">
        <v>2185</v>
      </c>
      <c r="H557" s="883" t="s">
        <v>2543</v>
      </c>
      <c r="I557" s="883" t="s">
        <v>2538</v>
      </c>
      <c r="J557" s="884">
        <v>0.32</v>
      </c>
      <c r="K557" s="885">
        <v>0</v>
      </c>
      <c r="L557" s="886">
        <v>0</v>
      </c>
      <c r="M557" s="882"/>
    </row>
    <row r="558" spans="1:13" ht="12.75">
      <c r="A558" s="882"/>
      <c r="B558" s="882"/>
      <c r="C558" s="882"/>
      <c r="D558" s="882"/>
      <c r="E558" s="883" t="s">
        <v>1376</v>
      </c>
      <c r="F558" s="883" t="s">
        <v>1377</v>
      </c>
      <c r="G558" s="883" t="s">
        <v>2185</v>
      </c>
      <c r="H558" s="883" t="s">
        <v>2543</v>
      </c>
      <c r="I558" s="883" t="s">
        <v>2538</v>
      </c>
      <c r="J558" s="884">
        <v>0.18</v>
      </c>
      <c r="K558" s="885">
        <v>0</v>
      </c>
      <c r="L558" s="886">
        <v>0</v>
      </c>
      <c r="M558" s="882"/>
    </row>
    <row r="559" spans="1:13" ht="12.75">
      <c r="A559" s="882"/>
      <c r="B559" s="882"/>
      <c r="C559" s="882"/>
      <c r="D559" s="882"/>
      <c r="E559" s="883" t="s">
        <v>1378</v>
      </c>
      <c r="F559" s="883" t="s">
        <v>1379</v>
      </c>
      <c r="G559" s="883" t="s">
        <v>2186</v>
      </c>
      <c r="H559" s="883" t="s">
        <v>2063</v>
      </c>
      <c r="I559" s="883" t="s">
        <v>2538</v>
      </c>
      <c r="J559" s="884">
        <v>4.58</v>
      </c>
      <c r="K559" s="885">
        <v>2.379</v>
      </c>
      <c r="L559" s="886">
        <v>2.378572</v>
      </c>
      <c r="M559" s="882"/>
    </row>
    <row r="560" spans="1:13" ht="12.75">
      <c r="A560" s="882"/>
      <c r="B560" s="882"/>
      <c r="C560" s="882"/>
      <c r="D560" s="882"/>
      <c r="E560" s="883" t="s">
        <v>1380</v>
      </c>
      <c r="F560" s="883" t="s">
        <v>1381</v>
      </c>
      <c r="G560" s="883" t="s">
        <v>2186</v>
      </c>
      <c r="H560" s="883" t="s">
        <v>2063</v>
      </c>
      <c r="I560" s="883" t="s">
        <v>2538</v>
      </c>
      <c r="J560" s="884">
        <v>3.2</v>
      </c>
      <c r="K560" s="885">
        <v>3.131</v>
      </c>
      <c r="L560" s="886">
        <v>3.130957</v>
      </c>
      <c r="M560" s="882"/>
    </row>
    <row r="561" spans="1:13" ht="12.75">
      <c r="A561" s="882"/>
      <c r="B561" s="882"/>
      <c r="C561" s="882"/>
      <c r="D561" s="882"/>
      <c r="E561" s="883" t="s">
        <v>1382</v>
      </c>
      <c r="F561" s="883" t="s">
        <v>1324</v>
      </c>
      <c r="G561" s="883" t="s">
        <v>2187</v>
      </c>
      <c r="H561" s="883" t="s">
        <v>2063</v>
      </c>
      <c r="I561" s="883" t="s">
        <v>2538</v>
      </c>
      <c r="J561" s="884">
        <v>7</v>
      </c>
      <c r="K561" s="885">
        <v>6.977</v>
      </c>
      <c r="L561" s="886">
        <v>6.9762</v>
      </c>
      <c r="M561" s="882"/>
    </row>
    <row r="562" spans="1:13" ht="12.75">
      <c r="A562" s="882"/>
      <c r="B562" s="882"/>
      <c r="C562" s="882"/>
      <c r="D562" s="882"/>
      <c r="E562" s="883" t="s">
        <v>1383</v>
      </c>
      <c r="F562" s="883" t="s">
        <v>1384</v>
      </c>
      <c r="G562" s="883" t="s">
        <v>2187</v>
      </c>
      <c r="H562" s="883" t="s">
        <v>2543</v>
      </c>
      <c r="I562" s="883" t="s">
        <v>2538</v>
      </c>
      <c r="J562" s="884">
        <v>1.169</v>
      </c>
      <c r="K562" s="885">
        <v>0</v>
      </c>
      <c r="L562" s="886">
        <v>0</v>
      </c>
      <c r="M562" s="882"/>
    </row>
    <row r="563" spans="1:13" ht="12.75">
      <c r="A563" s="882"/>
      <c r="B563" s="882"/>
      <c r="C563" s="882"/>
      <c r="D563" s="882"/>
      <c r="E563" s="883" t="s">
        <v>1385</v>
      </c>
      <c r="F563" s="883" t="s">
        <v>1386</v>
      </c>
      <c r="G563" s="883" t="s">
        <v>2187</v>
      </c>
      <c r="H563" s="883" t="s">
        <v>2543</v>
      </c>
      <c r="I563" s="883" t="s">
        <v>2538</v>
      </c>
      <c r="J563" s="884">
        <v>0.4</v>
      </c>
      <c r="K563" s="885">
        <v>0</v>
      </c>
      <c r="L563" s="886">
        <v>0</v>
      </c>
      <c r="M563" s="882"/>
    </row>
    <row r="564" spans="1:13" ht="12.75">
      <c r="A564" s="882"/>
      <c r="B564" s="882"/>
      <c r="C564" s="882"/>
      <c r="D564" s="882"/>
      <c r="E564" s="883" t="s">
        <v>1387</v>
      </c>
      <c r="F564" s="883" t="s">
        <v>1388</v>
      </c>
      <c r="G564" s="883" t="s">
        <v>2187</v>
      </c>
      <c r="H564" s="883" t="s">
        <v>2063</v>
      </c>
      <c r="I564" s="883" t="s">
        <v>2538</v>
      </c>
      <c r="J564" s="884">
        <v>3.05</v>
      </c>
      <c r="K564" s="885">
        <v>3.05</v>
      </c>
      <c r="L564" s="886">
        <v>3.049047</v>
      </c>
      <c r="M564" s="882"/>
    </row>
    <row r="565" spans="1:13" ht="12.75">
      <c r="A565" s="882"/>
      <c r="B565" s="882"/>
      <c r="C565" s="882"/>
      <c r="D565" s="882"/>
      <c r="E565" s="883" t="s">
        <v>1389</v>
      </c>
      <c r="F565" s="883" t="s">
        <v>1390</v>
      </c>
      <c r="G565" s="883" t="s">
        <v>2187</v>
      </c>
      <c r="H565" s="883" t="s">
        <v>2063</v>
      </c>
      <c r="I565" s="883" t="s">
        <v>2538</v>
      </c>
      <c r="J565" s="884">
        <v>0.55</v>
      </c>
      <c r="K565" s="885">
        <v>0.549</v>
      </c>
      <c r="L565" s="886">
        <v>0.548055</v>
      </c>
      <c r="M565" s="882"/>
    </row>
    <row r="566" spans="1:13" ht="12.75">
      <c r="A566" s="882"/>
      <c r="B566" s="882"/>
      <c r="C566" s="882"/>
      <c r="D566" s="882"/>
      <c r="E566" s="883" t="s">
        <v>1391</v>
      </c>
      <c r="F566" s="883" t="s">
        <v>1392</v>
      </c>
      <c r="G566" s="883" t="s">
        <v>2187</v>
      </c>
      <c r="H566" s="883" t="s">
        <v>2543</v>
      </c>
      <c r="I566" s="883" t="s">
        <v>2538</v>
      </c>
      <c r="J566" s="884">
        <v>0.075</v>
      </c>
      <c r="K566" s="885">
        <v>0</v>
      </c>
      <c r="L566" s="886">
        <v>0</v>
      </c>
      <c r="M566" s="882"/>
    </row>
    <row r="567" spans="1:13" ht="12.75">
      <c r="A567" s="882"/>
      <c r="B567" s="882"/>
      <c r="C567" s="882"/>
      <c r="D567" s="882"/>
      <c r="E567" s="883" t="s">
        <v>1393</v>
      </c>
      <c r="F567" s="883" t="s">
        <v>1394</v>
      </c>
      <c r="G567" s="883" t="s">
        <v>2187</v>
      </c>
      <c r="H567" s="883" t="s">
        <v>2543</v>
      </c>
      <c r="I567" s="883" t="s">
        <v>2538</v>
      </c>
      <c r="J567" s="884">
        <v>0.256</v>
      </c>
      <c r="K567" s="885">
        <v>0</v>
      </c>
      <c r="L567" s="886">
        <v>0</v>
      </c>
      <c r="M567" s="882"/>
    </row>
    <row r="568" spans="1:13" ht="12.75">
      <c r="A568" s="882"/>
      <c r="B568" s="882"/>
      <c r="C568" s="882"/>
      <c r="D568" s="882"/>
      <c r="E568" s="883" t="s">
        <v>1395</v>
      </c>
      <c r="F568" s="883" t="s">
        <v>1396</v>
      </c>
      <c r="G568" s="883" t="s">
        <v>2187</v>
      </c>
      <c r="H568" s="883" t="s">
        <v>2063</v>
      </c>
      <c r="I568" s="883" t="s">
        <v>2538</v>
      </c>
      <c r="J568" s="884">
        <v>0.18</v>
      </c>
      <c r="K568" s="885">
        <v>0.179</v>
      </c>
      <c r="L568" s="886">
        <v>0.178262</v>
      </c>
      <c r="M568" s="882"/>
    </row>
    <row r="569" spans="1:13" ht="12.75">
      <c r="A569" s="882"/>
      <c r="B569" s="882"/>
      <c r="C569" s="882"/>
      <c r="D569" s="882"/>
      <c r="E569" s="883" t="s">
        <v>1397</v>
      </c>
      <c r="F569" s="883" t="s">
        <v>1398</v>
      </c>
      <c r="G569" s="883" t="s">
        <v>2187</v>
      </c>
      <c r="H569" s="883" t="s">
        <v>2063</v>
      </c>
      <c r="I569" s="883" t="s">
        <v>2538</v>
      </c>
      <c r="J569" s="884">
        <v>0.44</v>
      </c>
      <c r="K569" s="885">
        <v>0.323</v>
      </c>
      <c r="L569" s="886">
        <v>0.322894</v>
      </c>
      <c r="M569" s="882"/>
    </row>
    <row r="570" spans="1:13" ht="12.75">
      <c r="A570" s="882"/>
      <c r="B570" s="882"/>
      <c r="C570" s="882"/>
      <c r="D570" s="882"/>
      <c r="E570" s="883" t="s">
        <v>1399</v>
      </c>
      <c r="F570" s="883" t="s">
        <v>1400</v>
      </c>
      <c r="G570" s="883" t="s">
        <v>2187</v>
      </c>
      <c r="H570" s="883" t="s">
        <v>2063</v>
      </c>
      <c r="I570" s="883" t="s">
        <v>2538</v>
      </c>
      <c r="J570" s="884">
        <v>0.4</v>
      </c>
      <c r="K570" s="885">
        <v>0.538</v>
      </c>
      <c r="L570" s="886">
        <v>0.53772768</v>
      </c>
      <c r="M570" s="882"/>
    </row>
    <row r="571" spans="1:13" ht="12.75">
      <c r="A571" s="882"/>
      <c r="B571" s="882"/>
      <c r="C571" s="882"/>
      <c r="D571" s="882"/>
      <c r="E571" s="883" t="s">
        <v>1401</v>
      </c>
      <c r="F571" s="883" t="s">
        <v>1402</v>
      </c>
      <c r="G571" s="883" t="s">
        <v>2478</v>
      </c>
      <c r="H571" s="883" t="s">
        <v>2063</v>
      </c>
      <c r="I571" s="883" t="s">
        <v>2538</v>
      </c>
      <c r="J571" s="884">
        <v>2.5</v>
      </c>
      <c r="K571" s="885">
        <v>0</v>
      </c>
      <c r="L571" s="886">
        <v>0</v>
      </c>
      <c r="M571" s="882"/>
    </row>
    <row r="572" spans="1:13" ht="12.75">
      <c r="A572" s="882"/>
      <c r="B572" s="882"/>
      <c r="C572" s="882"/>
      <c r="D572" s="882"/>
      <c r="E572" s="883" t="s">
        <v>1403</v>
      </c>
      <c r="F572" s="883" t="s">
        <v>1296</v>
      </c>
      <c r="G572" s="883" t="s">
        <v>2478</v>
      </c>
      <c r="H572" s="883" t="s">
        <v>2063</v>
      </c>
      <c r="I572" s="883" t="s">
        <v>2538</v>
      </c>
      <c r="J572" s="884">
        <v>1.27</v>
      </c>
      <c r="K572" s="885">
        <v>0.776</v>
      </c>
      <c r="L572" s="886">
        <v>0.7756</v>
      </c>
      <c r="M572" s="882"/>
    </row>
    <row r="573" spans="1:13" ht="12.75">
      <c r="A573" s="882"/>
      <c r="B573" s="882"/>
      <c r="C573" s="882"/>
      <c r="D573" s="882"/>
      <c r="E573" s="883" t="s">
        <v>1404</v>
      </c>
      <c r="F573" s="883" t="s">
        <v>1405</v>
      </c>
      <c r="G573" s="883" t="s">
        <v>2478</v>
      </c>
      <c r="H573" s="883" t="s">
        <v>2063</v>
      </c>
      <c r="I573" s="883" t="s">
        <v>2538</v>
      </c>
      <c r="J573" s="884">
        <v>4.8</v>
      </c>
      <c r="K573" s="885">
        <v>4.608</v>
      </c>
      <c r="L573" s="886">
        <v>4.6075</v>
      </c>
      <c r="M573" s="882"/>
    </row>
    <row r="574" spans="1:13" ht="12.75">
      <c r="A574" s="882"/>
      <c r="B574" s="882"/>
      <c r="C574" s="882"/>
      <c r="D574" s="882"/>
      <c r="E574" s="883" t="s">
        <v>1406</v>
      </c>
      <c r="F574" s="883" t="s">
        <v>1407</v>
      </c>
      <c r="G574" s="883" t="s">
        <v>2478</v>
      </c>
      <c r="H574" s="883" t="s">
        <v>2063</v>
      </c>
      <c r="I574" s="883" t="s">
        <v>2538</v>
      </c>
      <c r="J574" s="884">
        <v>1</v>
      </c>
      <c r="K574" s="885">
        <v>0.999</v>
      </c>
      <c r="L574" s="886">
        <v>0.99855</v>
      </c>
      <c r="M574" s="882"/>
    </row>
    <row r="575" spans="1:13" ht="12.75">
      <c r="A575" s="882"/>
      <c r="B575" s="882"/>
      <c r="C575" s="882"/>
      <c r="D575" s="882"/>
      <c r="E575" s="883" t="s">
        <v>1408</v>
      </c>
      <c r="F575" s="883" t="s">
        <v>1409</v>
      </c>
      <c r="G575" s="883" t="s">
        <v>2189</v>
      </c>
      <c r="H575" s="883" t="s">
        <v>2063</v>
      </c>
      <c r="I575" s="883" t="s">
        <v>2538</v>
      </c>
      <c r="J575" s="884">
        <v>7</v>
      </c>
      <c r="K575" s="885">
        <v>7.259</v>
      </c>
      <c r="L575" s="886">
        <v>7.25882</v>
      </c>
      <c r="M575" s="882"/>
    </row>
    <row r="576" spans="1:13" ht="12.75">
      <c r="A576" s="882"/>
      <c r="B576" s="882"/>
      <c r="C576" s="882"/>
      <c r="D576" s="882"/>
      <c r="E576" s="883" t="s">
        <v>1410</v>
      </c>
      <c r="F576" s="883" t="s">
        <v>1411</v>
      </c>
      <c r="G576" s="883" t="s">
        <v>2189</v>
      </c>
      <c r="H576" s="883" t="s">
        <v>2063</v>
      </c>
      <c r="I576" s="883" t="s">
        <v>2538</v>
      </c>
      <c r="J576" s="884">
        <v>2.25</v>
      </c>
      <c r="K576" s="885">
        <v>2.05</v>
      </c>
      <c r="L576" s="886">
        <v>2.05</v>
      </c>
      <c r="M576" s="882"/>
    </row>
    <row r="577" spans="1:13" ht="12.75">
      <c r="A577" s="882"/>
      <c r="B577" s="882"/>
      <c r="C577" s="882"/>
      <c r="D577" s="882"/>
      <c r="E577" s="883" t="s">
        <v>1412</v>
      </c>
      <c r="F577" s="883" t="s">
        <v>1413</v>
      </c>
      <c r="G577" s="883" t="s">
        <v>2189</v>
      </c>
      <c r="H577" s="883" t="s">
        <v>2543</v>
      </c>
      <c r="I577" s="883" t="s">
        <v>2538</v>
      </c>
      <c r="J577" s="884">
        <v>1.6</v>
      </c>
      <c r="K577" s="885">
        <v>0</v>
      </c>
      <c r="L577" s="886">
        <v>0</v>
      </c>
      <c r="M577" s="882"/>
    </row>
    <row r="578" spans="1:13" ht="12.75">
      <c r="A578" s="882"/>
      <c r="B578" s="882"/>
      <c r="C578" s="882"/>
      <c r="D578" s="882"/>
      <c r="E578" s="883" t="s">
        <v>1414</v>
      </c>
      <c r="F578" s="883" t="s">
        <v>1361</v>
      </c>
      <c r="G578" s="883" t="s">
        <v>2182</v>
      </c>
      <c r="H578" s="883" t="s">
        <v>2063</v>
      </c>
      <c r="I578" s="883" t="s">
        <v>2627</v>
      </c>
      <c r="J578" s="885">
        <v>0</v>
      </c>
      <c r="K578" s="885">
        <v>0</v>
      </c>
      <c r="L578" s="886">
        <v>1.3</v>
      </c>
      <c r="M578" s="882"/>
    </row>
    <row r="579" spans="1:13" ht="12.75">
      <c r="A579" s="882"/>
      <c r="B579" s="882"/>
      <c r="C579" s="882"/>
      <c r="D579" s="882"/>
      <c r="E579" s="883" t="s">
        <v>1414</v>
      </c>
      <c r="F579" s="883" t="s">
        <v>1361</v>
      </c>
      <c r="G579" s="883" t="s">
        <v>2182</v>
      </c>
      <c r="H579" s="883" t="s">
        <v>2063</v>
      </c>
      <c r="I579" s="883" t="s">
        <v>2538</v>
      </c>
      <c r="J579" s="884">
        <v>14</v>
      </c>
      <c r="K579" s="885">
        <v>15.496</v>
      </c>
      <c r="L579" s="886">
        <v>15.4952</v>
      </c>
      <c r="M579" s="882"/>
    </row>
    <row r="580" spans="1:13" ht="12.75">
      <c r="A580" s="882"/>
      <c r="B580" s="882"/>
      <c r="C580" s="882"/>
      <c r="D580" s="882"/>
      <c r="E580" s="883" t="s">
        <v>1415</v>
      </c>
      <c r="F580" s="883" t="s">
        <v>1416</v>
      </c>
      <c r="G580" s="883" t="s">
        <v>2189</v>
      </c>
      <c r="H580" s="883" t="s">
        <v>2543</v>
      </c>
      <c r="I580" s="883" t="s">
        <v>2538</v>
      </c>
      <c r="J580" s="884">
        <v>0.8</v>
      </c>
      <c r="K580" s="885">
        <v>0</v>
      </c>
      <c r="L580" s="886">
        <v>0</v>
      </c>
      <c r="M580" s="882"/>
    </row>
    <row r="581" spans="1:13" ht="12.75">
      <c r="A581" s="882"/>
      <c r="B581" s="882"/>
      <c r="C581" s="882"/>
      <c r="D581" s="882"/>
      <c r="E581" s="883" t="s">
        <v>1417</v>
      </c>
      <c r="F581" s="883" t="s">
        <v>1418</v>
      </c>
      <c r="G581" s="883" t="s">
        <v>2189</v>
      </c>
      <c r="H581" s="883" t="s">
        <v>2063</v>
      </c>
      <c r="I581" s="883" t="s">
        <v>2538</v>
      </c>
      <c r="J581" s="884">
        <v>3.5</v>
      </c>
      <c r="K581" s="885">
        <v>3.592</v>
      </c>
      <c r="L581" s="886">
        <v>3.5911</v>
      </c>
      <c r="M581" s="882"/>
    </row>
    <row r="582" spans="1:13" ht="12.75">
      <c r="A582" s="882"/>
      <c r="B582" s="882"/>
      <c r="C582" s="882"/>
      <c r="D582" s="882"/>
      <c r="E582" s="883" t="s">
        <v>1419</v>
      </c>
      <c r="F582" s="883" t="s">
        <v>1296</v>
      </c>
      <c r="G582" s="883" t="s">
        <v>2189</v>
      </c>
      <c r="H582" s="883" t="s">
        <v>2543</v>
      </c>
      <c r="I582" s="883" t="s">
        <v>2538</v>
      </c>
      <c r="J582" s="884">
        <v>2</v>
      </c>
      <c r="K582" s="885">
        <v>0</v>
      </c>
      <c r="L582" s="886">
        <v>0</v>
      </c>
      <c r="M582" s="882"/>
    </row>
    <row r="583" spans="1:13" ht="12.75">
      <c r="A583" s="882"/>
      <c r="B583" s="882"/>
      <c r="C583" s="882"/>
      <c r="D583" s="882"/>
      <c r="E583" s="883" t="s">
        <v>1420</v>
      </c>
      <c r="F583" s="883" t="s">
        <v>1421</v>
      </c>
      <c r="G583" s="883" t="s">
        <v>2189</v>
      </c>
      <c r="H583" s="883" t="s">
        <v>2063</v>
      </c>
      <c r="I583" s="883" t="s">
        <v>2538</v>
      </c>
      <c r="J583" s="884">
        <v>2</v>
      </c>
      <c r="K583" s="885">
        <v>1.803</v>
      </c>
      <c r="L583" s="886">
        <v>1.80264473</v>
      </c>
      <c r="M583" s="882"/>
    </row>
    <row r="584" spans="1:13" ht="12.75">
      <c r="A584" s="882"/>
      <c r="B584" s="882"/>
      <c r="C584" s="882"/>
      <c r="D584" s="882"/>
      <c r="E584" s="883" t="s">
        <v>1422</v>
      </c>
      <c r="F584" s="883" t="s">
        <v>1423</v>
      </c>
      <c r="G584" s="883" t="s">
        <v>2189</v>
      </c>
      <c r="H584" s="883" t="s">
        <v>2543</v>
      </c>
      <c r="I584" s="883" t="s">
        <v>2538</v>
      </c>
      <c r="J584" s="884">
        <v>0.1</v>
      </c>
      <c r="K584" s="885">
        <v>0</v>
      </c>
      <c r="L584" s="886">
        <v>0</v>
      </c>
      <c r="M584" s="882"/>
    </row>
    <row r="585" spans="1:13" ht="12.75">
      <c r="A585" s="882"/>
      <c r="B585" s="882"/>
      <c r="C585" s="882"/>
      <c r="D585" s="882"/>
      <c r="E585" s="883" t="s">
        <v>1424</v>
      </c>
      <c r="F585" s="883" t="s">
        <v>1425</v>
      </c>
      <c r="G585" s="883" t="s">
        <v>2189</v>
      </c>
      <c r="H585" s="883" t="s">
        <v>2063</v>
      </c>
      <c r="I585" s="883" t="s">
        <v>2538</v>
      </c>
      <c r="J585" s="884">
        <v>0.07</v>
      </c>
      <c r="K585" s="885">
        <v>0.066</v>
      </c>
      <c r="L585" s="886">
        <v>0.066</v>
      </c>
      <c r="M585" s="882"/>
    </row>
    <row r="586" spans="1:13" ht="12.75">
      <c r="A586" s="882"/>
      <c r="B586" s="882"/>
      <c r="C586" s="882"/>
      <c r="D586" s="882"/>
      <c r="E586" s="883" t="s">
        <v>1426</v>
      </c>
      <c r="F586" s="883" t="s">
        <v>1427</v>
      </c>
      <c r="G586" s="883" t="s">
        <v>2189</v>
      </c>
      <c r="H586" s="883" t="s">
        <v>2063</v>
      </c>
      <c r="I586" s="883" t="s">
        <v>2538</v>
      </c>
      <c r="J586" s="884">
        <v>0.06</v>
      </c>
      <c r="K586" s="885">
        <v>0.064</v>
      </c>
      <c r="L586" s="886">
        <v>0.064</v>
      </c>
      <c r="M586" s="882"/>
    </row>
    <row r="587" spans="1:13" ht="12.75">
      <c r="A587" s="882"/>
      <c r="B587" s="882"/>
      <c r="C587" s="882"/>
      <c r="D587" s="882"/>
      <c r="E587" s="883" t="s">
        <v>1428</v>
      </c>
      <c r="F587" s="883" t="s">
        <v>1429</v>
      </c>
      <c r="G587" s="883" t="s">
        <v>2189</v>
      </c>
      <c r="H587" s="883" t="s">
        <v>2063</v>
      </c>
      <c r="I587" s="883" t="s">
        <v>2538</v>
      </c>
      <c r="J587" s="884">
        <v>0.07</v>
      </c>
      <c r="K587" s="885">
        <v>0.077</v>
      </c>
      <c r="L587" s="886">
        <v>0.076945</v>
      </c>
      <c r="M587" s="882"/>
    </row>
    <row r="588" spans="1:13" ht="12.75">
      <c r="A588" s="882"/>
      <c r="B588" s="882"/>
      <c r="C588" s="882"/>
      <c r="D588" s="882"/>
      <c r="E588" s="883" t="s">
        <v>1430</v>
      </c>
      <c r="F588" s="883" t="s">
        <v>1431</v>
      </c>
      <c r="G588" s="883" t="s">
        <v>2189</v>
      </c>
      <c r="H588" s="883" t="s">
        <v>2063</v>
      </c>
      <c r="I588" s="883" t="s">
        <v>2538</v>
      </c>
      <c r="J588" s="884">
        <v>0.6</v>
      </c>
      <c r="K588" s="885">
        <v>0.6</v>
      </c>
      <c r="L588" s="886">
        <v>0.599998</v>
      </c>
      <c r="M588" s="882"/>
    </row>
    <row r="589" spans="1:13" ht="12.75">
      <c r="A589" s="882"/>
      <c r="B589" s="882"/>
      <c r="C589" s="882"/>
      <c r="D589" s="882"/>
      <c r="E589" s="883" t="s">
        <v>1432</v>
      </c>
      <c r="F589" s="883" t="s">
        <v>1433</v>
      </c>
      <c r="G589" s="883" t="s">
        <v>2189</v>
      </c>
      <c r="H589" s="883" t="s">
        <v>2063</v>
      </c>
      <c r="I589" s="883" t="s">
        <v>2538</v>
      </c>
      <c r="J589" s="884">
        <v>1</v>
      </c>
      <c r="K589" s="885">
        <v>0.983</v>
      </c>
      <c r="L589" s="886">
        <v>0.9825069</v>
      </c>
      <c r="M589" s="882"/>
    </row>
    <row r="590" spans="1:13" ht="12.75">
      <c r="A590" s="882"/>
      <c r="B590" s="882"/>
      <c r="C590" s="882"/>
      <c r="D590" s="882"/>
      <c r="E590" s="883" t="s">
        <v>1434</v>
      </c>
      <c r="F590" s="883" t="s">
        <v>1435</v>
      </c>
      <c r="G590" s="883" t="s">
        <v>2189</v>
      </c>
      <c r="H590" s="883" t="s">
        <v>2543</v>
      </c>
      <c r="I590" s="883" t="s">
        <v>2538</v>
      </c>
      <c r="J590" s="884">
        <v>0.2</v>
      </c>
      <c r="K590" s="885">
        <v>0</v>
      </c>
      <c r="L590" s="886">
        <v>0</v>
      </c>
      <c r="M590" s="882"/>
    </row>
    <row r="591" spans="1:13" ht="12.75">
      <c r="A591" s="882"/>
      <c r="B591" s="882"/>
      <c r="C591" s="882"/>
      <c r="D591" s="882"/>
      <c r="E591" s="883" t="s">
        <v>1436</v>
      </c>
      <c r="F591" s="883" t="s">
        <v>1437</v>
      </c>
      <c r="G591" s="883" t="s">
        <v>2189</v>
      </c>
      <c r="H591" s="883" t="s">
        <v>2063</v>
      </c>
      <c r="I591" s="883" t="s">
        <v>2538</v>
      </c>
      <c r="J591" s="884">
        <v>0.6</v>
      </c>
      <c r="K591" s="885">
        <v>0.594</v>
      </c>
      <c r="L591" s="886">
        <v>0.5937025</v>
      </c>
      <c r="M591" s="882"/>
    </row>
    <row r="592" spans="1:13" ht="12.75">
      <c r="A592" s="882"/>
      <c r="B592" s="882"/>
      <c r="C592" s="882"/>
      <c r="D592" s="882"/>
      <c r="E592" s="883" t="s">
        <v>1438</v>
      </c>
      <c r="F592" s="883" t="s">
        <v>1439</v>
      </c>
      <c r="G592" s="883" t="s">
        <v>2189</v>
      </c>
      <c r="H592" s="883" t="s">
        <v>2063</v>
      </c>
      <c r="I592" s="883" t="s">
        <v>2538</v>
      </c>
      <c r="J592" s="884">
        <v>0.15</v>
      </c>
      <c r="K592" s="885">
        <v>0.15</v>
      </c>
      <c r="L592" s="886">
        <v>0.15</v>
      </c>
      <c r="M592" s="882"/>
    </row>
    <row r="593" spans="1:13" ht="12.75">
      <c r="A593" s="882"/>
      <c r="B593" s="882"/>
      <c r="C593" s="882"/>
      <c r="D593" s="882"/>
      <c r="E593" s="883" t="s">
        <v>1440</v>
      </c>
      <c r="F593" s="883" t="s">
        <v>1441</v>
      </c>
      <c r="G593" s="883" t="s">
        <v>2189</v>
      </c>
      <c r="H593" s="883" t="s">
        <v>2063</v>
      </c>
      <c r="I593" s="883" t="s">
        <v>2538</v>
      </c>
      <c r="J593" s="884">
        <v>0.3</v>
      </c>
      <c r="K593" s="885">
        <v>0.309</v>
      </c>
      <c r="L593" s="886">
        <v>0.30874074</v>
      </c>
      <c r="M593" s="882"/>
    </row>
    <row r="594" spans="1:13" ht="12.75">
      <c r="A594" s="882"/>
      <c r="B594" s="882"/>
      <c r="C594" s="882"/>
      <c r="D594" s="882"/>
      <c r="E594" s="883" t="s">
        <v>1442</v>
      </c>
      <c r="F594" s="883" t="s">
        <v>1443</v>
      </c>
      <c r="G594" s="883" t="s">
        <v>2189</v>
      </c>
      <c r="H594" s="883" t="s">
        <v>2063</v>
      </c>
      <c r="I594" s="883" t="s">
        <v>2538</v>
      </c>
      <c r="J594" s="884">
        <v>0.6</v>
      </c>
      <c r="K594" s="885">
        <v>0.599</v>
      </c>
      <c r="L594" s="886">
        <v>0.5986156</v>
      </c>
      <c r="M594" s="882"/>
    </row>
    <row r="595" spans="1:13" ht="12.75">
      <c r="A595" s="882"/>
      <c r="B595" s="882"/>
      <c r="C595" s="882"/>
      <c r="D595" s="882"/>
      <c r="E595" s="883" t="s">
        <v>1444</v>
      </c>
      <c r="F595" s="883" t="s">
        <v>1281</v>
      </c>
      <c r="G595" s="883" t="s">
        <v>2192</v>
      </c>
      <c r="H595" s="883" t="s">
        <v>2543</v>
      </c>
      <c r="I595" s="883" t="s">
        <v>2538</v>
      </c>
      <c r="J595" s="884">
        <v>0.95</v>
      </c>
      <c r="K595" s="885">
        <v>0</v>
      </c>
      <c r="L595" s="886">
        <v>0</v>
      </c>
      <c r="M595" s="882"/>
    </row>
    <row r="596" spans="1:13" ht="12.75">
      <c r="A596" s="882"/>
      <c r="B596" s="882"/>
      <c r="C596" s="882"/>
      <c r="D596" s="882"/>
      <c r="E596" s="883" t="s">
        <v>1445</v>
      </c>
      <c r="F596" s="883" t="s">
        <v>1296</v>
      </c>
      <c r="G596" s="883" t="s">
        <v>2192</v>
      </c>
      <c r="H596" s="883" t="s">
        <v>2543</v>
      </c>
      <c r="I596" s="883" t="s">
        <v>2538</v>
      </c>
      <c r="J596" s="884">
        <v>2.85</v>
      </c>
      <c r="K596" s="885">
        <v>0</v>
      </c>
      <c r="L596" s="886">
        <v>0</v>
      </c>
      <c r="M596" s="882"/>
    </row>
    <row r="597" spans="1:13" ht="12.75">
      <c r="A597" s="882"/>
      <c r="B597" s="882"/>
      <c r="C597" s="882"/>
      <c r="D597" s="882"/>
      <c r="E597" s="883" t="s">
        <v>1446</v>
      </c>
      <c r="F597" s="883" t="s">
        <v>1447</v>
      </c>
      <c r="G597" s="883" t="s">
        <v>2192</v>
      </c>
      <c r="H597" s="883" t="s">
        <v>2063</v>
      </c>
      <c r="I597" s="883" t="s">
        <v>2538</v>
      </c>
      <c r="J597" s="884">
        <v>1.15</v>
      </c>
      <c r="K597" s="885">
        <v>1.63</v>
      </c>
      <c r="L597" s="886">
        <v>1.62853863</v>
      </c>
      <c r="M597" s="882"/>
    </row>
    <row r="598" spans="1:13" ht="12.75">
      <c r="A598" s="882"/>
      <c r="B598" s="882"/>
      <c r="C598" s="882"/>
      <c r="D598" s="882"/>
      <c r="E598" s="883" t="s">
        <v>1448</v>
      </c>
      <c r="F598" s="883" t="s">
        <v>1449</v>
      </c>
      <c r="G598" s="883" t="s">
        <v>2191</v>
      </c>
      <c r="H598" s="883" t="s">
        <v>2063</v>
      </c>
      <c r="I598" s="883" t="s">
        <v>2538</v>
      </c>
      <c r="J598" s="884">
        <v>8.5</v>
      </c>
      <c r="K598" s="885">
        <v>8.5</v>
      </c>
      <c r="L598" s="886">
        <v>8.499932</v>
      </c>
      <c r="M598" s="882"/>
    </row>
    <row r="599" spans="1:13" ht="12.75">
      <c r="A599" s="882"/>
      <c r="B599" s="882"/>
      <c r="C599" s="882"/>
      <c r="D599" s="882"/>
      <c r="E599" s="883" t="s">
        <v>1450</v>
      </c>
      <c r="F599" s="883" t="s">
        <v>1451</v>
      </c>
      <c r="G599" s="883" t="s">
        <v>2191</v>
      </c>
      <c r="H599" s="883" t="s">
        <v>2543</v>
      </c>
      <c r="I599" s="883" t="s">
        <v>2538</v>
      </c>
      <c r="J599" s="884">
        <v>4.75</v>
      </c>
      <c r="K599" s="885">
        <v>0</v>
      </c>
      <c r="L599" s="886">
        <v>0</v>
      </c>
      <c r="M599" s="882"/>
    </row>
    <row r="600" spans="1:13" ht="12.75">
      <c r="A600" s="882"/>
      <c r="B600" s="882"/>
      <c r="C600" s="882"/>
      <c r="D600" s="882"/>
      <c r="E600" s="883" t="s">
        <v>1452</v>
      </c>
      <c r="F600" s="883" t="s">
        <v>1453</v>
      </c>
      <c r="G600" s="883" t="s">
        <v>2191</v>
      </c>
      <c r="H600" s="883" t="s">
        <v>2543</v>
      </c>
      <c r="I600" s="883" t="s">
        <v>2538</v>
      </c>
      <c r="J600" s="884">
        <v>3.45</v>
      </c>
      <c r="K600" s="885">
        <v>0</v>
      </c>
      <c r="L600" s="886">
        <v>0</v>
      </c>
      <c r="M600" s="882"/>
    </row>
    <row r="601" spans="1:13" ht="12.75">
      <c r="A601" s="882"/>
      <c r="B601" s="882"/>
      <c r="C601" s="882"/>
      <c r="D601" s="882"/>
      <c r="E601" s="883" t="s">
        <v>1454</v>
      </c>
      <c r="F601" s="883" t="s">
        <v>1455</v>
      </c>
      <c r="G601" s="883" t="s">
        <v>2191</v>
      </c>
      <c r="H601" s="883" t="s">
        <v>2543</v>
      </c>
      <c r="I601" s="883" t="s">
        <v>2538</v>
      </c>
      <c r="J601" s="884">
        <v>0.88</v>
      </c>
      <c r="K601" s="885">
        <v>0</v>
      </c>
      <c r="L601" s="886">
        <v>0</v>
      </c>
      <c r="M601" s="882"/>
    </row>
    <row r="602" spans="1:13" ht="12.75">
      <c r="A602" s="882"/>
      <c r="B602" s="882"/>
      <c r="C602" s="882"/>
      <c r="D602" s="882"/>
      <c r="E602" s="883" t="s">
        <v>1456</v>
      </c>
      <c r="F602" s="883" t="s">
        <v>1421</v>
      </c>
      <c r="G602" s="883" t="s">
        <v>2191</v>
      </c>
      <c r="H602" s="883" t="s">
        <v>2543</v>
      </c>
      <c r="I602" s="883" t="s">
        <v>2538</v>
      </c>
      <c r="J602" s="884">
        <v>1.5</v>
      </c>
      <c r="K602" s="885">
        <v>0</v>
      </c>
      <c r="L602" s="886">
        <v>0</v>
      </c>
      <c r="M602" s="882"/>
    </row>
    <row r="603" spans="1:13" ht="12.75">
      <c r="A603" s="882"/>
      <c r="B603" s="882"/>
      <c r="C603" s="882"/>
      <c r="D603" s="882"/>
      <c r="E603" s="883" t="s">
        <v>1457</v>
      </c>
      <c r="F603" s="883" t="s">
        <v>1458</v>
      </c>
      <c r="G603" s="883" t="s">
        <v>2190</v>
      </c>
      <c r="H603" s="883" t="s">
        <v>2543</v>
      </c>
      <c r="I603" s="883" t="s">
        <v>2538</v>
      </c>
      <c r="J603" s="884">
        <v>1.2</v>
      </c>
      <c r="K603" s="885">
        <v>0</v>
      </c>
      <c r="L603" s="886">
        <v>0</v>
      </c>
      <c r="M603" s="882"/>
    </row>
    <row r="604" spans="1:13" ht="12.75">
      <c r="A604" s="882"/>
      <c r="B604" s="882"/>
      <c r="C604" s="882"/>
      <c r="D604" s="882"/>
      <c r="E604" s="883" t="s">
        <v>1459</v>
      </c>
      <c r="F604" s="883" t="s">
        <v>1460</v>
      </c>
      <c r="G604" s="883" t="s">
        <v>2190</v>
      </c>
      <c r="H604" s="883" t="s">
        <v>2543</v>
      </c>
      <c r="I604" s="883" t="s">
        <v>2538</v>
      </c>
      <c r="J604" s="884">
        <v>0.45</v>
      </c>
      <c r="K604" s="885">
        <v>0</v>
      </c>
      <c r="L604" s="886">
        <v>0</v>
      </c>
      <c r="M604" s="882"/>
    </row>
    <row r="605" spans="1:13" ht="12.75">
      <c r="A605" s="882"/>
      <c r="B605" s="882"/>
      <c r="C605" s="882"/>
      <c r="D605" s="882"/>
      <c r="E605" s="883" t="s">
        <v>1461</v>
      </c>
      <c r="F605" s="883" t="s">
        <v>1462</v>
      </c>
      <c r="G605" s="883" t="s">
        <v>2190</v>
      </c>
      <c r="H605" s="883" t="s">
        <v>2063</v>
      </c>
      <c r="I605" s="883" t="s">
        <v>2538</v>
      </c>
      <c r="J605" s="884">
        <v>4.2</v>
      </c>
      <c r="K605" s="885">
        <v>5.187</v>
      </c>
      <c r="L605" s="886">
        <v>5.18692</v>
      </c>
      <c r="M605" s="882"/>
    </row>
    <row r="606" spans="1:13" ht="12.75">
      <c r="A606" s="882"/>
      <c r="B606" s="882"/>
      <c r="C606" s="882"/>
      <c r="D606" s="882"/>
      <c r="E606" s="883" t="s">
        <v>1463</v>
      </c>
      <c r="F606" s="883" t="s">
        <v>1464</v>
      </c>
      <c r="G606" s="883" t="s">
        <v>2190</v>
      </c>
      <c r="H606" s="883" t="s">
        <v>2543</v>
      </c>
      <c r="I606" s="883" t="s">
        <v>2538</v>
      </c>
      <c r="J606" s="884">
        <v>5.85</v>
      </c>
      <c r="K606" s="885">
        <v>0</v>
      </c>
      <c r="L606" s="886">
        <v>0</v>
      </c>
      <c r="M606" s="882"/>
    </row>
    <row r="607" spans="1:13" ht="12.75">
      <c r="A607" s="882"/>
      <c r="B607" s="882"/>
      <c r="C607" s="882"/>
      <c r="D607" s="882"/>
      <c r="E607" s="883" t="s">
        <v>1465</v>
      </c>
      <c r="F607" s="883" t="s">
        <v>1466</v>
      </c>
      <c r="G607" s="883" t="s">
        <v>2190</v>
      </c>
      <c r="H607" s="883" t="s">
        <v>2543</v>
      </c>
      <c r="I607" s="883" t="s">
        <v>2538</v>
      </c>
      <c r="J607" s="884">
        <v>0.06</v>
      </c>
      <c r="K607" s="885">
        <v>0</v>
      </c>
      <c r="L607" s="886">
        <v>0</v>
      </c>
      <c r="M607" s="882"/>
    </row>
    <row r="608" spans="1:13" ht="12.75">
      <c r="A608" s="882"/>
      <c r="B608" s="882"/>
      <c r="C608" s="882"/>
      <c r="D608" s="882"/>
      <c r="E608" s="883" t="s">
        <v>1467</v>
      </c>
      <c r="F608" s="883" t="s">
        <v>1468</v>
      </c>
      <c r="G608" s="883" t="s">
        <v>2194</v>
      </c>
      <c r="H608" s="883" t="s">
        <v>2063</v>
      </c>
      <c r="I608" s="883" t="s">
        <v>2538</v>
      </c>
      <c r="J608" s="884">
        <v>12.664</v>
      </c>
      <c r="K608" s="885">
        <v>10.681</v>
      </c>
      <c r="L608" s="886">
        <v>10.680135</v>
      </c>
      <c r="M608" s="882"/>
    </row>
    <row r="609" spans="1:13" ht="12.75">
      <c r="A609" s="882"/>
      <c r="B609" s="882"/>
      <c r="C609" s="882"/>
      <c r="D609" s="882"/>
      <c r="E609" s="883" t="s">
        <v>1469</v>
      </c>
      <c r="F609" s="883" t="s">
        <v>1470</v>
      </c>
      <c r="G609" s="883" t="s">
        <v>2478</v>
      </c>
      <c r="H609" s="883" t="s">
        <v>2063</v>
      </c>
      <c r="I609" s="883" t="s">
        <v>2538</v>
      </c>
      <c r="J609" s="885">
        <v>0</v>
      </c>
      <c r="K609" s="885">
        <v>3.78</v>
      </c>
      <c r="L609" s="886">
        <v>3.78</v>
      </c>
      <c r="M609" s="882"/>
    </row>
    <row r="610" spans="1:13" ht="12.75">
      <c r="A610" s="882"/>
      <c r="B610" s="882"/>
      <c r="C610" s="882"/>
      <c r="D610" s="882"/>
      <c r="E610" s="883" t="s">
        <v>1471</v>
      </c>
      <c r="F610" s="883" t="s">
        <v>1472</v>
      </c>
      <c r="G610" s="883" t="s">
        <v>2279</v>
      </c>
      <c r="H610" s="883" t="s">
        <v>2063</v>
      </c>
      <c r="I610" s="883" t="s">
        <v>2538</v>
      </c>
      <c r="J610" s="885">
        <v>0</v>
      </c>
      <c r="K610" s="885">
        <v>1.587</v>
      </c>
      <c r="L610" s="886">
        <v>1.586865</v>
      </c>
      <c r="M610" s="882"/>
    </row>
    <row r="611" spans="1:13" ht="12.75">
      <c r="A611" s="882"/>
      <c r="B611" s="882"/>
      <c r="C611" s="882"/>
      <c r="D611" s="882"/>
      <c r="E611" s="883" t="s">
        <v>1473</v>
      </c>
      <c r="F611" s="883" t="s">
        <v>1474</v>
      </c>
      <c r="G611" s="883" t="s">
        <v>2180</v>
      </c>
      <c r="H611" s="883" t="s">
        <v>2063</v>
      </c>
      <c r="I611" s="883" t="s">
        <v>2538</v>
      </c>
      <c r="J611" s="885">
        <v>0</v>
      </c>
      <c r="K611" s="885">
        <v>2.3</v>
      </c>
      <c r="L611" s="886">
        <v>2.29908</v>
      </c>
      <c r="M611" s="882"/>
    </row>
    <row r="612" spans="1:13" ht="12.75">
      <c r="A612" s="882"/>
      <c r="B612" s="882"/>
      <c r="C612" s="882"/>
      <c r="D612" s="882"/>
      <c r="E612" s="883" t="s">
        <v>1475</v>
      </c>
      <c r="F612" s="883" t="s">
        <v>1476</v>
      </c>
      <c r="G612" s="883" t="s">
        <v>2180</v>
      </c>
      <c r="H612" s="883" t="s">
        <v>2063</v>
      </c>
      <c r="I612" s="883" t="s">
        <v>2538</v>
      </c>
      <c r="J612" s="885">
        <v>0</v>
      </c>
      <c r="K612" s="885">
        <v>1.1</v>
      </c>
      <c r="L612" s="886">
        <v>1.1</v>
      </c>
      <c r="M612" s="882"/>
    </row>
    <row r="613" spans="1:13" ht="12.75">
      <c r="A613" s="882"/>
      <c r="B613" s="882"/>
      <c r="C613" s="882"/>
      <c r="D613" s="882"/>
      <c r="E613" s="883" t="s">
        <v>1477</v>
      </c>
      <c r="F613" s="883" t="s">
        <v>1478</v>
      </c>
      <c r="G613" s="883" t="s">
        <v>2185</v>
      </c>
      <c r="H613" s="883" t="s">
        <v>2063</v>
      </c>
      <c r="I613" s="883" t="s">
        <v>2538</v>
      </c>
      <c r="J613" s="885">
        <v>0</v>
      </c>
      <c r="K613" s="885">
        <v>0.416</v>
      </c>
      <c r="L613" s="886">
        <v>0.415237</v>
      </c>
      <c r="M613" s="882"/>
    </row>
    <row r="614" spans="1:13" ht="12.75">
      <c r="A614" s="882"/>
      <c r="B614" s="882"/>
      <c r="C614" s="882"/>
      <c r="D614" s="882"/>
      <c r="E614" s="883" t="s">
        <v>1479</v>
      </c>
      <c r="F614" s="883" t="s">
        <v>1480</v>
      </c>
      <c r="G614" s="883" t="s">
        <v>2185</v>
      </c>
      <c r="H614" s="883" t="s">
        <v>2063</v>
      </c>
      <c r="I614" s="883" t="s">
        <v>2538</v>
      </c>
      <c r="J614" s="885">
        <v>0</v>
      </c>
      <c r="K614" s="885">
        <v>3.58</v>
      </c>
      <c r="L614" s="886">
        <v>3.579643</v>
      </c>
      <c r="M614" s="882"/>
    </row>
    <row r="615" spans="1:13" ht="12.75">
      <c r="A615" s="882"/>
      <c r="B615" s="882"/>
      <c r="C615" s="882"/>
      <c r="D615" s="882"/>
      <c r="E615" s="883" t="s">
        <v>1481</v>
      </c>
      <c r="F615" s="883" t="s">
        <v>1381</v>
      </c>
      <c r="G615" s="883" t="s">
        <v>2190</v>
      </c>
      <c r="H615" s="883" t="s">
        <v>2063</v>
      </c>
      <c r="I615" s="883" t="s">
        <v>2538</v>
      </c>
      <c r="J615" s="885">
        <v>0</v>
      </c>
      <c r="K615" s="885">
        <v>4.996</v>
      </c>
      <c r="L615" s="886">
        <v>4.995663</v>
      </c>
      <c r="M615" s="882"/>
    </row>
    <row r="616" spans="1:13" ht="12.75">
      <c r="A616" s="882"/>
      <c r="B616" s="882"/>
      <c r="C616" s="882"/>
      <c r="D616" s="882"/>
      <c r="E616" s="883" t="s">
        <v>1482</v>
      </c>
      <c r="F616" s="883" t="s">
        <v>1483</v>
      </c>
      <c r="G616" s="883" t="s">
        <v>2183</v>
      </c>
      <c r="H616" s="883" t="s">
        <v>2063</v>
      </c>
      <c r="I616" s="883" t="s">
        <v>2627</v>
      </c>
      <c r="J616" s="885">
        <v>0</v>
      </c>
      <c r="K616" s="885">
        <v>0</v>
      </c>
      <c r="L616" s="886">
        <v>6.7971</v>
      </c>
      <c r="M616" s="882"/>
    </row>
    <row r="617" spans="1:13" ht="12.75">
      <c r="A617" s="882"/>
      <c r="B617" s="882"/>
      <c r="C617" s="882"/>
      <c r="D617" s="882"/>
      <c r="E617" s="883" t="s">
        <v>1484</v>
      </c>
      <c r="F617" s="883" t="s">
        <v>1485</v>
      </c>
      <c r="G617" s="883" t="s">
        <v>2180</v>
      </c>
      <c r="H617" s="883" t="s">
        <v>2063</v>
      </c>
      <c r="I617" s="883" t="s">
        <v>2627</v>
      </c>
      <c r="J617" s="885">
        <v>0</v>
      </c>
      <c r="K617" s="885">
        <v>0</v>
      </c>
      <c r="L617" s="886">
        <v>0.099992</v>
      </c>
      <c r="M617" s="882"/>
    </row>
    <row r="618" spans="1:13" ht="12.75">
      <c r="A618" s="882"/>
      <c r="B618" s="882"/>
      <c r="C618" s="882"/>
      <c r="D618" s="882"/>
      <c r="E618" s="883" t="s">
        <v>1486</v>
      </c>
      <c r="F618" s="883" t="s">
        <v>1487</v>
      </c>
      <c r="G618" s="883" t="s">
        <v>2180</v>
      </c>
      <c r="H618" s="883" t="s">
        <v>2063</v>
      </c>
      <c r="I618" s="883" t="s">
        <v>2627</v>
      </c>
      <c r="J618" s="885">
        <v>0</v>
      </c>
      <c r="K618" s="885">
        <v>0</v>
      </c>
      <c r="L618" s="886">
        <v>0.099841</v>
      </c>
      <c r="M618" s="882"/>
    </row>
    <row r="619" spans="1:13" ht="12.75">
      <c r="A619" s="882"/>
      <c r="B619" s="882"/>
      <c r="C619" s="882"/>
      <c r="D619" s="882"/>
      <c r="E619" s="883" t="s">
        <v>1488</v>
      </c>
      <c r="F619" s="883" t="s">
        <v>1489</v>
      </c>
      <c r="G619" s="883" t="s">
        <v>2191</v>
      </c>
      <c r="H619" s="883" t="s">
        <v>2063</v>
      </c>
      <c r="I619" s="883" t="s">
        <v>2538</v>
      </c>
      <c r="J619" s="885">
        <v>0</v>
      </c>
      <c r="K619" s="885">
        <v>7.83</v>
      </c>
      <c r="L619" s="886">
        <v>7.82901</v>
      </c>
      <c r="M619" s="882"/>
    </row>
    <row r="620" spans="1:13" ht="12.75">
      <c r="A620" s="882"/>
      <c r="B620" s="882"/>
      <c r="C620" s="882"/>
      <c r="D620" s="882"/>
      <c r="E620" s="883" t="s">
        <v>1490</v>
      </c>
      <c r="F620" s="883" t="s">
        <v>1491</v>
      </c>
      <c r="G620" s="883" t="s">
        <v>2187</v>
      </c>
      <c r="H620" s="883" t="s">
        <v>2063</v>
      </c>
      <c r="I620" s="883" t="s">
        <v>2627</v>
      </c>
      <c r="J620" s="885">
        <v>0</v>
      </c>
      <c r="K620" s="885">
        <v>0</v>
      </c>
      <c r="L620" s="886">
        <v>1.145702</v>
      </c>
      <c r="M620" s="882"/>
    </row>
    <row r="621" spans="1:13" ht="12.75">
      <c r="A621" s="882"/>
      <c r="B621" s="882"/>
      <c r="C621" s="882"/>
      <c r="D621" s="882"/>
      <c r="E621" s="883" t="s">
        <v>1492</v>
      </c>
      <c r="F621" s="883" t="s">
        <v>1493</v>
      </c>
      <c r="G621" s="883" t="s">
        <v>2191</v>
      </c>
      <c r="H621" s="883" t="s">
        <v>2063</v>
      </c>
      <c r="I621" s="883" t="s">
        <v>2627</v>
      </c>
      <c r="J621" s="885">
        <v>0</v>
      </c>
      <c r="K621" s="885">
        <v>0</v>
      </c>
      <c r="L621" s="886">
        <v>1.89805</v>
      </c>
      <c r="M621" s="882"/>
    </row>
    <row r="622" spans="1:13" ht="12.75">
      <c r="A622" s="882"/>
      <c r="B622" s="882"/>
      <c r="C622" s="882"/>
      <c r="D622" s="882"/>
      <c r="E622" s="883" t="s">
        <v>1494</v>
      </c>
      <c r="F622" s="883" t="s">
        <v>1495</v>
      </c>
      <c r="G622" s="883" t="s">
        <v>2194</v>
      </c>
      <c r="H622" s="883" t="s">
        <v>2063</v>
      </c>
      <c r="I622" s="883" t="s">
        <v>2538</v>
      </c>
      <c r="J622" s="885">
        <v>0</v>
      </c>
      <c r="K622" s="885">
        <v>0.319</v>
      </c>
      <c r="L622" s="886">
        <v>0.31899</v>
      </c>
      <c r="M622" s="882"/>
    </row>
    <row r="623" spans="1:13" ht="12.75">
      <c r="A623" s="882"/>
      <c r="B623" s="882"/>
      <c r="C623" s="882"/>
      <c r="D623" s="882"/>
      <c r="E623" s="883" t="s">
        <v>1496</v>
      </c>
      <c r="F623" s="883" t="s">
        <v>1497</v>
      </c>
      <c r="G623" s="883" t="s">
        <v>2194</v>
      </c>
      <c r="H623" s="883" t="s">
        <v>2063</v>
      </c>
      <c r="I623" s="883" t="s">
        <v>2538</v>
      </c>
      <c r="J623" s="885">
        <v>0</v>
      </c>
      <c r="K623" s="885">
        <v>0.41</v>
      </c>
      <c r="L623" s="886">
        <v>0.409479</v>
      </c>
      <c r="M623" s="882"/>
    </row>
    <row r="624" spans="1:13" ht="12.75">
      <c r="A624" s="882"/>
      <c r="B624" s="882"/>
      <c r="C624" s="882"/>
      <c r="D624" s="882"/>
      <c r="E624" s="883" t="s">
        <v>1498</v>
      </c>
      <c r="F624" s="883" t="s">
        <v>1499</v>
      </c>
      <c r="G624" s="883" t="s">
        <v>2279</v>
      </c>
      <c r="H624" s="883" t="s">
        <v>2063</v>
      </c>
      <c r="I624" s="883" t="s">
        <v>2538</v>
      </c>
      <c r="J624" s="885">
        <v>0</v>
      </c>
      <c r="K624" s="885">
        <v>0.25</v>
      </c>
      <c r="L624" s="886">
        <v>0.24995</v>
      </c>
      <c r="M624" s="882"/>
    </row>
    <row r="625" spans="1:13" ht="12.75">
      <c r="A625" s="882"/>
      <c r="B625" s="882"/>
      <c r="C625" s="882"/>
      <c r="D625" s="882"/>
      <c r="E625" s="883" t="s">
        <v>1500</v>
      </c>
      <c r="F625" s="883" t="s">
        <v>1501</v>
      </c>
      <c r="G625" s="883" t="s">
        <v>2184</v>
      </c>
      <c r="H625" s="883" t="s">
        <v>2063</v>
      </c>
      <c r="I625" s="883" t="s">
        <v>2538</v>
      </c>
      <c r="J625" s="885">
        <v>0</v>
      </c>
      <c r="K625" s="885">
        <v>0.043</v>
      </c>
      <c r="L625" s="886">
        <v>0.043</v>
      </c>
      <c r="M625" s="882"/>
    </row>
    <row r="626" spans="1:13" ht="12.75">
      <c r="A626" s="882"/>
      <c r="B626" s="882"/>
      <c r="C626" s="882"/>
      <c r="D626" s="882"/>
      <c r="E626" s="883" t="s">
        <v>1502</v>
      </c>
      <c r="F626" s="883" t="s">
        <v>1503</v>
      </c>
      <c r="G626" s="883" t="s">
        <v>2190</v>
      </c>
      <c r="H626" s="883" t="s">
        <v>2063</v>
      </c>
      <c r="I626" s="883" t="s">
        <v>2538</v>
      </c>
      <c r="J626" s="885">
        <v>0</v>
      </c>
      <c r="K626" s="885">
        <v>0.024</v>
      </c>
      <c r="L626" s="886">
        <v>0.02304</v>
      </c>
      <c r="M626" s="882"/>
    </row>
    <row r="627" spans="1:13" ht="12.75">
      <c r="A627" s="882"/>
      <c r="B627" s="882"/>
      <c r="C627" s="882"/>
      <c r="D627" s="882"/>
      <c r="E627" s="883" t="s">
        <v>1502</v>
      </c>
      <c r="F627" s="883" t="s">
        <v>1503</v>
      </c>
      <c r="G627" s="883" t="s">
        <v>2190</v>
      </c>
      <c r="H627" s="883" t="s">
        <v>2063</v>
      </c>
      <c r="I627" s="883" t="s">
        <v>2627</v>
      </c>
      <c r="J627" s="885">
        <v>0</v>
      </c>
      <c r="K627" s="885">
        <v>0</v>
      </c>
      <c r="L627" s="886">
        <v>1.9</v>
      </c>
      <c r="M627" s="882"/>
    </row>
    <row r="628" spans="1:13" ht="12.75">
      <c r="A628" s="882"/>
      <c r="B628" s="882"/>
      <c r="C628" s="882"/>
      <c r="D628" s="882"/>
      <c r="E628" s="883" t="s">
        <v>1504</v>
      </c>
      <c r="F628" s="883" t="s">
        <v>1505</v>
      </c>
      <c r="G628" s="883" t="s">
        <v>2194</v>
      </c>
      <c r="H628" s="883" t="s">
        <v>2063</v>
      </c>
      <c r="I628" s="883" t="s">
        <v>2538</v>
      </c>
      <c r="J628" s="885">
        <v>0</v>
      </c>
      <c r="K628" s="885">
        <v>0.149</v>
      </c>
      <c r="L628" s="886">
        <v>0.1488</v>
      </c>
      <c r="M628" s="882"/>
    </row>
    <row r="629" spans="1:13" ht="12.75">
      <c r="A629" s="882"/>
      <c r="B629" s="882"/>
      <c r="C629" s="882"/>
      <c r="D629" s="882"/>
      <c r="E629" s="883" t="s">
        <v>1506</v>
      </c>
      <c r="F629" s="883" t="s">
        <v>1507</v>
      </c>
      <c r="G629" s="883" t="s">
        <v>2192</v>
      </c>
      <c r="H629" s="883" t="s">
        <v>2063</v>
      </c>
      <c r="I629" s="883" t="s">
        <v>2627</v>
      </c>
      <c r="J629" s="885">
        <v>0</v>
      </c>
      <c r="K629" s="885">
        <v>0</v>
      </c>
      <c r="L629" s="886">
        <v>2.349774</v>
      </c>
      <c r="M629" s="882"/>
    </row>
    <row r="630" spans="1:13" ht="12.75">
      <c r="A630" s="882"/>
      <c r="B630" s="882"/>
      <c r="C630" s="882"/>
      <c r="D630" s="882"/>
      <c r="E630" s="883" t="s">
        <v>1508</v>
      </c>
      <c r="F630" s="883" t="s">
        <v>1509</v>
      </c>
      <c r="G630" s="883" t="s">
        <v>2191</v>
      </c>
      <c r="H630" s="883" t="s">
        <v>2063</v>
      </c>
      <c r="I630" s="883" t="s">
        <v>2538</v>
      </c>
      <c r="J630" s="885">
        <v>0</v>
      </c>
      <c r="K630" s="885">
        <v>0.85</v>
      </c>
      <c r="L630" s="886">
        <v>0.849898</v>
      </c>
      <c r="M630" s="882"/>
    </row>
    <row r="631" spans="1:13" ht="12.75">
      <c r="A631" s="882"/>
      <c r="B631" s="882"/>
      <c r="C631" s="882"/>
      <c r="D631" s="882"/>
      <c r="E631" s="883" t="s">
        <v>1510</v>
      </c>
      <c r="F631" s="883" t="s">
        <v>1511</v>
      </c>
      <c r="G631" s="883" t="s">
        <v>2191</v>
      </c>
      <c r="H631" s="883" t="s">
        <v>2063</v>
      </c>
      <c r="I631" s="883" t="s">
        <v>2627</v>
      </c>
      <c r="J631" s="885">
        <v>0</v>
      </c>
      <c r="K631" s="885">
        <v>0</v>
      </c>
      <c r="L631" s="886">
        <v>0.088298</v>
      </c>
      <c r="M631" s="882"/>
    </row>
    <row r="632" spans="1:13" ht="12.75">
      <c r="A632" s="882"/>
      <c r="B632" s="882"/>
      <c r="C632" s="882"/>
      <c r="D632" s="882"/>
      <c r="E632" s="883" t="s">
        <v>1512</v>
      </c>
      <c r="F632" s="883" t="s">
        <v>1513</v>
      </c>
      <c r="G632" s="883" t="s">
        <v>2191</v>
      </c>
      <c r="H632" s="883" t="s">
        <v>2063</v>
      </c>
      <c r="I632" s="883" t="s">
        <v>2627</v>
      </c>
      <c r="J632" s="885">
        <v>0</v>
      </c>
      <c r="K632" s="885">
        <v>0</v>
      </c>
      <c r="L632" s="886">
        <v>2.372384</v>
      </c>
      <c r="M632" s="882"/>
    </row>
    <row r="633" spans="1:13" ht="12.75">
      <c r="A633" s="882"/>
      <c r="B633" s="882"/>
      <c r="C633" s="882"/>
      <c r="D633" s="882"/>
      <c r="E633" s="883" t="s">
        <v>1514</v>
      </c>
      <c r="F633" s="883" t="s">
        <v>1515</v>
      </c>
      <c r="G633" s="883" t="s">
        <v>2191</v>
      </c>
      <c r="H633" s="883" t="s">
        <v>2063</v>
      </c>
      <c r="I633" s="883" t="s">
        <v>2627</v>
      </c>
      <c r="J633" s="885">
        <v>0</v>
      </c>
      <c r="K633" s="885">
        <v>0</v>
      </c>
      <c r="L633" s="886">
        <v>0.341</v>
      </c>
      <c r="M633" s="882"/>
    </row>
    <row r="634" spans="1:13" ht="12.75">
      <c r="A634" s="882"/>
      <c r="B634" s="882"/>
      <c r="C634" s="882"/>
      <c r="D634" s="882"/>
      <c r="E634" s="883" t="s">
        <v>1516</v>
      </c>
      <c r="F634" s="883" t="s">
        <v>1517</v>
      </c>
      <c r="G634" s="883" t="s">
        <v>2179</v>
      </c>
      <c r="H634" s="883" t="s">
        <v>2063</v>
      </c>
      <c r="I634" s="883" t="s">
        <v>2538</v>
      </c>
      <c r="J634" s="885">
        <v>0</v>
      </c>
      <c r="K634" s="885">
        <v>8</v>
      </c>
      <c r="L634" s="886">
        <v>7.999999</v>
      </c>
      <c r="M634" s="882"/>
    </row>
    <row r="635" spans="1:13" ht="12.75">
      <c r="A635" s="882"/>
      <c r="B635" s="882"/>
      <c r="C635" s="882"/>
      <c r="D635" s="882"/>
      <c r="E635" s="883" t="s">
        <v>1518</v>
      </c>
      <c r="F635" s="883" t="s">
        <v>1519</v>
      </c>
      <c r="G635" s="883" t="s">
        <v>2191</v>
      </c>
      <c r="H635" s="883" t="s">
        <v>2063</v>
      </c>
      <c r="I635" s="883" t="s">
        <v>2627</v>
      </c>
      <c r="J635" s="885">
        <v>0</v>
      </c>
      <c r="K635" s="885">
        <v>0</v>
      </c>
      <c r="L635" s="886">
        <v>0.726852</v>
      </c>
      <c r="M635" s="882"/>
    </row>
    <row r="636" spans="1:13" ht="12.75">
      <c r="A636" s="882"/>
      <c r="B636" s="882"/>
      <c r="C636" s="882"/>
      <c r="D636" s="882"/>
      <c r="E636" s="883" t="s">
        <v>1520</v>
      </c>
      <c r="F636" s="883" t="s">
        <v>1521</v>
      </c>
      <c r="G636" s="883" t="s">
        <v>2191</v>
      </c>
      <c r="H636" s="883" t="s">
        <v>2063</v>
      </c>
      <c r="I636" s="883" t="s">
        <v>2627</v>
      </c>
      <c r="J636" s="885">
        <v>0</v>
      </c>
      <c r="K636" s="885">
        <v>0</v>
      </c>
      <c r="L636" s="886">
        <v>2.799999</v>
      </c>
      <c r="M636" s="882"/>
    </row>
    <row r="637" spans="1:13" ht="12.75">
      <c r="A637" s="882"/>
      <c r="B637" s="882"/>
      <c r="C637" s="882"/>
      <c r="D637" s="882"/>
      <c r="E637" s="883" t="s">
        <v>1522</v>
      </c>
      <c r="F637" s="883" t="s">
        <v>1523</v>
      </c>
      <c r="G637" s="883" t="s">
        <v>2191</v>
      </c>
      <c r="H637" s="883" t="s">
        <v>2063</v>
      </c>
      <c r="I637" s="883" t="s">
        <v>2627</v>
      </c>
      <c r="J637" s="885">
        <v>0</v>
      </c>
      <c r="K637" s="885">
        <v>0</v>
      </c>
      <c r="L637" s="886">
        <v>0.63</v>
      </c>
      <c r="M637" s="882"/>
    </row>
    <row r="638" spans="1:13" ht="12.75">
      <c r="A638" s="882"/>
      <c r="B638" s="882"/>
      <c r="C638" s="882"/>
      <c r="D638" s="882"/>
      <c r="E638" s="883" t="s">
        <v>1524</v>
      </c>
      <c r="F638" s="883" t="s">
        <v>1525</v>
      </c>
      <c r="G638" s="883" t="s">
        <v>2191</v>
      </c>
      <c r="H638" s="883" t="s">
        <v>2063</v>
      </c>
      <c r="I638" s="883" t="s">
        <v>2627</v>
      </c>
      <c r="J638" s="885">
        <v>0</v>
      </c>
      <c r="K638" s="885">
        <v>0</v>
      </c>
      <c r="L638" s="886">
        <v>1.170788</v>
      </c>
      <c r="M638" s="882"/>
    </row>
    <row r="639" spans="1:13" ht="12.75">
      <c r="A639" s="882"/>
      <c r="B639" s="882"/>
      <c r="C639" s="882"/>
      <c r="D639" s="882"/>
      <c r="E639" s="883" t="s">
        <v>1526</v>
      </c>
      <c r="F639" s="883" t="s">
        <v>1527</v>
      </c>
      <c r="G639" s="883" t="s">
        <v>2191</v>
      </c>
      <c r="H639" s="883" t="s">
        <v>2063</v>
      </c>
      <c r="I639" s="883" t="s">
        <v>2627</v>
      </c>
      <c r="J639" s="885">
        <v>0</v>
      </c>
      <c r="K639" s="885">
        <v>0</v>
      </c>
      <c r="L639" s="886">
        <v>2.017</v>
      </c>
      <c r="M639" s="882"/>
    </row>
    <row r="640" spans="1:13" ht="12.75">
      <c r="A640" s="882"/>
      <c r="B640" s="882"/>
      <c r="C640" s="882"/>
      <c r="D640" s="882"/>
      <c r="E640" s="883" t="s">
        <v>1528</v>
      </c>
      <c r="F640" s="883" t="s">
        <v>1529</v>
      </c>
      <c r="G640" s="883" t="s">
        <v>2179</v>
      </c>
      <c r="H640" s="883" t="s">
        <v>2063</v>
      </c>
      <c r="I640" s="883" t="s">
        <v>2538</v>
      </c>
      <c r="J640" s="885">
        <v>0</v>
      </c>
      <c r="K640" s="885">
        <v>17.512</v>
      </c>
      <c r="L640" s="886">
        <v>17.51192</v>
      </c>
      <c r="M640" s="882"/>
    </row>
    <row r="641" spans="1:13" ht="12.75">
      <c r="A641" s="882"/>
      <c r="B641" s="882"/>
      <c r="C641" s="882"/>
      <c r="D641" s="882"/>
      <c r="E641" s="883" t="s">
        <v>1530</v>
      </c>
      <c r="F641" s="883" t="s">
        <v>1531</v>
      </c>
      <c r="G641" s="883" t="s">
        <v>2279</v>
      </c>
      <c r="H641" s="883" t="s">
        <v>2063</v>
      </c>
      <c r="I641" s="883" t="s">
        <v>2538</v>
      </c>
      <c r="J641" s="885">
        <v>0</v>
      </c>
      <c r="K641" s="885">
        <v>0.51</v>
      </c>
      <c r="L641" s="886">
        <v>0.509763</v>
      </c>
      <c r="M641" s="882"/>
    </row>
    <row r="642" spans="1:13" ht="12.75">
      <c r="A642" s="882"/>
      <c r="B642" s="882"/>
      <c r="C642" s="882"/>
      <c r="D642" s="882"/>
      <c r="E642" s="883" t="s">
        <v>1532</v>
      </c>
      <c r="F642" s="883" t="s">
        <v>1533</v>
      </c>
      <c r="G642" s="883" t="s">
        <v>2279</v>
      </c>
      <c r="H642" s="883" t="s">
        <v>2063</v>
      </c>
      <c r="I642" s="883" t="s">
        <v>2538</v>
      </c>
      <c r="J642" s="885">
        <v>0</v>
      </c>
      <c r="K642" s="885">
        <v>0.355</v>
      </c>
      <c r="L642" s="886">
        <v>0.354562</v>
      </c>
      <c r="M642" s="882"/>
    </row>
    <row r="643" spans="1:13" ht="12.75">
      <c r="A643" s="882"/>
      <c r="B643" s="882"/>
      <c r="C643" s="882"/>
      <c r="D643" s="882"/>
      <c r="E643" s="883" t="s">
        <v>1534</v>
      </c>
      <c r="F643" s="883" t="s">
        <v>1535</v>
      </c>
      <c r="G643" s="883" t="s">
        <v>2190</v>
      </c>
      <c r="H643" s="883" t="s">
        <v>2063</v>
      </c>
      <c r="I643" s="883" t="s">
        <v>2627</v>
      </c>
      <c r="J643" s="885">
        <v>0</v>
      </c>
      <c r="K643" s="885">
        <v>0</v>
      </c>
      <c r="L643" s="886">
        <v>0.07041</v>
      </c>
      <c r="M643" s="882"/>
    </row>
    <row r="644" spans="1:13" ht="12.75">
      <c r="A644" s="882"/>
      <c r="B644" s="882"/>
      <c r="C644" s="882"/>
      <c r="D644" s="882"/>
      <c r="E644" s="883" t="s">
        <v>1536</v>
      </c>
      <c r="F644" s="883" t="s">
        <v>1537</v>
      </c>
      <c r="G644" s="883" t="s">
        <v>2192</v>
      </c>
      <c r="H644" s="883" t="s">
        <v>2063</v>
      </c>
      <c r="I644" s="883" t="s">
        <v>2538</v>
      </c>
      <c r="J644" s="885">
        <v>0</v>
      </c>
      <c r="K644" s="885">
        <v>0.002</v>
      </c>
      <c r="L644" s="886">
        <v>0.00135</v>
      </c>
      <c r="M644" s="882"/>
    </row>
    <row r="645" spans="1:13" ht="12.75">
      <c r="A645" s="882"/>
      <c r="B645" s="882"/>
      <c r="C645" s="882"/>
      <c r="D645" s="882"/>
      <c r="E645" s="883" t="s">
        <v>1538</v>
      </c>
      <c r="F645" s="883" t="s">
        <v>1539</v>
      </c>
      <c r="G645" s="883" t="s">
        <v>2181</v>
      </c>
      <c r="H645" s="883" t="s">
        <v>2063</v>
      </c>
      <c r="I645" s="883" t="s">
        <v>2538</v>
      </c>
      <c r="J645" s="885">
        <v>0</v>
      </c>
      <c r="K645" s="885">
        <v>0.237</v>
      </c>
      <c r="L645" s="886">
        <v>0.23681</v>
      </c>
      <c r="M645" s="882"/>
    </row>
    <row r="646" spans="1:13" ht="12.75">
      <c r="A646" s="882"/>
      <c r="B646" s="882"/>
      <c r="C646" s="882"/>
      <c r="D646" s="882"/>
      <c r="E646" s="883" t="s">
        <v>1540</v>
      </c>
      <c r="F646" s="883" t="s">
        <v>1541</v>
      </c>
      <c r="G646" s="883" t="s">
        <v>2192</v>
      </c>
      <c r="H646" s="883" t="s">
        <v>2063</v>
      </c>
      <c r="I646" s="883" t="s">
        <v>2627</v>
      </c>
      <c r="J646" s="885">
        <v>0</v>
      </c>
      <c r="K646" s="885">
        <v>0</v>
      </c>
      <c r="L646" s="886">
        <v>0.14755</v>
      </c>
      <c r="M646" s="882"/>
    </row>
    <row r="647" spans="1:13" ht="12.75">
      <c r="A647" s="882"/>
      <c r="B647" s="882"/>
      <c r="C647" s="882"/>
      <c r="D647" s="882"/>
      <c r="E647" s="883" t="s">
        <v>1540</v>
      </c>
      <c r="F647" s="883" t="s">
        <v>1541</v>
      </c>
      <c r="G647" s="883" t="s">
        <v>2192</v>
      </c>
      <c r="H647" s="883" t="s">
        <v>2063</v>
      </c>
      <c r="I647" s="883" t="s">
        <v>2538</v>
      </c>
      <c r="J647" s="885">
        <v>0</v>
      </c>
      <c r="K647" s="885">
        <v>1.232</v>
      </c>
      <c r="L647" s="886">
        <v>1.232</v>
      </c>
      <c r="M647" s="882"/>
    </row>
    <row r="648" spans="1:13" ht="12.75">
      <c r="A648" s="882"/>
      <c r="B648" s="882"/>
      <c r="C648" s="882"/>
      <c r="D648" s="882"/>
      <c r="E648" s="883" t="s">
        <v>1542</v>
      </c>
      <c r="F648" s="883" t="s">
        <v>1543</v>
      </c>
      <c r="G648" s="883" t="s">
        <v>2191</v>
      </c>
      <c r="H648" s="883" t="s">
        <v>2063</v>
      </c>
      <c r="I648" s="883" t="s">
        <v>2538</v>
      </c>
      <c r="J648" s="885">
        <v>0</v>
      </c>
      <c r="K648" s="885">
        <v>1.285</v>
      </c>
      <c r="L648" s="886">
        <v>1.284958</v>
      </c>
      <c r="M648" s="882"/>
    </row>
    <row r="649" spans="1:13" ht="12.75">
      <c r="A649" s="882"/>
      <c r="B649" s="882"/>
      <c r="C649" s="882"/>
      <c r="D649" s="882"/>
      <c r="E649" s="883" t="s">
        <v>1544</v>
      </c>
      <c r="F649" s="883" t="s">
        <v>1545</v>
      </c>
      <c r="G649" s="883" t="s">
        <v>2191</v>
      </c>
      <c r="H649" s="883" t="s">
        <v>2063</v>
      </c>
      <c r="I649" s="883" t="s">
        <v>2538</v>
      </c>
      <c r="J649" s="885">
        <v>0</v>
      </c>
      <c r="K649" s="885">
        <v>5.991</v>
      </c>
      <c r="L649" s="886">
        <v>5.99046</v>
      </c>
      <c r="M649" s="882"/>
    </row>
    <row r="650" spans="1:13" ht="12.75">
      <c r="A650" s="882"/>
      <c r="B650" s="882"/>
      <c r="C650" s="882"/>
      <c r="D650" s="882"/>
      <c r="E650" s="883" t="s">
        <v>1546</v>
      </c>
      <c r="F650" s="883" t="s">
        <v>1547</v>
      </c>
      <c r="G650" s="883" t="s">
        <v>2191</v>
      </c>
      <c r="H650" s="883" t="s">
        <v>2063</v>
      </c>
      <c r="I650" s="883" t="s">
        <v>2538</v>
      </c>
      <c r="J650" s="885">
        <v>0</v>
      </c>
      <c r="K650" s="885">
        <v>4.94</v>
      </c>
      <c r="L650" s="886">
        <v>4.93969</v>
      </c>
      <c r="M650" s="882"/>
    </row>
    <row r="651" spans="1:13" ht="12.75">
      <c r="A651" s="882"/>
      <c r="B651" s="882"/>
      <c r="C651" s="882"/>
      <c r="D651" s="882"/>
      <c r="E651" s="883" t="s">
        <v>1548</v>
      </c>
      <c r="F651" s="883" t="s">
        <v>1549</v>
      </c>
      <c r="G651" s="883" t="s">
        <v>2190</v>
      </c>
      <c r="H651" s="883" t="s">
        <v>2063</v>
      </c>
      <c r="I651" s="883" t="s">
        <v>2538</v>
      </c>
      <c r="J651" s="885">
        <v>0</v>
      </c>
      <c r="K651" s="885">
        <v>1.199</v>
      </c>
      <c r="L651" s="886">
        <v>1.198925</v>
      </c>
      <c r="M651" s="882"/>
    </row>
    <row r="652" spans="1:13" ht="12.75">
      <c r="A652" s="882"/>
      <c r="B652" s="882"/>
      <c r="C652" s="882"/>
      <c r="D652" s="882"/>
      <c r="E652" s="883" t="s">
        <v>1550</v>
      </c>
      <c r="F652" s="883" t="s">
        <v>1551</v>
      </c>
      <c r="G652" s="883" t="s">
        <v>2478</v>
      </c>
      <c r="H652" s="883" t="s">
        <v>2063</v>
      </c>
      <c r="I652" s="883" t="s">
        <v>2627</v>
      </c>
      <c r="J652" s="885">
        <v>0</v>
      </c>
      <c r="K652" s="885">
        <v>0</v>
      </c>
      <c r="L652" s="886">
        <v>0.24</v>
      </c>
      <c r="M652" s="882"/>
    </row>
    <row r="653" spans="1:13" ht="12.75">
      <c r="A653" s="882"/>
      <c r="B653" s="882"/>
      <c r="C653" s="882"/>
      <c r="D653" s="882"/>
      <c r="E653" s="883" t="s">
        <v>1552</v>
      </c>
      <c r="F653" s="883" t="s">
        <v>1553</v>
      </c>
      <c r="G653" s="883" t="s">
        <v>2185</v>
      </c>
      <c r="H653" s="883" t="s">
        <v>2063</v>
      </c>
      <c r="I653" s="883" t="s">
        <v>2627</v>
      </c>
      <c r="J653" s="885">
        <v>0</v>
      </c>
      <c r="K653" s="885">
        <v>0</v>
      </c>
      <c r="L653" s="886">
        <v>0.7279</v>
      </c>
      <c r="M653" s="882"/>
    </row>
    <row r="654" spans="1:13" ht="12.75">
      <c r="A654" s="882"/>
      <c r="B654" s="882"/>
      <c r="C654" s="882"/>
      <c r="D654" s="882"/>
      <c r="E654" s="883" t="s">
        <v>1554</v>
      </c>
      <c r="F654" s="883" t="s">
        <v>1555</v>
      </c>
      <c r="G654" s="883" t="s">
        <v>2191</v>
      </c>
      <c r="H654" s="883" t="s">
        <v>2063</v>
      </c>
      <c r="I654" s="883" t="s">
        <v>2627</v>
      </c>
      <c r="J654" s="885">
        <v>0</v>
      </c>
      <c r="K654" s="885">
        <v>0</v>
      </c>
      <c r="L654" s="886">
        <v>0.315</v>
      </c>
      <c r="M654" s="882"/>
    </row>
    <row r="655" spans="1:13" ht="12.75">
      <c r="A655" s="882"/>
      <c r="B655" s="882"/>
      <c r="C655" s="882"/>
      <c r="D655" s="882"/>
      <c r="E655" s="883" t="s">
        <v>1556</v>
      </c>
      <c r="F655" s="883" t="s">
        <v>1557</v>
      </c>
      <c r="G655" s="883" t="s">
        <v>2189</v>
      </c>
      <c r="H655" s="883" t="s">
        <v>2063</v>
      </c>
      <c r="I655" s="883" t="s">
        <v>2627</v>
      </c>
      <c r="J655" s="885">
        <v>0</v>
      </c>
      <c r="K655" s="885">
        <v>0</v>
      </c>
      <c r="L655" s="886">
        <v>2.498418</v>
      </c>
      <c r="M655" s="882"/>
    </row>
    <row r="656" spans="1:13" ht="12.75">
      <c r="A656" s="882"/>
      <c r="B656" s="882"/>
      <c r="C656" s="882"/>
      <c r="D656" s="882"/>
      <c r="E656" s="883" t="s">
        <v>1558</v>
      </c>
      <c r="F656" s="883" t="s">
        <v>1559</v>
      </c>
      <c r="G656" s="883" t="s">
        <v>2185</v>
      </c>
      <c r="H656" s="883" t="s">
        <v>2063</v>
      </c>
      <c r="I656" s="883" t="s">
        <v>2538</v>
      </c>
      <c r="J656" s="885">
        <v>0</v>
      </c>
      <c r="K656" s="885">
        <v>0.009</v>
      </c>
      <c r="L656" s="886">
        <v>0.008624</v>
      </c>
      <c r="M656" s="882"/>
    </row>
    <row r="657" spans="1:13" ht="12.75">
      <c r="A657" s="882"/>
      <c r="B657" s="882"/>
      <c r="C657" s="882"/>
      <c r="D657" s="882"/>
      <c r="E657" s="883" t="s">
        <v>1558</v>
      </c>
      <c r="F657" s="883" t="s">
        <v>1559</v>
      </c>
      <c r="G657" s="883" t="s">
        <v>2185</v>
      </c>
      <c r="H657" s="883" t="s">
        <v>2063</v>
      </c>
      <c r="I657" s="883" t="s">
        <v>2627</v>
      </c>
      <c r="J657" s="885">
        <v>0</v>
      </c>
      <c r="K657" s="885">
        <v>0</v>
      </c>
      <c r="L657" s="886">
        <v>1.169</v>
      </c>
      <c r="M657" s="882"/>
    </row>
    <row r="658" spans="1:13" ht="12.75">
      <c r="A658" s="882"/>
      <c r="B658" s="882"/>
      <c r="C658" s="882"/>
      <c r="D658" s="882"/>
      <c r="E658" s="883" t="s">
        <v>1560</v>
      </c>
      <c r="F658" s="883" t="s">
        <v>1561</v>
      </c>
      <c r="G658" s="883" t="s">
        <v>2181</v>
      </c>
      <c r="H658" s="883" t="s">
        <v>2063</v>
      </c>
      <c r="I658" s="883" t="s">
        <v>2627</v>
      </c>
      <c r="J658" s="885">
        <v>0</v>
      </c>
      <c r="K658" s="885">
        <v>0</v>
      </c>
      <c r="L658" s="886">
        <v>0.099882</v>
      </c>
      <c r="M658" s="882"/>
    </row>
    <row r="659" spans="1:13" ht="12.75">
      <c r="A659" s="882"/>
      <c r="B659" s="882"/>
      <c r="C659" s="882"/>
      <c r="D659" s="882"/>
      <c r="E659" s="883" t="s">
        <v>1562</v>
      </c>
      <c r="F659" s="883" t="s">
        <v>1563</v>
      </c>
      <c r="G659" s="883" t="s">
        <v>2181</v>
      </c>
      <c r="H659" s="883" t="s">
        <v>2063</v>
      </c>
      <c r="I659" s="883" t="s">
        <v>2627</v>
      </c>
      <c r="J659" s="885">
        <v>0</v>
      </c>
      <c r="K659" s="885">
        <v>0</v>
      </c>
      <c r="L659" s="886">
        <v>0.069333</v>
      </c>
      <c r="M659" s="882"/>
    </row>
    <row r="660" spans="1:13" ht="12.75">
      <c r="A660" s="882"/>
      <c r="B660" s="882"/>
      <c r="C660" s="882"/>
      <c r="D660" s="882"/>
      <c r="E660" s="883" t="s">
        <v>1564</v>
      </c>
      <c r="F660" s="883" t="s">
        <v>1565</v>
      </c>
      <c r="G660" s="883" t="s">
        <v>2181</v>
      </c>
      <c r="H660" s="883" t="s">
        <v>2063</v>
      </c>
      <c r="I660" s="883" t="s">
        <v>2627</v>
      </c>
      <c r="J660" s="885">
        <v>0</v>
      </c>
      <c r="K660" s="885">
        <v>0</v>
      </c>
      <c r="L660" s="886">
        <v>0.23681</v>
      </c>
      <c r="M660" s="882"/>
    </row>
    <row r="661" spans="1:13" ht="12.75">
      <c r="A661" s="882"/>
      <c r="B661" s="882"/>
      <c r="C661" s="882"/>
      <c r="D661" s="882"/>
      <c r="E661" s="883" t="s">
        <v>1566</v>
      </c>
      <c r="F661" s="883" t="s">
        <v>1567</v>
      </c>
      <c r="G661" s="883" t="s">
        <v>2181</v>
      </c>
      <c r="H661" s="883" t="s">
        <v>2063</v>
      </c>
      <c r="I661" s="883" t="s">
        <v>2627</v>
      </c>
      <c r="J661" s="885">
        <v>0</v>
      </c>
      <c r="K661" s="885">
        <v>0</v>
      </c>
      <c r="L661" s="886">
        <v>0.25974487</v>
      </c>
      <c r="M661" s="882"/>
    </row>
    <row r="662" spans="1:13" ht="12.75">
      <c r="A662" s="882"/>
      <c r="B662" s="882"/>
      <c r="C662" s="882"/>
      <c r="D662" s="882"/>
      <c r="E662" s="883" t="s">
        <v>1568</v>
      </c>
      <c r="F662" s="883" t="s">
        <v>1569</v>
      </c>
      <c r="G662" s="883" t="s">
        <v>2190</v>
      </c>
      <c r="H662" s="883" t="s">
        <v>2063</v>
      </c>
      <c r="I662" s="883" t="s">
        <v>2538</v>
      </c>
      <c r="J662" s="885">
        <v>0</v>
      </c>
      <c r="K662" s="885">
        <v>0.483</v>
      </c>
      <c r="L662" s="886">
        <v>0.482845</v>
      </c>
      <c r="M662" s="882"/>
    </row>
    <row r="663" spans="1:13" ht="12.75">
      <c r="A663" s="882"/>
      <c r="B663" s="882"/>
      <c r="C663" s="882"/>
      <c r="D663" s="882"/>
      <c r="E663" s="883" t="s">
        <v>1570</v>
      </c>
      <c r="F663" s="883" t="s">
        <v>1571</v>
      </c>
      <c r="G663" s="883" t="s">
        <v>2190</v>
      </c>
      <c r="H663" s="883" t="s">
        <v>2063</v>
      </c>
      <c r="I663" s="883" t="s">
        <v>2538</v>
      </c>
      <c r="J663" s="885">
        <v>0</v>
      </c>
      <c r="K663" s="885">
        <v>0.134</v>
      </c>
      <c r="L663" s="886">
        <v>0.1336524</v>
      </c>
      <c r="M663" s="882"/>
    </row>
    <row r="664" spans="1:13" ht="12.75">
      <c r="A664" s="882"/>
      <c r="B664" s="882"/>
      <c r="C664" s="882"/>
      <c r="D664" s="882"/>
      <c r="E664" s="883" t="s">
        <v>1572</v>
      </c>
      <c r="F664" s="883" t="s">
        <v>1573</v>
      </c>
      <c r="G664" s="883" t="s">
        <v>2190</v>
      </c>
      <c r="H664" s="883" t="s">
        <v>2063</v>
      </c>
      <c r="I664" s="883" t="s">
        <v>2538</v>
      </c>
      <c r="J664" s="885">
        <v>0</v>
      </c>
      <c r="K664" s="885">
        <v>0.475</v>
      </c>
      <c r="L664" s="886">
        <v>0.4740984</v>
      </c>
      <c r="M664" s="882"/>
    </row>
    <row r="665" spans="1:13" ht="12.75">
      <c r="A665" s="882"/>
      <c r="B665" s="882"/>
      <c r="C665" s="882"/>
      <c r="D665" s="882"/>
      <c r="E665" s="883" t="s">
        <v>1574</v>
      </c>
      <c r="F665" s="883" t="s">
        <v>1575</v>
      </c>
      <c r="G665" s="883" t="s">
        <v>2181</v>
      </c>
      <c r="H665" s="883" t="s">
        <v>2063</v>
      </c>
      <c r="I665" s="883" t="s">
        <v>2538</v>
      </c>
      <c r="J665" s="885">
        <v>0</v>
      </c>
      <c r="K665" s="885">
        <v>0.005</v>
      </c>
      <c r="L665" s="886">
        <v>0.0045</v>
      </c>
      <c r="M665" s="882"/>
    </row>
    <row r="666" spans="1:13" ht="12.75">
      <c r="A666" s="882"/>
      <c r="B666" s="882"/>
      <c r="C666" s="882"/>
      <c r="D666" s="882"/>
      <c r="E666" s="883" t="s">
        <v>1574</v>
      </c>
      <c r="F666" s="883" t="s">
        <v>1575</v>
      </c>
      <c r="G666" s="883" t="s">
        <v>2181</v>
      </c>
      <c r="H666" s="883" t="s">
        <v>2063</v>
      </c>
      <c r="I666" s="883" t="s">
        <v>2627</v>
      </c>
      <c r="J666" s="885">
        <v>0</v>
      </c>
      <c r="K666" s="885">
        <v>0</v>
      </c>
      <c r="L666" s="886">
        <v>0.2999</v>
      </c>
      <c r="M666" s="882"/>
    </row>
    <row r="667" spans="1:13" ht="12.75">
      <c r="A667" s="882"/>
      <c r="B667" s="882"/>
      <c r="C667" s="882"/>
      <c r="D667" s="882"/>
      <c r="E667" s="883" t="s">
        <v>1576</v>
      </c>
      <c r="F667" s="883" t="s">
        <v>1423</v>
      </c>
      <c r="G667" s="883" t="s">
        <v>2185</v>
      </c>
      <c r="H667" s="883" t="s">
        <v>2063</v>
      </c>
      <c r="I667" s="883" t="s">
        <v>2538</v>
      </c>
      <c r="J667" s="885">
        <v>0</v>
      </c>
      <c r="K667" s="885">
        <v>0.102</v>
      </c>
      <c r="L667" s="886">
        <v>0.102</v>
      </c>
      <c r="M667" s="882"/>
    </row>
    <row r="668" spans="1:13" ht="12.75">
      <c r="A668" s="882"/>
      <c r="B668" s="882"/>
      <c r="C668" s="882"/>
      <c r="D668" s="882"/>
      <c r="E668" s="883" t="s">
        <v>1577</v>
      </c>
      <c r="F668" s="883" t="s">
        <v>1578</v>
      </c>
      <c r="G668" s="883" t="s">
        <v>2182</v>
      </c>
      <c r="H668" s="883" t="s">
        <v>2063</v>
      </c>
      <c r="I668" s="883" t="s">
        <v>2627</v>
      </c>
      <c r="J668" s="885">
        <v>0</v>
      </c>
      <c r="K668" s="885">
        <v>0</v>
      </c>
      <c r="L668" s="886">
        <v>3.4549</v>
      </c>
      <c r="M668" s="882"/>
    </row>
    <row r="669" spans="1:13" ht="12.75">
      <c r="A669" s="882"/>
      <c r="B669" s="882"/>
      <c r="C669" s="882"/>
      <c r="D669" s="882"/>
      <c r="E669" s="883" t="s">
        <v>1579</v>
      </c>
      <c r="F669" s="883" t="s">
        <v>1580</v>
      </c>
      <c r="G669" s="883" t="s">
        <v>2181</v>
      </c>
      <c r="H669" s="883" t="s">
        <v>2063</v>
      </c>
      <c r="I669" s="883" t="s">
        <v>2538</v>
      </c>
      <c r="J669" s="885">
        <v>0</v>
      </c>
      <c r="K669" s="885">
        <v>0.291</v>
      </c>
      <c r="L669" s="886">
        <v>0.2909</v>
      </c>
      <c r="M669" s="882"/>
    </row>
    <row r="670" spans="1:13" ht="12.75">
      <c r="A670" s="882"/>
      <c r="B670" s="882"/>
      <c r="C670" s="882"/>
      <c r="D670" s="882"/>
      <c r="E670" s="883" t="s">
        <v>1581</v>
      </c>
      <c r="F670" s="883" t="s">
        <v>1582</v>
      </c>
      <c r="G670" s="883" t="s">
        <v>2185</v>
      </c>
      <c r="H670" s="883" t="s">
        <v>2063</v>
      </c>
      <c r="I670" s="883" t="s">
        <v>2538</v>
      </c>
      <c r="J670" s="885">
        <v>0</v>
      </c>
      <c r="K670" s="885">
        <v>0.055</v>
      </c>
      <c r="L670" s="886">
        <v>0.0546091</v>
      </c>
      <c r="M670" s="882"/>
    </row>
    <row r="671" spans="1:13" ht="12.75">
      <c r="A671" s="882"/>
      <c r="B671" s="882"/>
      <c r="C671" s="882"/>
      <c r="D671" s="882"/>
      <c r="E671" s="883" t="s">
        <v>1583</v>
      </c>
      <c r="F671" s="883" t="s">
        <v>1584</v>
      </c>
      <c r="G671" s="883" t="s">
        <v>2184</v>
      </c>
      <c r="H671" s="883" t="s">
        <v>2063</v>
      </c>
      <c r="I671" s="883" t="s">
        <v>2538</v>
      </c>
      <c r="J671" s="885">
        <v>0</v>
      </c>
      <c r="K671" s="885">
        <v>0.097</v>
      </c>
      <c r="L671" s="886">
        <v>0.096883</v>
      </c>
      <c r="M671" s="882"/>
    </row>
    <row r="672" spans="1:13" ht="12.75">
      <c r="A672" s="882"/>
      <c r="B672" s="882"/>
      <c r="C672" s="882"/>
      <c r="D672" s="882"/>
      <c r="E672" s="883" t="s">
        <v>1585</v>
      </c>
      <c r="F672" s="883" t="s">
        <v>1586</v>
      </c>
      <c r="G672" s="883" t="s">
        <v>2184</v>
      </c>
      <c r="H672" s="883" t="s">
        <v>2063</v>
      </c>
      <c r="I672" s="883" t="s">
        <v>2538</v>
      </c>
      <c r="J672" s="885">
        <v>0</v>
      </c>
      <c r="K672" s="885">
        <v>0.25</v>
      </c>
      <c r="L672" s="886">
        <v>0.25</v>
      </c>
      <c r="M672" s="882"/>
    </row>
    <row r="673" spans="1:13" ht="12.75">
      <c r="A673" s="882"/>
      <c r="B673" s="882"/>
      <c r="C673" s="882"/>
      <c r="D673" s="882"/>
      <c r="E673" s="883" t="s">
        <v>1587</v>
      </c>
      <c r="F673" s="883" t="s">
        <v>1588</v>
      </c>
      <c r="G673" s="883" t="s">
        <v>2189</v>
      </c>
      <c r="H673" s="883" t="s">
        <v>2063</v>
      </c>
      <c r="I673" s="883" t="s">
        <v>2627</v>
      </c>
      <c r="J673" s="885">
        <v>0</v>
      </c>
      <c r="K673" s="885">
        <v>0</v>
      </c>
      <c r="L673" s="886">
        <v>0.75775</v>
      </c>
      <c r="M673" s="882"/>
    </row>
    <row r="674" spans="1:13" ht="12.75">
      <c r="A674" s="882"/>
      <c r="B674" s="882"/>
      <c r="C674" s="882"/>
      <c r="D674" s="882"/>
      <c r="E674" s="883" t="s">
        <v>1589</v>
      </c>
      <c r="F674" s="883" t="s">
        <v>1590</v>
      </c>
      <c r="G674" s="883" t="s">
        <v>2189</v>
      </c>
      <c r="H674" s="883" t="s">
        <v>2063</v>
      </c>
      <c r="I674" s="883" t="s">
        <v>2627</v>
      </c>
      <c r="J674" s="885">
        <v>0</v>
      </c>
      <c r="K674" s="885">
        <v>0</v>
      </c>
      <c r="L674" s="886">
        <v>2.299675</v>
      </c>
      <c r="M674" s="882"/>
    </row>
    <row r="675" spans="1:13" ht="12.75">
      <c r="A675" s="882"/>
      <c r="B675" s="882"/>
      <c r="C675" s="882"/>
      <c r="D675" s="882"/>
      <c r="E675" s="883" t="s">
        <v>1591</v>
      </c>
      <c r="F675" s="883" t="s">
        <v>1592</v>
      </c>
      <c r="G675" s="883" t="s">
        <v>2189</v>
      </c>
      <c r="H675" s="883" t="s">
        <v>2063</v>
      </c>
      <c r="I675" s="883" t="s">
        <v>2627</v>
      </c>
      <c r="J675" s="885">
        <v>0</v>
      </c>
      <c r="K675" s="885">
        <v>0</v>
      </c>
      <c r="L675" s="886">
        <v>1.02921283</v>
      </c>
      <c r="M675" s="882"/>
    </row>
    <row r="676" spans="1:13" ht="12.75">
      <c r="A676" s="882"/>
      <c r="B676" s="882"/>
      <c r="C676" s="882"/>
      <c r="D676" s="882"/>
      <c r="E676" s="883" t="s">
        <v>1593</v>
      </c>
      <c r="F676" s="883" t="s">
        <v>1594</v>
      </c>
      <c r="G676" s="883" t="s">
        <v>2189</v>
      </c>
      <c r="H676" s="883" t="s">
        <v>2063</v>
      </c>
      <c r="I676" s="883" t="s">
        <v>2627</v>
      </c>
      <c r="J676" s="885">
        <v>0</v>
      </c>
      <c r="K676" s="885">
        <v>0</v>
      </c>
      <c r="L676" s="886">
        <v>0.89836475</v>
      </c>
      <c r="M676" s="882"/>
    </row>
    <row r="677" spans="1:13" ht="12.75">
      <c r="A677" s="882"/>
      <c r="B677" s="882"/>
      <c r="C677" s="882"/>
      <c r="D677" s="882"/>
      <c r="E677" s="883" t="s">
        <v>1595</v>
      </c>
      <c r="F677" s="883" t="s">
        <v>1596</v>
      </c>
      <c r="G677" s="883" t="s">
        <v>2192</v>
      </c>
      <c r="H677" s="883" t="s">
        <v>2063</v>
      </c>
      <c r="I677" s="883" t="s">
        <v>2627</v>
      </c>
      <c r="J677" s="885">
        <v>0</v>
      </c>
      <c r="K677" s="885">
        <v>0</v>
      </c>
      <c r="L677" s="886">
        <v>0.425581</v>
      </c>
      <c r="M677" s="882"/>
    </row>
    <row r="678" spans="1:13" ht="12.75">
      <c r="A678" s="882"/>
      <c r="B678" s="882"/>
      <c r="C678" s="882"/>
      <c r="D678" s="882"/>
      <c r="E678" s="883" t="s">
        <v>1597</v>
      </c>
      <c r="F678" s="883" t="s">
        <v>1598</v>
      </c>
      <c r="G678" s="883" t="s">
        <v>2183</v>
      </c>
      <c r="H678" s="883" t="s">
        <v>2063</v>
      </c>
      <c r="I678" s="883" t="s">
        <v>2538</v>
      </c>
      <c r="J678" s="885">
        <v>0</v>
      </c>
      <c r="K678" s="885">
        <v>0.193</v>
      </c>
      <c r="L678" s="886">
        <v>0.19299934</v>
      </c>
      <c r="M678" s="882"/>
    </row>
    <row r="679" spans="1:13" ht="12.75">
      <c r="A679" s="882"/>
      <c r="B679" s="882"/>
      <c r="C679" s="882"/>
      <c r="D679" s="882"/>
      <c r="E679" s="883" t="s">
        <v>1599</v>
      </c>
      <c r="F679" s="883" t="s">
        <v>1598</v>
      </c>
      <c r="G679" s="883" t="s">
        <v>2186</v>
      </c>
      <c r="H679" s="883" t="s">
        <v>2063</v>
      </c>
      <c r="I679" s="883" t="s">
        <v>2538</v>
      </c>
      <c r="J679" s="885">
        <v>0</v>
      </c>
      <c r="K679" s="885">
        <v>0.386</v>
      </c>
      <c r="L679" s="886">
        <v>0.38599868</v>
      </c>
      <c r="M679" s="882"/>
    </row>
    <row r="680" spans="1:13" ht="12.75">
      <c r="A680" s="882"/>
      <c r="B680" s="882"/>
      <c r="C680" s="882"/>
      <c r="D680" s="882"/>
      <c r="E680" s="883" t="s">
        <v>1600</v>
      </c>
      <c r="F680" s="883" t="s">
        <v>1598</v>
      </c>
      <c r="G680" s="883" t="s">
        <v>2189</v>
      </c>
      <c r="H680" s="883" t="s">
        <v>2063</v>
      </c>
      <c r="I680" s="883" t="s">
        <v>2538</v>
      </c>
      <c r="J680" s="885">
        <v>0</v>
      </c>
      <c r="K680" s="885">
        <v>0.965</v>
      </c>
      <c r="L680" s="886">
        <v>0.9649967</v>
      </c>
      <c r="M680" s="882"/>
    </row>
    <row r="681" spans="1:13" ht="12.75">
      <c r="A681" s="882"/>
      <c r="B681" s="882"/>
      <c r="C681" s="882"/>
      <c r="D681" s="882"/>
      <c r="E681" s="883" t="s">
        <v>1601</v>
      </c>
      <c r="F681" s="883" t="s">
        <v>1598</v>
      </c>
      <c r="G681" s="883" t="s">
        <v>2192</v>
      </c>
      <c r="H681" s="883" t="s">
        <v>2063</v>
      </c>
      <c r="I681" s="883" t="s">
        <v>2538</v>
      </c>
      <c r="J681" s="885">
        <v>0</v>
      </c>
      <c r="K681" s="885">
        <v>0.386</v>
      </c>
      <c r="L681" s="886">
        <v>0.38599911</v>
      </c>
      <c r="M681" s="882"/>
    </row>
    <row r="682" spans="1:13" ht="12.75">
      <c r="A682" s="882"/>
      <c r="B682" s="882"/>
      <c r="C682" s="882"/>
      <c r="D682" s="882"/>
      <c r="E682" s="883" t="s">
        <v>1602</v>
      </c>
      <c r="F682" s="883" t="s">
        <v>1603</v>
      </c>
      <c r="G682" s="883" t="s">
        <v>2191</v>
      </c>
      <c r="H682" s="883" t="s">
        <v>2063</v>
      </c>
      <c r="I682" s="883" t="s">
        <v>2627</v>
      </c>
      <c r="J682" s="885">
        <v>0</v>
      </c>
      <c r="K682" s="885">
        <v>0</v>
      </c>
      <c r="L682" s="886">
        <v>2.00753</v>
      </c>
      <c r="M682" s="882"/>
    </row>
    <row r="683" spans="1:13" ht="12.75">
      <c r="A683" s="882"/>
      <c r="B683" s="882"/>
      <c r="C683" s="882"/>
      <c r="D683" s="882"/>
      <c r="E683" s="883" t="s">
        <v>1604</v>
      </c>
      <c r="F683" s="883" t="s">
        <v>1605</v>
      </c>
      <c r="G683" s="883" t="s">
        <v>2279</v>
      </c>
      <c r="H683" s="883" t="s">
        <v>2063</v>
      </c>
      <c r="I683" s="883" t="s">
        <v>2538</v>
      </c>
      <c r="J683" s="885">
        <v>0</v>
      </c>
      <c r="K683" s="885">
        <v>1.298</v>
      </c>
      <c r="L683" s="886">
        <v>1.297219</v>
      </c>
      <c r="M683" s="882"/>
    </row>
    <row r="684" spans="1:13" ht="12.75">
      <c r="A684" s="882"/>
      <c r="B684" s="882"/>
      <c r="C684" s="882"/>
      <c r="D684" s="882"/>
      <c r="E684" s="883" t="s">
        <v>1606</v>
      </c>
      <c r="F684" s="883" t="s">
        <v>1607</v>
      </c>
      <c r="G684" s="883" t="s">
        <v>2279</v>
      </c>
      <c r="H684" s="883" t="s">
        <v>2063</v>
      </c>
      <c r="I684" s="883" t="s">
        <v>2538</v>
      </c>
      <c r="J684" s="885">
        <v>0</v>
      </c>
      <c r="K684" s="885">
        <v>3.756</v>
      </c>
      <c r="L684" s="886">
        <v>3.755997</v>
      </c>
      <c r="M684" s="882"/>
    </row>
    <row r="685" spans="1:13" ht="12.75">
      <c r="A685" s="882"/>
      <c r="B685" s="882"/>
      <c r="C685" s="882"/>
      <c r="D685" s="882"/>
      <c r="E685" s="883" t="s">
        <v>1608</v>
      </c>
      <c r="F685" s="883" t="s">
        <v>1609</v>
      </c>
      <c r="G685" s="883" t="s">
        <v>2186</v>
      </c>
      <c r="H685" s="883" t="s">
        <v>2063</v>
      </c>
      <c r="I685" s="883" t="s">
        <v>2627</v>
      </c>
      <c r="J685" s="885">
        <v>0</v>
      </c>
      <c r="K685" s="885">
        <v>0</v>
      </c>
      <c r="L685" s="886">
        <v>0.249997</v>
      </c>
      <c r="M685" s="882"/>
    </row>
    <row r="686" spans="1:13" ht="12.75">
      <c r="A686" s="882"/>
      <c r="B686" s="882"/>
      <c r="C686" s="882"/>
      <c r="D686" s="882"/>
      <c r="E686" s="883" t="s">
        <v>1610</v>
      </c>
      <c r="F686" s="883" t="s">
        <v>1592</v>
      </c>
      <c r="G686" s="883" t="s">
        <v>2478</v>
      </c>
      <c r="H686" s="883" t="s">
        <v>2063</v>
      </c>
      <c r="I686" s="883" t="s">
        <v>2627</v>
      </c>
      <c r="J686" s="885">
        <v>0</v>
      </c>
      <c r="K686" s="885">
        <v>0</v>
      </c>
      <c r="L686" s="886">
        <v>0.47123</v>
      </c>
      <c r="M686" s="882"/>
    </row>
    <row r="687" spans="1:13" ht="12.75">
      <c r="A687" s="882"/>
      <c r="B687" s="882"/>
      <c r="C687" s="882"/>
      <c r="D687" s="882"/>
      <c r="E687" s="883" t="s">
        <v>1611</v>
      </c>
      <c r="F687" s="883" t="s">
        <v>1612</v>
      </c>
      <c r="G687" s="883" t="s">
        <v>2279</v>
      </c>
      <c r="H687" s="883" t="s">
        <v>2063</v>
      </c>
      <c r="I687" s="883" t="s">
        <v>2538</v>
      </c>
      <c r="J687" s="885">
        <v>0</v>
      </c>
      <c r="K687" s="885">
        <v>0.218</v>
      </c>
      <c r="L687" s="886">
        <v>0.2178176</v>
      </c>
      <c r="M687" s="882"/>
    </row>
    <row r="688" spans="1:13" ht="12.75">
      <c r="A688" s="882"/>
      <c r="B688" s="882"/>
      <c r="C688" s="882"/>
      <c r="D688" s="882"/>
      <c r="E688" s="883" t="s">
        <v>1613</v>
      </c>
      <c r="F688" s="883" t="s">
        <v>1614</v>
      </c>
      <c r="G688" s="883" t="s">
        <v>2279</v>
      </c>
      <c r="H688" s="883" t="s">
        <v>2063</v>
      </c>
      <c r="I688" s="883" t="s">
        <v>2538</v>
      </c>
      <c r="J688" s="885">
        <v>0</v>
      </c>
      <c r="K688" s="885">
        <v>0.393</v>
      </c>
      <c r="L688" s="886">
        <v>0.392966</v>
      </c>
      <c r="M688" s="882"/>
    </row>
    <row r="689" spans="1:13" ht="12.75">
      <c r="A689" s="882"/>
      <c r="B689" s="882"/>
      <c r="C689" s="882"/>
      <c r="D689" s="882"/>
      <c r="E689" s="883" t="s">
        <v>1615</v>
      </c>
      <c r="F689" s="883" t="s">
        <v>1616</v>
      </c>
      <c r="G689" s="883" t="s">
        <v>2186</v>
      </c>
      <c r="H689" s="883" t="s">
        <v>2063</v>
      </c>
      <c r="I689" s="883" t="s">
        <v>2627</v>
      </c>
      <c r="J689" s="885">
        <v>0</v>
      </c>
      <c r="K689" s="885">
        <v>0</v>
      </c>
      <c r="L689" s="886">
        <v>0.178692</v>
      </c>
      <c r="M689" s="882"/>
    </row>
    <row r="690" spans="1:13" ht="12.75">
      <c r="A690" s="882"/>
      <c r="B690" s="882"/>
      <c r="C690" s="882"/>
      <c r="D690" s="882"/>
      <c r="E690" s="883" t="s">
        <v>1617</v>
      </c>
      <c r="F690" s="883" t="s">
        <v>1618</v>
      </c>
      <c r="G690" s="883" t="s">
        <v>2192</v>
      </c>
      <c r="H690" s="883" t="s">
        <v>2063</v>
      </c>
      <c r="I690" s="883" t="s">
        <v>2627</v>
      </c>
      <c r="J690" s="885">
        <v>0</v>
      </c>
      <c r="K690" s="885">
        <v>0</v>
      </c>
      <c r="L690" s="886">
        <v>2.800449</v>
      </c>
      <c r="M690" s="882"/>
    </row>
    <row r="691" spans="1:13" ht="12.75">
      <c r="A691" s="882"/>
      <c r="B691" s="882"/>
      <c r="C691" s="882"/>
      <c r="D691" s="882"/>
      <c r="E691" s="883" t="s">
        <v>1619</v>
      </c>
      <c r="F691" s="883" t="s">
        <v>1620</v>
      </c>
      <c r="G691" s="883" t="s">
        <v>2478</v>
      </c>
      <c r="H691" s="883" t="s">
        <v>2063</v>
      </c>
      <c r="I691" s="883" t="s">
        <v>2538</v>
      </c>
      <c r="J691" s="885">
        <v>0</v>
      </c>
      <c r="K691" s="885">
        <v>0.103</v>
      </c>
      <c r="L691" s="886">
        <v>0.102935</v>
      </c>
      <c r="M691" s="882"/>
    </row>
    <row r="692" spans="1:13" ht="12.75">
      <c r="A692" s="882"/>
      <c r="B692" s="882"/>
      <c r="C692" s="882"/>
      <c r="D692" s="882"/>
      <c r="E692" s="883" t="s">
        <v>1621</v>
      </c>
      <c r="F692" s="883" t="s">
        <v>1622</v>
      </c>
      <c r="G692" s="883" t="s">
        <v>2279</v>
      </c>
      <c r="H692" s="883" t="s">
        <v>2063</v>
      </c>
      <c r="I692" s="883" t="s">
        <v>2538</v>
      </c>
      <c r="J692" s="885">
        <v>0</v>
      </c>
      <c r="K692" s="885">
        <v>0.386</v>
      </c>
      <c r="L692" s="886">
        <v>0.38599911</v>
      </c>
      <c r="M692" s="882"/>
    </row>
    <row r="693" spans="1:13" ht="12.75">
      <c r="A693" s="882"/>
      <c r="B693" s="882"/>
      <c r="C693" s="882"/>
      <c r="D693" s="882"/>
      <c r="E693" s="883" t="s">
        <v>1623</v>
      </c>
      <c r="F693" s="883" t="s">
        <v>1624</v>
      </c>
      <c r="G693" s="883" t="s">
        <v>2279</v>
      </c>
      <c r="H693" s="883" t="s">
        <v>2063</v>
      </c>
      <c r="I693" s="883" t="s">
        <v>2538</v>
      </c>
      <c r="J693" s="885">
        <v>0</v>
      </c>
      <c r="K693" s="885">
        <v>0.583</v>
      </c>
      <c r="L693" s="886">
        <v>0.582267</v>
      </c>
      <c r="M693" s="882"/>
    </row>
    <row r="694" spans="1:13" ht="12.75">
      <c r="A694" s="882"/>
      <c r="B694" s="882"/>
      <c r="C694" s="882"/>
      <c r="D694" s="882"/>
      <c r="E694" s="883" t="s">
        <v>1625</v>
      </c>
      <c r="F694" s="883" t="s">
        <v>1626</v>
      </c>
      <c r="G694" s="883" t="s">
        <v>2191</v>
      </c>
      <c r="H694" s="883" t="s">
        <v>2063</v>
      </c>
      <c r="I694" s="883" t="s">
        <v>2627</v>
      </c>
      <c r="J694" s="885">
        <v>0</v>
      </c>
      <c r="K694" s="885">
        <v>0</v>
      </c>
      <c r="L694" s="886">
        <v>0.903165</v>
      </c>
      <c r="M694" s="882"/>
    </row>
    <row r="695" spans="1:13" ht="12.75">
      <c r="A695" s="882"/>
      <c r="B695" s="882"/>
      <c r="C695" s="882"/>
      <c r="D695" s="882"/>
      <c r="E695" s="883" t="s">
        <v>1627</v>
      </c>
      <c r="F695" s="883" t="s">
        <v>1628</v>
      </c>
      <c r="G695" s="883" t="s">
        <v>2192</v>
      </c>
      <c r="H695" s="883" t="s">
        <v>2063</v>
      </c>
      <c r="I695" s="883" t="s">
        <v>2538</v>
      </c>
      <c r="J695" s="885">
        <v>0</v>
      </c>
      <c r="K695" s="885">
        <v>2.35</v>
      </c>
      <c r="L695" s="886">
        <v>2.35</v>
      </c>
      <c r="M695" s="882"/>
    </row>
    <row r="696" spans="1:13" ht="12.75">
      <c r="A696" s="882"/>
      <c r="B696" s="882"/>
      <c r="C696" s="882"/>
      <c r="D696" s="882"/>
      <c r="E696" s="883" t="s">
        <v>1629</v>
      </c>
      <c r="F696" s="883" t="s">
        <v>1630</v>
      </c>
      <c r="G696" s="883" t="s">
        <v>2192</v>
      </c>
      <c r="H696" s="883" t="s">
        <v>2063</v>
      </c>
      <c r="I696" s="883" t="s">
        <v>2538</v>
      </c>
      <c r="J696" s="885">
        <v>0</v>
      </c>
      <c r="K696" s="885">
        <v>1.964</v>
      </c>
      <c r="L696" s="886">
        <v>1.964</v>
      </c>
      <c r="M696" s="882"/>
    </row>
    <row r="697" spans="1:13" ht="12.75">
      <c r="A697" s="882"/>
      <c r="B697" s="882"/>
      <c r="C697" s="882"/>
      <c r="D697" s="882"/>
      <c r="E697" s="883" t="s">
        <v>1631</v>
      </c>
      <c r="F697" s="883" t="s">
        <v>1632</v>
      </c>
      <c r="G697" s="883" t="s">
        <v>2185</v>
      </c>
      <c r="H697" s="883" t="s">
        <v>2063</v>
      </c>
      <c r="I697" s="883" t="s">
        <v>2538</v>
      </c>
      <c r="J697" s="885">
        <v>0</v>
      </c>
      <c r="K697" s="885">
        <v>0.793</v>
      </c>
      <c r="L697" s="886">
        <v>0.7926685</v>
      </c>
      <c r="M697" s="882"/>
    </row>
    <row r="698" spans="1:13" ht="12.75">
      <c r="A698" s="882"/>
      <c r="B698" s="882"/>
      <c r="C698" s="882"/>
      <c r="D698" s="882"/>
      <c r="E698" s="883" t="s">
        <v>1633</v>
      </c>
      <c r="F698" s="883" t="s">
        <v>1634</v>
      </c>
      <c r="G698" s="883" t="s">
        <v>2191</v>
      </c>
      <c r="H698" s="883" t="s">
        <v>2063</v>
      </c>
      <c r="I698" s="883" t="s">
        <v>2538</v>
      </c>
      <c r="J698" s="885">
        <v>0</v>
      </c>
      <c r="K698" s="885">
        <v>0.389</v>
      </c>
      <c r="L698" s="886">
        <v>0.388999</v>
      </c>
      <c r="M698" s="882"/>
    </row>
    <row r="699" spans="1:13" ht="12.75">
      <c r="A699" s="882"/>
      <c r="B699" s="882"/>
      <c r="C699" s="882"/>
      <c r="D699" s="882"/>
      <c r="E699" s="883" t="s">
        <v>1635</v>
      </c>
      <c r="F699" s="883" t="s">
        <v>1636</v>
      </c>
      <c r="G699" s="883" t="s">
        <v>2186</v>
      </c>
      <c r="H699" s="883" t="s">
        <v>2063</v>
      </c>
      <c r="I699" s="883" t="s">
        <v>2538</v>
      </c>
      <c r="J699" s="885">
        <v>0</v>
      </c>
      <c r="K699" s="885">
        <v>0.184</v>
      </c>
      <c r="L699" s="886">
        <v>0.183855</v>
      </c>
      <c r="M699" s="882"/>
    </row>
    <row r="700" spans="1:13" ht="12.75">
      <c r="A700" s="882"/>
      <c r="B700" s="882"/>
      <c r="C700" s="882"/>
      <c r="D700" s="882"/>
      <c r="E700" s="883" t="s">
        <v>1637</v>
      </c>
      <c r="F700" s="883" t="s">
        <v>1638</v>
      </c>
      <c r="G700" s="883" t="s">
        <v>2180</v>
      </c>
      <c r="H700" s="883" t="s">
        <v>2063</v>
      </c>
      <c r="I700" s="883" t="s">
        <v>2538</v>
      </c>
      <c r="J700" s="885">
        <v>0</v>
      </c>
      <c r="K700" s="885">
        <v>0.131</v>
      </c>
      <c r="L700" s="886">
        <v>0.1309</v>
      </c>
      <c r="M700" s="882"/>
    </row>
    <row r="701" spans="1:13" ht="12.75">
      <c r="A701" s="882"/>
      <c r="B701" s="882"/>
      <c r="C701" s="882"/>
      <c r="D701" s="882"/>
      <c r="E701" s="883" t="s">
        <v>1639</v>
      </c>
      <c r="F701" s="883" t="s">
        <v>1640</v>
      </c>
      <c r="G701" s="883" t="s">
        <v>2180</v>
      </c>
      <c r="H701" s="883" t="s">
        <v>2063</v>
      </c>
      <c r="I701" s="883" t="s">
        <v>2627</v>
      </c>
      <c r="J701" s="885">
        <v>0</v>
      </c>
      <c r="K701" s="885">
        <v>0</v>
      </c>
      <c r="L701" s="886">
        <v>0.1</v>
      </c>
      <c r="M701" s="882"/>
    </row>
    <row r="702" spans="1:13" ht="12.75">
      <c r="A702" s="882"/>
      <c r="B702" s="882"/>
      <c r="C702" s="882"/>
      <c r="D702" s="882"/>
      <c r="E702" s="883" t="s">
        <v>1641</v>
      </c>
      <c r="F702" s="883" t="s">
        <v>1642</v>
      </c>
      <c r="G702" s="883" t="s">
        <v>2478</v>
      </c>
      <c r="H702" s="883" t="s">
        <v>2063</v>
      </c>
      <c r="I702" s="883" t="s">
        <v>2627</v>
      </c>
      <c r="J702" s="885">
        <v>0</v>
      </c>
      <c r="K702" s="885">
        <v>0</v>
      </c>
      <c r="L702" s="886">
        <v>0.124882</v>
      </c>
      <c r="M702" s="882"/>
    </row>
    <row r="703" spans="1:13" ht="12.75">
      <c r="A703" s="882"/>
      <c r="B703" s="882"/>
      <c r="C703" s="882"/>
      <c r="D703" s="882"/>
      <c r="E703" s="883" t="s">
        <v>1643</v>
      </c>
      <c r="F703" s="883" t="s">
        <v>1644</v>
      </c>
      <c r="G703" s="883" t="s">
        <v>2186</v>
      </c>
      <c r="H703" s="883" t="s">
        <v>2063</v>
      </c>
      <c r="I703" s="883" t="s">
        <v>2538</v>
      </c>
      <c r="J703" s="885">
        <v>0</v>
      </c>
      <c r="K703" s="885">
        <v>0.059</v>
      </c>
      <c r="L703" s="886">
        <v>0.05881337</v>
      </c>
      <c r="M703" s="882"/>
    </row>
    <row r="704" spans="1:13" ht="12.75">
      <c r="A704" s="882"/>
      <c r="B704" s="882"/>
      <c r="C704" s="882"/>
      <c r="D704" s="882"/>
      <c r="E704" s="883" t="s">
        <v>1645</v>
      </c>
      <c r="F704" s="883" t="s">
        <v>1646</v>
      </c>
      <c r="G704" s="883" t="s">
        <v>2181</v>
      </c>
      <c r="H704" s="883" t="s">
        <v>2063</v>
      </c>
      <c r="I704" s="883" t="s">
        <v>2538</v>
      </c>
      <c r="J704" s="885">
        <v>0</v>
      </c>
      <c r="K704" s="885">
        <v>0.219</v>
      </c>
      <c r="L704" s="886">
        <v>0.21896</v>
      </c>
      <c r="M704" s="882"/>
    </row>
    <row r="705" spans="1:13" ht="12.75">
      <c r="A705" s="882"/>
      <c r="B705" s="882"/>
      <c r="C705" s="882"/>
      <c r="D705" s="882"/>
      <c r="E705" s="883" t="s">
        <v>1647</v>
      </c>
      <c r="F705" s="883" t="s">
        <v>1648</v>
      </c>
      <c r="G705" s="883" t="s">
        <v>2183</v>
      </c>
      <c r="H705" s="883" t="s">
        <v>2063</v>
      </c>
      <c r="I705" s="883" t="s">
        <v>2538</v>
      </c>
      <c r="J705" s="885">
        <v>0</v>
      </c>
      <c r="K705" s="885">
        <v>0.329</v>
      </c>
      <c r="L705" s="886">
        <v>0.32844</v>
      </c>
      <c r="M705" s="882"/>
    </row>
    <row r="706" spans="1:13" ht="12.75">
      <c r="A706" s="882"/>
      <c r="B706" s="882"/>
      <c r="C706" s="882"/>
      <c r="D706" s="882"/>
      <c r="E706" s="883" t="s">
        <v>1649</v>
      </c>
      <c r="F706" s="883" t="s">
        <v>1650</v>
      </c>
      <c r="G706" s="883" t="s">
        <v>2187</v>
      </c>
      <c r="H706" s="883" t="s">
        <v>2063</v>
      </c>
      <c r="I706" s="883" t="s">
        <v>2538</v>
      </c>
      <c r="J706" s="885">
        <v>0</v>
      </c>
      <c r="K706" s="885">
        <v>0.118</v>
      </c>
      <c r="L706" s="886">
        <v>0.10948</v>
      </c>
      <c r="M706" s="882"/>
    </row>
    <row r="707" spans="1:13" ht="12.75">
      <c r="A707" s="882"/>
      <c r="B707" s="882"/>
      <c r="C707" s="882"/>
      <c r="D707" s="882"/>
      <c r="E707" s="883" t="s">
        <v>1651</v>
      </c>
      <c r="F707" s="883" t="s">
        <v>1652</v>
      </c>
      <c r="G707" s="883" t="s">
        <v>2192</v>
      </c>
      <c r="H707" s="883" t="s">
        <v>2063</v>
      </c>
      <c r="I707" s="883" t="s">
        <v>2538</v>
      </c>
      <c r="J707" s="885">
        <v>0</v>
      </c>
      <c r="K707" s="885">
        <v>0.135</v>
      </c>
      <c r="L707" s="886">
        <v>0.135</v>
      </c>
      <c r="M707" s="882"/>
    </row>
    <row r="708" spans="1:13" ht="12.75">
      <c r="A708" s="882"/>
      <c r="B708" s="882"/>
      <c r="C708" s="882"/>
      <c r="D708" s="882"/>
      <c r="E708" s="883" t="s">
        <v>1653</v>
      </c>
      <c r="F708" s="883" t="s">
        <v>1654</v>
      </c>
      <c r="G708" s="883" t="s">
        <v>2190</v>
      </c>
      <c r="H708" s="883" t="s">
        <v>2063</v>
      </c>
      <c r="I708" s="883" t="s">
        <v>2538</v>
      </c>
      <c r="J708" s="885">
        <v>0</v>
      </c>
      <c r="K708" s="885">
        <v>0.1</v>
      </c>
      <c r="L708" s="886">
        <v>0.09999</v>
      </c>
      <c r="M708" s="882"/>
    </row>
    <row r="709" spans="1:13" ht="12.75">
      <c r="A709" s="882"/>
      <c r="B709" s="882"/>
      <c r="C709" s="882"/>
      <c r="D709" s="882"/>
      <c r="E709" s="883" t="s">
        <v>1655</v>
      </c>
      <c r="F709" s="883" t="s">
        <v>1656</v>
      </c>
      <c r="G709" s="883" t="s">
        <v>2190</v>
      </c>
      <c r="H709" s="883" t="s">
        <v>2063</v>
      </c>
      <c r="I709" s="883" t="s">
        <v>2538</v>
      </c>
      <c r="J709" s="885">
        <v>0</v>
      </c>
      <c r="K709" s="885">
        <v>0.135</v>
      </c>
      <c r="L709" s="886">
        <v>0.135</v>
      </c>
      <c r="M709" s="882"/>
    </row>
    <row r="710" spans="1:13" ht="12.75">
      <c r="A710" s="882"/>
      <c r="B710" s="882"/>
      <c r="C710" s="882"/>
      <c r="D710" s="882"/>
      <c r="E710" s="883" t="s">
        <v>1657</v>
      </c>
      <c r="F710" s="883" t="s">
        <v>1658</v>
      </c>
      <c r="G710" s="883" t="s">
        <v>2190</v>
      </c>
      <c r="H710" s="883" t="s">
        <v>2063</v>
      </c>
      <c r="I710" s="883" t="s">
        <v>2538</v>
      </c>
      <c r="J710" s="885">
        <v>0</v>
      </c>
      <c r="K710" s="885">
        <v>0.041</v>
      </c>
      <c r="L710" s="886">
        <v>0.041</v>
      </c>
      <c r="M710" s="882"/>
    </row>
    <row r="711" spans="1:13" ht="12.75">
      <c r="A711" s="882"/>
      <c r="B711" s="882"/>
      <c r="C711" s="882"/>
      <c r="D711" s="882"/>
      <c r="E711" s="883" t="s">
        <v>1659</v>
      </c>
      <c r="F711" s="883" t="s">
        <v>1660</v>
      </c>
      <c r="G711" s="883" t="s">
        <v>2279</v>
      </c>
      <c r="H711" s="883" t="s">
        <v>2063</v>
      </c>
      <c r="I711" s="883" t="s">
        <v>2538</v>
      </c>
      <c r="J711" s="885">
        <v>0</v>
      </c>
      <c r="K711" s="885">
        <v>0.65</v>
      </c>
      <c r="L711" s="886">
        <v>0.649978</v>
      </c>
      <c r="M711" s="882"/>
    </row>
    <row r="712" spans="1:13" ht="12.75">
      <c r="A712" s="882"/>
      <c r="B712" s="882"/>
      <c r="C712" s="882"/>
      <c r="D712" s="882"/>
      <c r="E712" s="883" t="s">
        <v>1661</v>
      </c>
      <c r="F712" s="883" t="s">
        <v>1662</v>
      </c>
      <c r="G712" s="883" t="s">
        <v>2478</v>
      </c>
      <c r="H712" s="883" t="s">
        <v>2063</v>
      </c>
      <c r="I712" s="883" t="s">
        <v>2538</v>
      </c>
      <c r="J712" s="885">
        <v>0</v>
      </c>
      <c r="K712" s="885">
        <v>0.094</v>
      </c>
      <c r="L712" s="886">
        <v>0.094</v>
      </c>
      <c r="M712" s="882"/>
    </row>
    <row r="713" spans="1:13" ht="12.75">
      <c r="A713" s="882"/>
      <c r="B713" s="882"/>
      <c r="C713" s="882"/>
      <c r="D713" s="882"/>
      <c r="E713" s="883" t="s">
        <v>1663</v>
      </c>
      <c r="F713" s="883" t="s">
        <v>1312</v>
      </c>
      <c r="G713" s="883" t="s">
        <v>2181</v>
      </c>
      <c r="H713" s="883" t="s">
        <v>2063</v>
      </c>
      <c r="I713" s="883" t="s">
        <v>2538</v>
      </c>
      <c r="J713" s="885">
        <v>0</v>
      </c>
      <c r="K713" s="885">
        <v>0.157</v>
      </c>
      <c r="L713" s="886">
        <v>0.156937</v>
      </c>
      <c r="M713" s="882"/>
    </row>
    <row r="714" spans="1:13" ht="12.75">
      <c r="A714" s="882"/>
      <c r="B714" s="882"/>
      <c r="C714" s="882"/>
      <c r="D714" s="882"/>
      <c r="E714" s="883" t="s">
        <v>1664</v>
      </c>
      <c r="F714" s="883" t="s">
        <v>1665</v>
      </c>
      <c r="G714" s="883" t="s">
        <v>2279</v>
      </c>
      <c r="H714" s="883" t="s">
        <v>2543</v>
      </c>
      <c r="I714" s="883" t="s">
        <v>2538</v>
      </c>
      <c r="J714" s="884">
        <v>80</v>
      </c>
      <c r="K714" s="885">
        <v>0</v>
      </c>
      <c r="L714" s="886">
        <v>0</v>
      </c>
      <c r="M714" s="882"/>
    </row>
    <row r="715" spans="1:13" ht="12.75">
      <c r="A715" s="882"/>
      <c r="B715" s="882"/>
      <c r="C715" s="882"/>
      <c r="D715" s="882"/>
      <c r="E715" s="883" t="s">
        <v>1666</v>
      </c>
      <c r="F715" s="883" t="s">
        <v>1667</v>
      </c>
      <c r="G715" s="883" t="s">
        <v>2279</v>
      </c>
      <c r="H715" s="883" t="s">
        <v>2543</v>
      </c>
      <c r="I715" s="883" t="s">
        <v>2538</v>
      </c>
      <c r="J715" s="884">
        <v>4.86</v>
      </c>
      <c r="K715" s="885">
        <v>0</v>
      </c>
      <c r="L715" s="886">
        <v>0</v>
      </c>
      <c r="M715" s="882"/>
    </row>
    <row r="716" spans="1:13" ht="12.75">
      <c r="A716" s="882"/>
      <c r="B716" s="882"/>
      <c r="C716" s="882"/>
      <c r="D716" s="882"/>
      <c r="E716" s="883" t="s">
        <v>1668</v>
      </c>
      <c r="F716" s="883" t="s">
        <v>1669</v>
      </c>
      <c r="G716" s="883" t="s">
        <v>2279</v>
      </c>
      <c r="H716" s="883" t="s">
        <v>2063</v>
      </c>
      <c r="I716" s="883" t="s">
        <v>2538</v>
      </c>
      <c r="J716" s="885">
        <v>0</v>
      </c>
      <c r="K716" s="885">
        <v>2.5</v>
      </c>
      <c r="L716" s="886">
        <v>2.5</v>
      </c>
      <c r="M716" s="882"/>
    </row>
    <row r="717" spans="1:13" ht="12.75">
      <c r="A717" s="882"/>
      <c r="B717" s="882"/>
      <c r="C717" s="882"/>
      <c r="D717" s="882"/>
      <c r="E717" s="883" t="s">
        <v>1670</v>
      </c>
      <c r="F717" s="883" t="s">
        <v>1671</v>
      </c>
      <c r="G717" s="883" t="s">
        <v>2279</v>
      </c>
      <c r="H717" s="883" t="s">
        <v>2063</v>
      </c>
      <c r="I717" s="883" t="s">
        <v>2538</v>
      </c>
      <c r="J717" s="885">
        <v>0</v>
      </c>
      <c r="K717" s="885">
        <v>2.5</v>
      </c>
      <c r="L717" s="886">
        <v>2.5</v>
      </c>
      <c r="M717" s="882"/>
    </row>
    <row r="718" spans="1:13" ht="12.75">
      <c r="A718" s="882"/>
      <c r="B718" s="882"/>
      <c r="C718" s="882"/>
      <c r="D718" s="882"/>
      <c r="E718" s="883" t="s">
        <v>1672</v>
      </c>
      <c r="F718" s="883" t="s">
        <v>1673</v>
      </c>
      <c r="G718" s="883" t="s">
        <v>2279</v>
      </c>
      <c r="H718" s="883" t="s">
        <v>2063</v>
      </c>
      <c r="I718" s="883" t="s">
        <v>2538</v>
      </c>
      <c r="J718" s="885">
        <v>0</v>
      </c>
      <c r="K718" s="885">
        <v>2.5</v>
      </c>
      <c r="L718" s="886">
        <v>2.5</v>
      </c>
      <c r="M718" s="882"/>
    </row>
    <row r="719" spans="1:13" ht="12.75">
      <c r="A719" s="882"/>
      <c r="B719" s="882"/>
      <c r="C719" s="882"/>
      <c r="D719" s="882"/>
      <c r="E719" s="883" t="s">
        <v>1674</v>
      </c>
      <c r="F719" s="883" t="s">
        <v>1675</v>
      </c>
      <c r="G719" s="883" t="s">
        <v>2279</v>
      </c>
      <c r="H719" s="883" t="s">
        <v>2063</v>
      </c>
      <c r="I719" s="883" t="s">
        <v>2538</v>
      </c>
      <c r="J719" s="885">
        <v>0</v>
      </c>
      <c r="K719" s="885">
        <v>2.5</v>
      </c>
      <c r="L719" s="886">
        <v>2.5</v>
      </c>
      <c r="M719" s="882"/>
    </row>
    <row r="720" spans="1:13" ht="12.75">
      <c r="A720" s="882"/>
      <c r="B720" s="882"/>
      <c r="C720" s="882"/>
      <c r="D720" s="882"/>
      <c r="E720" s="883" t="s">
        <v>1676</v>
      </c>
      <c r="F720" s="883" t="s">
        <v>1677</v>
      </c>
      <c r="G720" s="883" t="s">
        <v>2279</v>
      </c>
      <c r="H720" s="883" t="s">
        <v>2063</v>
      </c>
      <c r="I720" s="883" t="s">
        <v>2538</v>
      </c>
      <c r="J720" s="885">
        <v>0</v>
      </c>
      <c r="K720" s="885">
        <v>2.5</v>
      </c>
      <c r="L720" s="886">
        <v>2.5</v>
      </c>
      <c r="M720" s="882"/>
    </row>
    <row r="721" spans="1:13" ht="12.75">
      <c r="A721" s="882"/>
      <c r="B721" s="882"/>
      <c r="C721" s="882"/>
      <c r="D721" s="882"/>
      <c r="E721" s="883" t="s">
        <v>1678</v>
      </c>
      <c r="F721" s="883" t="s">
        <v>1679</v>
      </c>
      <c r="G721" s="883" t="s">
        <v>2279</v>
      </c>
      <c r="H721" s="883" t="s">
        <v>2063</v>
      </c>
      <c r="I721" s="883" t="s">
        <v>2538</v>
      </c>
      <c r="J721" s="885">
        <v>0</v>
      </c>
      <c r="K721" s="885">
        <v>2.5</v>
      </c>
      <c r="L721" s="886">
        <v>2.5</v>
      </c>
      <c r="M721" s="882"/>
    </row>
    <row r="722" spans="1:13" ht="12.75">
      <c r="A722" s="882"/>
      <c r="B722" s="882"/>
      <c r="C722" s="882"/>
      <c r="D722" s="882"/>
      <c r="E722" s="883" t="s">
        <v>1680</v>
      </c>
      <c r="F722" s="883" t="s">
        <v>1681</v>
      </c>
      <c r="G722" s="883" t="s">
        <v>2279</v>
      </c>
      <c r="H722" s="883" t="s">
        <v>2063</v>
      </c>
      <c r="I722" s="883" t="s">
        <v>2538</v>
      </c>
      <c r="J722" s="885">
        <v>0</v>
      </c>
      <c r="K722" s="885">
        <v>2.5</v>
      </c>
      <c r="L722" s="886">
        <v>2.5</v>
      </c>
      <c r="M722" s="882"/>
    </row>
    <row r="723" spans="1:13" ht="12.75">
      <c r="A723" s="882"/>
      <c r="B723" s="882"/>
      <c r="C723" s="882"/>
      <c r="D723" s="882"/>
      <c r="E723" s="883" t="s">
        <v>1682</v>
      </c>
      <c r="F723" s="883" t="s">
        <v>1683</v>
      </c>
      <c r="G723" s="883" t="s">
        <v>2279</v>
      </c>
      <c r="H723" s="883" t="s">
        <v>2063</v>
      </c>
      <c r="I723" s="883" t="s">
        <v>2538</v>
      </c>
      <c r="J723" s="885">
        <v>0</v>
      </c>
      <c r="K723" s="885">
        <v>2.5</v>
      </c>
      <c r="L723" s="886">
        <v>2.5</v>
      </c>
      <c r="M723" s="882"/>
    </row>
    <row r="724" spans="1:13" ht="12.75">
      <c r="A724" s="882"/>
      <c r="B724" s="882"/>
      <c r="C724" s="882"/>
      <c r="D724" s="882"/>
      <c r="E724" s="883" t="s">
        <v>1684</v>
      </c>
      <c r="F724" s="883" t="s">
        <v>1685</v>
      </c>
      <c r="G724" s="883" t="s">
        <v>2279</v>
      </c>
      <c r="H724" s="883" t="s">
        <v>2063</v>
      </c>
      <c r="I724" s="883" t="s">
        <v>2538</v>
      </c>
      <c r="J724" s="885">
        <v>0</v>
      </c>
      <c r="K724" s="885">
        <v>2.5</v>
      </c>
      <c r="L724" s="886">
        <v>2.5</v>
      </c>
      <c r="M724" s="882"/>
    </row>
    <row r="725" spans="1:13" ht="12.75">
      <c r="A725" s="882"/>
      <c r="B725" s="882"/>
      <c r="C725" s="882"/>
      <c r="D725" s="882"/>
      <c r="E725" s="883" t="s">
        <v>1686</v>
      </c>
      <c r="F725" s="883" t="s">
        <v>1687</v>
      </c>
      <c r="G725" s="883" t="s">
        <v>2279</v>
      </c>
      <c r="H725" s="883" t="s">
        <v>2063</v>
      </c>
      <c r="I725" s="883" t="s">
        <v>2538</v>
      </c>
      <c r="J725" s="885">
        <v>0</v>
      </c>
      <c r="K725" s="885">
        <v>2.235</v>
      </c>
      <c r="L725" s="886">
        <v>2.235</v>
      </c>
      <c r="M725" s="882"/>
    </row>
    <row r="726" spans="1:13" ht="12.75">
      <c r="A726" s="882"/>
      <c r="B726" s="882"/>
      <c r="C726" s="882"/>
      <c r="D726" s="882"/>
      <c r="E726" s="883" t="s">
        <v>1688</v>
      </c>
      <c r="F726" s="883" t="s">
        <v>1689</v>
      </c>
      <c r="G726" s="883" t="s">
        <v>2279</v>
      </c>
      <c r="H726" s="883" t="s">
        <v>2063</v>
      </c>
      <c r="I726" s="883" t="s">
        <v>2538</v>
      </c>
      <c r="J726" s="885">
        <v>0</v>
      </c>
      <c r="K726" s="885">
        <v>2.5</v>
      </c>
      <c r="L726" s="886">
        <v>2.5</v>
      </c>
      <c r="M726" s="882"/>
    </row>
    <row r="727" spans="1:13" ht="12.75">
      <c r="A727" s="882"/>
      <c r="B727" s="882"/>
      <c r="C727" s="882"/>
      <c r="D727" s="882"/>
      <c r="E727" s="883" t="s">
        <v>1690</v>
      </c>
      <c r="F727" s="883" t="s">
        <v>1691</v>
      </c>
      <c r="G727" s="883" t="s">
        <v>2279</v>
      </c>
      <c r="H727" s="883" t="s">
        <v>2063</v>
      </c>
      <c r="I727" s="883" t="s">
        <v>2538</v>
      </c>
      <c r="J727" s="885">
        <v>0</v>
      </c>
      <c r="K727" s="885">
        <v>0.2</v>
      </c>
      <c r="L727" s="886">
        <v>0.2</v>
      </c>
      <c r="M727" s="882"/>
    </row>
    <row r="728" spans="1:13" ht="12.75">
      <c r="A728" s="882"/>
      <c r="B728" s="882"/>
      <c r="C728" s="882"/>
      <c r="D728" s="882"/>
      <c r="E728" s="883" t="s">
        <v>1692</v>
      </c>
      <c r="F728" s="883" t="s">
        <v>1693</v>
      </c>
      <c r="G728" s="883" t="s">
        <v>2279</v>
      </c>
      <c r="H728" s="883" t="s">
        <v>2063</v>
      </c>
      <c r="I728" s="883" t="s">
        <v>2538</v>
      </c>
      <c r="J728" s="885">
        <v>0</v>
      </c>
      <c r="K728" s="885">
        <v>2.24</v>
      </c>
      <c r="L728" s="886">
        <v>2.24</v>
      </c>
      <c r="M728" s="882"/>
    </row>
    <row r="729" spans="1:13" ht="12.75">
      <c r="A729" s="882"/>
      <c r="B729" s="882"/>
      <c r="C729" s="882"/>
      <c r="D729" s="882"/>
      <c r="E729" s="883" t="s">
        <v>1694</v>
      </c>
      <c r="F729" s="883" t="s">
        <v>1695</v>
      </c>
      <c r="G729" s="883" t="s">
        <v>2279</v>
      </c>
      <c r="H729" s="883" t="s">
        <v>2063</v>
      </c>
      <c r="I729" s="883" t="s">
        <v>2538</v>
      </c>
      <c r="J729" s="885">
        <v>0</v>
      </c>
      <c r="K729" s="885">
        <v>2.5</v>
      </c>
      <c r="L729" s="886">
        <v>2.5</v>
      </c>
      <c r="M729" s="882"/>
    </row>
    <row r="730" spans="1:13" ht="12.75">
      <c r="A730" s="882"/>
      <c r="B730" s="882"/>
      <c r="C730" s="882"/>
      <c r="D730" s="882"/>
      <c r="E730" s="883" t="s">
        <v>1696</v>
      </c>
      <c r="F730" s="883" t="s">
        <v>1697</v>
      </c>
      <c r="G730" s="883" t="s">
        <v>2279</v>
      </c>
      <c r="H730" s="883" t="s">
        <v>2063</v>
      </c>
      <c r="I730" s="883" t="s">
        <v>2538</v>
      </c>
      <c r="J730" s="885">
        <v>0</v>
      </c>
      <c r="K730" s="885">
        <v>2.5</v>
      </c>
      <c r="L730" s="886">
        <v>2.5</v>
      </c>
      <c r="M730" s="882"/>
    </row>
    <row r="731" spans="1:13" ht="12.75">
      <c r="A731" s="882"/>
      <c r="B731" s="882"/>
      <c r="C731" s="882"/>
      <c r="D731" s="882"/>
      <c r="E731" s="883" t="s">
        <v>1698</v>
      </c>
      <c r="F731" s="883" t="s">
        <v>1699</v>
      </c>
      <c r="G731" s="883" t="s">
        <v>2279</v>
      </c>
      <c r="H731" s="883" t="s">
        <v>2063</v>
      </c>
      <c r="I731" s="883" t="s">
        <v>2538</v>
      </c>
      <c r="J731" s="885">
        <v>0</v>
      </c>
      <c r="K731" s="885">
        <v>2.5</v>
      </c>
      <c r="L731" s="886">
        <v>2.5</v>
      </c>
      <c r="M731" s="882"/>
    </row>
    <row r="732" spans="1:13" ht="12.75">
      <c r="A732" s="882"/>
      <c r="B732" s="882"/>
      <c r="C732" s="882"/>
      <c r="D732" s="882"/>
      <c r="E732" s="883" t="s">
        <v>1700</v>
      </c>
      <c r="F732" s="883" t="s">
        <v>1701</v>
      </c>
      <c r="G732" s="883" t="s">
        <v>2279</v>
      </c>
      <c r="H732" s="883" t="s">
        <v>2063</v>
      </c>
      <c r="I732" s="883" t="s">
        <v>2538</v>
      </c>
      <c r="J732" s="885">
        <v>0</v>
      </c>
      <c r="K732" s="885">
        <v>2.5</v>
      </c>
      <c r="L732" s="886">
        <v>2.5</v>
      </c>
      <c r="M732" s="882"/>
    </row>
    <row r="733" spans="1:13" ht="12.75">
      <c r="A733" s="882"/>
      <c r="B733" s="882"/>
      <c r="C733" s="882"/>
      <c r="D733" s="882"/>
      <c r="E733" s="883" t="s">
        <v>1702</v>
      </c>
      <c r="F733" s="883" t="s">
        <v>1703</v>
      </c>
      <c r="G733" s="883" t="s">
        <v>2279</v>
      </c>
      <c r="H733" s="883" t="s">
        <v>2063</v>
      </c>
      <c r="I733" s="883" t="s">
        <v>2538</v>
      </c>
      <c r="J733" s="885">
        <v>0</v>
      </c>
      <c r="K733" s="885">
        <v>2.5</v>
      </c>
      <c r="L733" s="886">
        <v>2.5</v>
      </c>
      <c r="M733" s="882"/>
    </row>
    <row r="734" spans="1:13" ht="12.75">
      <c r="A734" s="882"/>
      <c r="B734" s="882"/>
      <c r="C734" s="882"/>
      <c r="D734" s="882"/>
      <c r="E734" s="883" t="s">
        <v>1704</v>
      </c>
      <c r="F734" s="883" t="s">
        <v>1705</v>
      </c>
      <c r="G734" s="883" t="s">
        <v>2279</v>
      </c>
      <c r="H734" s="883" t="s">
        <v>2063</v>
      </c>
      <c r="I734" s="883" t="s">
        <v>2538</v>
      </c>
      <c r="J734" s="885">
        <v>0</v>
      </c>
      <c r="K734" s="885">
        <v>2.5</v>
      </c>
      <c r="L734" s="886">
        <v>2.5</v>
      </c>
      <c r="M734" s="882"/>
    </row>
    <row r="735" spans="1:13" ht="12.75">
      <c r="A735" s="882"/>
      <c r="B735" s="882"/>
      <c r="C735" s="882"/>
      <c r="D735" s="882"/>
      <c r="E735" s="883" t="s">
        <v>1706</v>
      </c>
      <c r="F735" s="883" t="s">
        <v>1707</v>
      </c>
      <c r="G735" s="883" t="s">
        <v>2279</v>
      </c>
      <c r="H735" s="883" t="s">
        <v>2063</v>
      </c>
      <c r="I735" s="883" t="s">
        <v>2538</v>
      </c>
      <c r="J735" s="885">
        <v>0</v>
      </c>
      <c r="K735" s="885">
        <v>2.5</v>
      </c>
      <c r="L735" s="886">
        <v>2.5</v>
      </c>
      <c r="M735" s="882"/>
    </row>
    <row r="736" spans="1:13" ht="12.75">
      <c r="A736" s="882"/>
      <c r="B736" s="882"/>
      <c r="C736" s="882"/>
      <c r="D736" s="882"/>
      <c r="E736" s="883" t="s">
        <v>1708</v>
      </c>
      <c r="F736" s="883" t="s">
        <v>1709</v>
      </c>
      <c r="G736" s="883" t="s">
        <v>2279</v>
      </c>
      <c r="H736" s="883" t="s">
        <v>2063</v>
      </c>
      <c r="I736" s="883" t="s">
        <v>2538</v>
      </c>
      <c r="J736" s="885">
        <v>0</v>
      </c>
      <c r="K736" s="885">
        <v>2.5</v>
      </c>
      <c r="L736" s="886">
        <v>2.5</v>
      </c>
      <c r="M736" s="882"/>
    </row>
    <row r="737" spans="1:13" ht="12.75">
      <c r="A737" s="882"/>
      <c r="B737" s="882"/>
      <c r="C737" s="882"/>
      <c r="D737" s="882"/>
      <c r="E737" s="883" t="s">
        <v>1710</v>
      </c>
      <c r="F737" s="883" t="s">
        <v>1711</v>
      </c>
      <c r="G737" s="883" t="s">
        <v>2279</v>
      </c>
      <c r="H737" s="883" t="s">
        <v>2063</v>
      </c>
      <c r="I737" s="883" t="s">
        <v>2538</v>
      </c>
      <c r="J737" s="885">
        <v>0</v>
      </c>
      <c r="K737" s="885">
        <v>2.5</v>
      </c>
      <c r="L737" s="886">
        <v>2.5</v>
      </c>
      <c r="M737" s="882"/>
    </row>
    <row r="738" spans="1:13" ht="12.75">
      <c r="A738" s="882"/>
      <c r="B738" s="882"/>
      <c r="C738" s="882"/>
      <c r="D738" s="882"/>
      <c r="E738" s="883" t="s">
        <v>1712</v>
      </c>
      <c r="F738" s="883" t="s">
        <v>1713</v>
      </c>
      <c r="G738" s="883" t="s">
        <v>2279</v>
      </c>
      <c r="H738" s="883" t="s">
        <v>2063</v>
      </c>
      <c r="I738" s="883" t="s">
        <v>2538</v>
      </c>
      <c r="J738" s="885">
        <v>0</v>
      </c>
      <c r="K738" s="885">
        <v>2.5</v>
      </c>
      <c r="L738" s="886">
        <v>2.5</v>
      </c>
      <c r="M738" s="882"/>
    </row>
    <row r="739" spans="1:13" ht="12.75">
      <c r="A739" s="882"/>
      <c r="B739" s="882"/>
      <c r="C739" s="882"/>
      <c r="D739" s="882"/>
      <c r="E739" s="883" t="s">
        <v>1714</v>
      </c>
      <c r="F739" s="883" t="s">
        <v>1715</v>
      </c>
      <c r="G739" s="883" t="s">
        <v>2279</v>
      </c>
      <c r="H739" s="883" t="s">
        <v>2063</v>
      </c>
      <c r="I739" s="883" t="s">
        <v>2538</v>
      </c>
      <c r="J739" s="885">
        <v>0</v>
      </c>
      <c r="K739" s="885">
        <v>2.5</v>
      </c>
      <c r="L739" s="886">
        <v>2.5</v>
      </c>
      <c r="M739" s="882"/>
    </row>
    <row r="740" spans="1:13" ht="12.75">
      <c r="A740" s="882"/>
      <c r="B740" s="882"/>
      <c r="C740" s="882"/>
      <c r="D740" s="882"/>
      <c r="E740" s="883" t="s">
        <v>1716</v>
      </c>
      <c r="F740" s="883" t="s">
        <v>1717</v>
      </c>
      <c r="G740" s="883" t="s">
        <v>2279</v>
      </c>
      <c r="H740" s="883" t="s">
        <v>2063</v>
      </c>
      <c r="I740" s="883" t="s">
        <v>2538</v>
      </c>
      <c r="J740" s="885">
        <v>0</v>
      </c>
      <c r="K740" s="885">
        <v>2.5</v>
      </c>
      <c r="L740" s="886">
        <v>2.5</v>
      </c>
      <c r="M740" s="882"/>
    </row>
    <row r="741" spans="1:13" ht="12.75">
      <c r="A741" s="882"/>
      <c r="B741" s="882"/>
      <c r="C741" s="882"/>
      <c r="D741" s="882"/>
      <c r="E741" s="883" t="s">
        <v>1718</v>
      </c>
      <c r="F741" s="883" t="s">
        <v>1719</v>
      </c>
      <c r="G741" s="883" t="s">
        <v>2279</v>
      </c>
      <c r="H741" s="883" t="s">
        <v>2063</v>
      </c>
      <c r="I741" s="883" t="s">
        <v>2538</v>
      </c>
      <c r="J741" s="885">
        <v>0</v>
      </c>
      <c r="K741" s="885">
        <v>2.5</v>
      </c>
      <c r="L741" s="886">
        <v>2.5</v>
      </c>
      <c r="M741" s="882"/>
    </row>
    <row r="742" spans="1:13" ht="12.75">
      <c r="A742" s="882"/>
      <c r="B742" s="882"/>
      <c r="C742" s="882"/>
      <c r="D742" s="882"/>
      <c r="E742" s="883" t="s">
        <v>1720</v>
      </c>
      <c r="F742" s="883" t="s">
        <v>1721</v>
      </c>
      <c r="G742" s="883" t="s">
        <v>2279</v>
      </c>
      <c r="H742" s="883" t="s">
        <v>2063</v>
      </c>
      <c r="I742" s="883" t="s">
        <v>2538</v>
      </c>
      <c r="J742" s="885">
        <v>0</v>
      </c>
      <c r="K742" s="885">
        <v>0.6</v>
      </c>
      <c r="L742" s="886">
        <v>0.6</v>
      </c>
      <c r="M742" s="882"/>
    </row>
    <row r="743" spans="1:13" ht="12.75">
      <c r="A743" s="882"/>
      <c r="B743" s="882"/>
      <c r="C743" s="882"/>
      <c r="D743" s="882"/>
      <c r="E743" s="883" t="s">
        <v>1722</v>
      </c>
      <c r="F743" s="883" t="s">
        <v>1723</v>
      </c>
      <c r="G743" s="883" t="s">
        <v>2279</v>
      </c>
      <c r="H743" s="883" t="s">
        <v>2063</v>
      </c>
      <c r="I743" s="883" t="s">
        <v>2538</v>
      </c>
      <c r="J743" s="885">
        <v>0</v>
      </c>
      <c r="K743" s="885">
        <v>2.5</v>
      </c>
      <c r="L743" s="886">
        <v>2.5</v>
      </c>
      <c r="M743" s="882"/>
    </row>
    <row r="744" spans="1:13" ht="12.75">
      <c r="A744" s="882"/>
      <c r="B744" s="882"/>
      <c r="C744" s="882"/>
      <c r="D744" s="882"/>
      <c r="E744" s="883" t="s">
        <v>1724</v>
      </c>
      <c r="F744" s="883" t="s">
        <v>1725</v>
      </c>
      <c r="G744" s="883" t="s">
        <v>2279</v>
      </c>
      <c r="H744" s="883" t="s">
        <v>2063</v>
      </c>
      <c r="I744" s="883" t="s">
        <v>2538</v>
      </c>
      <c r="J744" s="885">
        <v>0</v>
      </c>
      <c r="K744" s="885">
        <v>2.5</v>
      </c>
      <c r="L744" s="886">
        <v>2.5</v>
      </c>
      <c r="M744" s="882"/>
    </row>
    <row r="745" spans="1:13" ht="12.75">
      <c r="A745" s="882"/>
      <c r="B745" s="882"/>
      <c r="C745" s="882"/>
      <c r="D745" s="882"/>
      <c r="E745" s="883" t="s">
        <v>1726</v>
      </c>
      <c r="F745" s="883" t="s">
        <v>1727</v>
      </c>
      <c r="G745" s="883" t="s">
        <v>2279</v>
      </c>
      <c r="H745" s="883" t="s">
        <v>2063</v>
      </c>
      <c r="I745" s="883" t="s">
        <v>2538</v>
      </c>
      <c r="J745" s="885">
        <v>0</v>
      </c>
      <c r="K745" s="885">
        <v>2.5</v>
      </c>
      <c r="L745" s="886">
        <v>2.5</v>
      </c>
      <c r="M745" s="882"/>
    </row>
    <row r="746" spans="1:13" ht="12.75">
      <c r="A746" s="882"/>
      <c r="B746" s="882"/>
      <c r="C746" s="882"/>
      <c r="D746" s="882"/>
      <c r="E746" s="883" t="s">
        <v>1728</v>
      </c>
      <c r="F746" s="883" t="s">
        <v>1729</v>
      </c>
      <c r="G746" s="883" t="s">
        <v>2279</v>
      </c>
      <c r="H746" s="883" t="s">
        <v>2063</v>
      </c>
      <c r="I746" s="883" t="s">
        <v>2538</v>
      </c>
      <c r="J746" s="885">
        <v>0</v>
      </c>
      <c r="K746" s="885">
        <v>2.5</v>
      </c>
      <c r="L746" s="886">
        <v>2.5</v>
      </c>
      <c r="M746" s="882"/>
    </row>
    <row r="747" spans="1:13" ht="12.75">
      <c r="A747" s="882"/>
      <c r="B747" s="882"/>
      <c r="C747" s="882"/>
      <c r="D747" s="882"/>
      <c r="E747" s="883" t="s">
        <v>1730</v>
      </c>
      <c r="F747" s="883" t="s">
        <v>1731</v>
      </c>
      <c r="G747" s="883" t="s">
        <v>2279</v>
      </c>
      <c r="H747" s="883" t="s">
        <v>2063</v>
      </c>
      <c r="I747" s="883" t="s">
        <v>2538</v>
      </c>
      <c r="J747" s="885">
        <v>0</v>
      </c>
      <c r="K747" s="885">
        <v>0.2</v>
      </c>
      <c r="L747" s="886">
        <v>0.2</v>
      </c>
      <c r="M747" s="882"/>
    </row>
    <row r="748" spans="1:13" ht="12.75">
      <c r="A748" s="882"/>
      <c r="B748" s="882"/>
      <c r="C748" s="882"/>
      <c r="D748" s="882"/>
      <c r="E748" s="883" t="s">
        <v>1732</v>
      </c>
      <c r="F748" s="883" t="s">
        <v>1733</v>
      </c>
      <c r="G748" s="883" t="s">
        <v>2279</v>
      </c>
      <c r="H748" s="883" t="s">
        <v>2063</v>
      </c>
      <c r="I748" s="883" t="s">
        <v>2538</v>
      </c>
      <c r="J748" s="885">
        <v>0</v>
      </c>
      <c r="K748" s="885">
        <v>0.3</v>
      </c>
      <c r="L748" s="886">
        <v>0.3</v>
      </c>
      <c r="M748" s="882"/>
    </row>
    <row r="749" spans="1:13" ht="12.75">
      <c r="A749" s="882"/>
      <c r="B749" s="882"/>
      <c r="C749" s="882"/>
      <c r="D749" s="882"/>
      <c r="E749" s="883" t="s">
        <v>1734</v>
      </c>
      <c r="F749" s="883" t="s">
        <v>1735</v>
      </c>
      <c r="G749" s="883" t="s">
        <v>2279</v>
      </c>
      <c r="H749" s="883" t="s">
        <v>2063</v>
      </c>
      <c r="I749" s="883" t="s">
        <v>2538</v>
      </c>
      <c r="J749" s="885">
        <v>0</v>
      </c>
      <c r="K749" s="885">
        <v>0.1</v>
      </c>
      <c r="L749" s="886">
        <v>0.1</v>
      </c>
      <c r="M749" s="882"/>
    </row>
    <row r="750" spans="1:13" ht="12.75">
      <c r="A750" s="882"/>
      <c r="B750" s="882"/>
      <c r="C750" s="882"/>
      <c r="D750" s="882"/>
      <c r="E750" s="883" t="s">
        <v>1736</v>
      </c>
      <c r="F750" s="883" t="s">
        <v>1737</v>
      </c>
      <c r="G750" s="883" t="s">
        <v>2279</v>
      </c>
      <c r="H750" s="883" t="s">
        <v>2063</v>
      </c>
      <c r="I750" s="883" t="s">
        <v>2538</v>
      </c>
      <c r="J750" s="885">
        <v>0</v>
      </c>
      <c r="K750" s="885">
        <v>0.293</v>
      </c>
      <c r="L750" s="886">
        <v>0.293</v>
      </c>
      <c r="M750" s="882"/>
    </row>
    <row r="751" spans="1:13" ht="12.75">
      <c r="A751" s="882"/>
      <c r="B751" s="882"/>
      <c r="C751" s="882"/>
      <c r="D751" s="882"/>
      <c r="E751" s="883" t="s">
        <v>1738</v>
      </c>
      <c r="F751" s="883" t="s">
        <v>1739</v>
      </c>
      <c r="G751" s="883" t="s">
        <v>2279</v>
      </c>
      <c r="H751" s="883" t="s">
        <v>2063</v>
      </c>
      <c r="I751" s="883" t="s">
        <v>2538</v>
      </c>
      <c r="J751" s="885">
        <v>0</v>
      </c>
      <c r="K751" s="885">
        <v>0.721</v>
      </c>
      <c r="L751" s="886">
        <v>0.721</v>
      </c>
      <c r="M751" s="882"/>
    </row>
    <row r="752" spans="1:13" ht="12.75">
      <c r="A752" s="882"/>
      <c r="B752" s="882"/>
      <c r="C752" s="882"/>
      <c r="D752" s="882"/>
      <c r="E752" s="883" t="s">
        <v>1740</v>
      </c>
      <c r="F752" s="883" t="s">
        <v>1741</v>
      </c>
      <c r="G752" s="883" t="s">
        <v>2279</v>
      </c>
      <c r="H752" s="883" t="s">
        <v>2063</v>
      </c>
      <c r="I752" s="883" t="s">
        <v>2538</v>
      </c>
      <c r="J752" s="885">
        <v>0</v>
      </c>
      <c r="K752" s="885">
        <v>0.138</v>
      </c>
      <c r="L752" s="886">
        <v>0.138</v>
      </c>
      <c r="M752" s="882"/>
    </row>
    <row r="753" spans="1:13" ht="12.75">
      <c r="A753" s="882"/>
      <c r="B753" s="882"/>
      <c r="C753" s="882"/>
      <c r="D753" s="882"/>
      <c r="E753" s="883" t="s">
        <v>1742</v>
      </c>
      <c r="F753" s="883" t="s">
        <v>1743</v>
      </c>
      <c r="G753" s="883" t="s">
        <v>2279</v>
      </c>
      <c r="H753" s="883" t="s">
        <v>2063</v>
      </c>
      <c r="I753" s="883" t="s">
        <v>2538</v>
      </c>
      <c r="J753" s="885">
        <v>0</v>
      </c>
      <c r="K753" s="885">
        <v>0.35</v>
      </c>
      <c r="L753" s="886">
        <v>0.35</v>
      </c>
      <c r="M753" s="882"/>
    </row>
    <row r="754" spans="1:13" ht="12.75">
      <c r="A754" s="882"/>
      <c r="B754" s="882"/>
      <c r="C754" s="882"/>
      <c r="D754" s="882"/>
      <c r="E754" s="883" t="s">
        <v>1744</v>
      </c>
      <c r="F754" s="883" t="s">
        <v>1745</v>
      </c>
      <c r="G754" s="883" t="s">
        <v>2279</v>
      </c>
      <c r="H754" s="883" t="s">
        <v>2063</v>
      </c>
      <c r="I754" s="883" t="s">
        <v>2538</v>
      </c>
      <c r="J754" s="885">
        <v>0</v>
      </c>
      <c r="K754" s="885">
        <v>0.097</v>
      </c>
      <c r="L754" s="886">
        <v>0.097</v>
      </c>
      <c r="M754" s="882"/>
    </row>
    <row r="755" spans="1:13" ht="12.75">
      <c r="A755" s="882"/>
      <c r="B755" s="882"/>
      <c r="C755" s="882"/>
      <c r="D755" s="882"/>
      <c r="E755" s="883" t="s">
        <v>1746</v>
      </c>
      <c r="F755" s="883" t="s">
        <v>1747</v>
      </c>
      <c r="G755" s="883" t="s">
        <v>2279</v>
      </c>
      <c r="H755" s="883" t="s">
        <v>2063</v>
      </c>
      <c r="I755" s="883" t="s">
        <v>2538</v>
      </c>
      <c r="J755" s="885">
        <v>0</v>
      </c>
      <c r="K755" s="885">
        <v>0.35</v>
      </c>
      <c r="L755" s="886">
        <v>0.349</v>
      </c>
      <c r="M755" s="882"/>
    </row>
    <row r="756" spans="1:13" ht="12.75">
      <c r="A756" s="882"/>
      <c r="B756" s="882"/>
      <c r="C756" s="882"/>
      <c r="D756" s="882"/>
      <c r="E756" s="883" t="s">
        <v>1748</v>
      </c>
      <c r="F756" s="883" t="s">
        <v>1749</v>
      </c>
      <c r="G756" s="883" t="s">
        <v>2279</v>
      </c>
      <c r="H756" s="883" t="s">
        <v>2063</v>
      </c>
      <c r="I756" s="883" t="s">
        <v>2538</v>
      </c>
      <c r="J756" s="885">
        <v>0</v>
      </c>
      <c r="K756" s="885">
        <v>0.181</v>
      </c>
      <c r="L756" s="886">
        <v>0.181</v>
      </c>
      <c r="M756" s="882"/>
    </row>
    <row r="757" spans="1:13" ht="12.75">
      <c r="A757" s="882"/>
      <c r="B757" s="882"/>
      <c r="C757" s="882"/>
      <c r="D757" s="882"/>
      <c r="E757" s="883" t="s">
        <v>1750</v>
      </c>
      <c r="F757" s="883" t="s">
        <v>1751</v>
      </c>
      <c r="G757" s="883" t="s">
        <v>2279</v>
      </c>
      <c r="H757" s="883" t="s">
        <v>2063</v>
      </c>
      <c r="I757" s="883" t="s">
        <v>2538</v>
      </c>
      <c r="J757" s="885">
        <v>0</v>
      </c>
      <c r="K757" s="885">
        <v>0.5</v>
      </c>
      <c r="L757" s="886">
        <v>0.5</v>
      </c>
      <c r="M757" s="882"/>
    </row>
    <row r="758" spans="1:13" ht="12.75">
      <c r="A758" s="882"/>
      <c r="B758" s="882"/>
      <c r="C758" s="882"/>
      <c r="D758" s="882"/>
      <c r="E758" s="883" t="s">
        <v>1752</v>
      </c>
      <c r="F758" s="883" t="s">
        <v>1753</v>
      </c>
      <c r="G758" s="883" t="s">
        <v>2279</v>
      </c>
      <c r="H758" s="883" t="s">
        <v>2063</v>
      </c>
      <c r="I758" s="883" t="s">
        <v>2538</v>
      </c>
      <c r="J758" s="885">
        <v>0</v>
      </c>
      <c r="K758" s="885">
        <v>0.5</v>
      </c>
      <c r="L758" s="886">
        <v>0.5</v>
      </c>
      <c r="M758" s="882"/>
    </row>
    <row r="759" spans="1:13" ht="12.75">
      <c r="A759" s="882"/>
      <c r="B759" s="882"/>
      <c r="C759" s="882"/>
      <c r="D759" s="882"/>
      <c r="E759" s="883" t="s">
        <v>1754</v>
      </c>
      <c r="F759" s="883" t="s">
        <v>1755</v>
      </c>
      <c r="G759" s="883" t="s">
        <v>2279</v>
      </c>
      <c r="H759" s="883" t="s">
        <v>2063</v>
      </c>
      <c r="I759" s="883" t="s">
        <v>2538</v>
      </c>
      <c r="J759" s="885">
        <v>0</v>
      </c>
      <c r="K759" s="885">
        <v>0.05</v>
      </c>
      <c r="L759" s="886">
        <v>0.05</v>
      </c>
      <c r="M759" s="882"/>
    </row>
    <row r="760" spans="1:13" ht="12.75">
      <c r="A760" s="882"/>
      <c r="B760" s="882"/>
      <c r="C760" s="882"/>
      <c r="D760" s="882"/>
      <c r="E760" s="883" t="s">
        <v>1754</v>
      </c>
      <c r="F760" s="883" t="s">
        <v>1755</v>
      </c>
      <c r="G760" s="883" t="s">
        <v>2279</v>
      </c>
      <c r="H760" s="883" t="s">
        <v>2063</v>
      </c>
      <c r="I760" s="883" t="s">
        <v>2841</v>
      </c>
      <c r="J760" s="885">
        <v>0</v>
      </c>
      <c r="K760" s="885">
        <v>0.45</v>
      </c>
      <c r="L760" s="886">
        <v>0.45</v>
      </c>
      <c r="M760" s="882"/>
    </row>
    <row r="761" spans="1:13" ht="12.75">
      <c r="A761" s="882"/>
      <c r="B761" s="882"/>
      <c r="C761" s="882"/>
      <c r="D761" s="882"/>
      <c r="E761" s="883" t="s">
        <v>1756</v>
      </c>
      <c r="F761" s="883" t="s">
        <v>1757</v>
      </c>
      <c r="G761" s="883" t="s">
        <v>2279</v>
      </c>
      <c r="H761" s="883" t="s">
        <v>2063</v>
      </c>
      <c r="I761" s="883" t="s">
        <v>2538</v>
      </c>
      <c r="J761" s="885">
        <v>0</v>
      </c>
      <c r="K761" s="885">
        <v>6</v>
      </c>
      <c r="L761" s="886">
        <v>6</v>
      </c>
      <c r="M761" s="882"/>
    </row>
    <row r="762" spans="1:13" ht="12.75">
      <c r="A762" s="882"/>
      <c r="B762" s="882"/>
      <c r="C762" s="882"/>
      <c r="D762" s="882"/>
      <c r="E762" s="883" t="s">
        <v>1758</v>
      </c>
      <c r="F762" s="883" t="s">
        <v>1759</v>
      </c>
      <c r="G762" s="883" t="s">
        <v>2279</v>
      </c>
      <c r="H762" s="883" t="s">
        <v>2063</v>
      </c>
      <c r="I762" s="883" t="s">
        <v>2538</v>
      </c>
      <c r="J762" s="885">
        <v>0</v>
      </c>
      <c r="K762" s="885">
        <v>0.348</v>
      </c>
      <c r="L762" s="886">
        <v>0.348</v>
      </c>
      <c r="M762" s="882"/>
    </row>
    <row r="763" spans="1:13" ht="12.75">
      <c r="A763" s="882"/>
      <c r="B763" s="882"/>
      <c r="C763" s="882"/>
      <c r="D763" s="882"/>
      <c r="E763" s="883" t="s">
        <v>1760</v>
      </c>
      <c r="F763" s="883" t="s">
        <v>1761</v>
      </c>
      <c r="G763" s="883" t="s">
        <v>2279</v>
      </c>
      <c r="H763" s="883" t="s">
        <v>2063</v>
      </c>
      <c r="I763" s="883" t="s">
        <v>2538</v>
      </c>
      <c r="J763" s="885">
        <v>0</v>
      </c>
      <c r="K763" s="885">
        <v>0.75</v>
      </c>
      <c r="L763" s="886">
        <v>0.75</v>
      </c>
      <c r="M763" s="882"/>
    </row>
    <row r="764" spans="1:13" ht="12.75">
      <c r="A764" s="882"/>
      <c r="B764" s="882"/>
      <c r="C764" s="882"/>
      <c r="D764" s="882"/>
      <c r="E764" s="883" t="s">
        <v>1762</v>
      </c>
      <c r="F764" s="883" t="s">
        <v>1763</v>
      </c>
      <c r="G764" s="883" t="s">
        <v>2279</v>
      </c>
      <c r="H764" s="883" t="s">
        <v>2063</v>
      </c>
      <c r="I764" s="883" t="s">
        <v>2538</v>
      </c>
      <c r="J764" s="885">
        <v>0</v>
      </c>
      <c r="K764" s="885">
        <v>0.5</v>
      </c>
      <c r="L764" s="886">
        <v>0.5</v>
      </c>
      <c r="M764" s="882"/>
    </row>
    <row r="765" spans="1:13" ht="12.75">
      <c r="A765" s="882"/>
      <c r="B765" s="882"/>
      <c r="C765" s="882"/>
      <c r="D765" s="882"/>
      <c r="E765" s="883" t="s">
        <v>1764</v>
      </c>
      <c r="F765" s="883" t="s">
        <v>1765</v>
      </c>
      <c r="G765" s="883" t="s">
        <v>2279</v>
      </c>
      <c r="H765" s="883" t="s">
        <v>2063</v>
      </c>
      <c r="I765" s="883" t="s">
        <v>2538</v>
      </c>
      <c r="J765" s="885">
        <v>0</v>
      </c>
      <c r="K765" s="885">
        <v>0.3</v>
      </c>
      <c r="L765" s="886">
        <v>0.3</v>
      </c>
      <c r="M765" s="882"/>
    </row>
    <row r="766" spans="1:13" ht="12.75">
      <c r="A766" s="882"/>
      <c r="B766" s="882"/>
      <c r="C766" s="882"/>
      <c r="D766" s="882"/>
      <c r="E766" s="883" t="s">
        <v>1766</v>
      </c>
      <c r="F766" s="883" t="s">
        <v>1767</v>
      </c>
      <c r="G766" s="883" t="s">
        <v>2279</v>
      </c>
      <c r="H766" s="883" t="s">
        <v>2063</v>
      </c>
      <c r="I766" s="883" t="s">
        <v>2538</v>
      </c>
      <c r="J766" s="885">
        <v>0</v>
      </c>
      <c r="K766" s="885">
        <v>0.25</v>
      </c>
      <c r="L766" s="886">
        <v>0.25</v>
      </c>
      <c r="M766" s="882"/>
    </row>
    <row r="767" spans="1:13" ht="12.75">
      <c r="A767" s="882"/>
      <c r="B767" s="882"/>
      <c r="C767" s="882"/>
      <c r="D767" s="882"/>
      <c r="E767" s="883" t="s">
        <v>1768</v>
      </c>
      <c r="F767" s="883" t="s">
        <v>1769</v>
      </c>
      <c r="G767" s="883" t="s">
        <v>2279</v>
      </c>
      <c r="H767" s="883" t="s">
        <v>2063</v>
      </c>
      <c r="I767" s="883" t="s">
        <v>2538</v>
      </c>
      <c r="J767" s="885">
        <v>0</v>
      </c>
      <c r="K767" s="885">
        <v>0.15</v>
      </c>
      <c r="L767" s="886">
        <v>0.15</v>
      </c>
      <c r="M767" s="882"/>
    </row>
    <row r="768" spans="1:13" ht="12.75">
      <c r="A768" s="882"/>
      <c r="B768" s="882"/>
      <c r="C768" s="882"/>
      <c r="D768" s="882"/>
      <c r="E768" s="883" t="s">
        <v>1770</v>
      </c>
      <c r="F768" s="883" t="s">
        <v>1771</v>
      </c>
      <c r="G768" s="883" t="s">
        <v>2279</v>
      </c>
      <c r="H768" s="883" t="s">
        <v>2063</v>
      </c>
      <c r="I768" s="883" t="s">
        <v>2538</v>
      </c>
      <c r="J768" s="885">
        <v>0</v>
      </c>
      <c r="K768" s="885">
        <v>4</v>
      </c>
      <c r="L768" s="886">
        <v>4</v>
      </c>
      <c r="M768" s="882"/>
    </row>
    <row r="769" spans="1:13" ht="12.75">
      <c r="A769" s="882"/>
      <c r="B769" s="882"/>
      <c r="C769" s="882"/>
      <c r="D769" s="882"/>
      <c r="E769" s="883" t="s">
        <v>1772</v>
      </c>
      <c r="F769" s="883" t="s">
        <v>1773</v>
      </c>
      <c r="G769" s="883" t="s">
        <v>2279</v>
      </c>
      <c r="H769" s="883" t="s">
        <v>2063</v>
      </c>
      <c r="I769" s="883" t="s">
        <v>2538</v>
      </c>
      <c r="J769" s="885">
        <v>0</v>
      </c>
      <c r="K769" s="885">
        <v>10</v>
      </c>
      <c r="L769" s="886">
        <v>10</v>
      </c>
      <c r="M769" s="882"/>
    </row>
    <row r="770" spans="1:13" ht="12.75">
      <c r="A770" s="882"/>
      <c r="B770" s="882"/>
      <c r="C770" s="882"/>
      <c r="D770" s="882"/>
      <c r="E770" s="883" t="s">
        <v>1774</v>
      </c>
      <c r="F770" s="883" t="s">
        <v>1775</v>
      </c>
      <c r="G770" s="883" t="s">
        <v>2279</v>
      </c>
      <c r="H770" s="883" t="s">
        <v>2063</v>
      </c>
      <c r="I770" s="883" t="s">
        <v>2538</v>
      </c>
      <c r="J770" s="885">
        <v>0</v>
      </c>
      <c r="K770" s="885">
        <v>4</v>
      </c>
      <c r="L770" s="886">
        <v>4</v>
      </c>
      <c r="M770" s="882"/>
    </row>
    <row r="771" spans="1:13" ht="12.75">
      <c r="A771" s="882"/>
      <c r="B771" s="882"/>
      <c r="C771" s="882"/>
      <c r="D771" s="882"/>
      <c r="E771" s="883" t="s">
        <v>1776</v>
      </c>
      <c r="F771" s="883" t="s">
        <v>1777</v>
      </c>
      <c r="G771" s="883" t="s">
        <v>2279</v>
      </c>
      <c r="H771" s="883" t="s">
        <v>2063</v>
      </c>
      <c r="I771" s="883" t="s">
        <v>2538</v>
      </c>
      <c r="J771" s="885">
        <v>0</v>
      </c>
      <c r="K771" s="885">
        <v>2</v>
      </c>
      <c r="L771" s="886">
        <v>2</v>
      </c>
      <c r="M771" s="882"/>
    </row>
    <row r="772" spans="1:13" ht="12.75">
      <c r="A772" s="882"/>
      <c r="B772" s="882"/>
      <c r="C772" s="882"/>
      <c r="D772" s="882"/>
      <c r="E772" s="883" t="s">
        <v>1778</v>
      </c>
      <c r="F772" s="883" t="s">
        <v>1779</v>
      </c>
      <c r="G772" s="883" t="s">
        <v>2279</v>
      </c>
      <c r="H772" s="883" t="s">
        <v>2063</v>
      </c>
      <c r="I772" s="883" t="s">
        <v>2538</v>
      </c>
      <c r="J772" s="885">
        <v>0</v>
      </c>
      <c r="K772" s="885">
        <v>3</v>
      </c>
      <c r="L772" s="886">
        <v>3</v>
      </c>
      <c r="M772" s="882"/>
    </row>
    <row r="773" spans="1:13" ht="12.75">
      <c r="A773" s="882"/>
      <c r="B773" s="882"/>
      <c r="C773" s="882"/>
      <c r="D773" s="882"/>
      <c r="E773" s="883" t="s">
        <v>1780</v>
      </c>
      <c r="F773" s="883" t="s">
        <v>1781</v>
      </c>
      <c r="G773" s="883" t="s">
        <v>2279</v>
      </c>
      <c r="H773" s="883" t="s">
        <v>2063</v>
      </c>
      <c r="I773" s="883" t="s">
        <v>2538</v>
      </c>
      <c r="J773" s="885">
        <v>0</v>
      </c>
      <c r="K773" s="885">
        <v>0.7</v>
      </c>
      <c r="L773" s="886">
        <v>0.698</v>
      </c>
      <c r="M773" s="882"/>
    </row>
    <row r="774" spans="1:13" ht="12.75">
      <c r="A774" s="882"/>
      <c r="B774" s="882"/>
      <c r="C774" s="882"/>
      <c r="D774" s="882"/>
      <c r="E774" s="883" t="s">
        <v>1782</v>
      </c>
      <c r="F774" s="883" t="s">
        <v>1783</v>
      </c>
      <c r="G774" s="883" t="s">
        <v>2279</v>
      </c>
      <c r="H774" s="883" t="s">
        <v>2063</v>
      </c>
      <c r="I774" s="883" t="s">
        <v>2538</v>
      </c>
      <c r="J774" s="885">
        <v>0</v>
      </c>
      <c r="K774" s="885">
        <v>1</v>
      </c>
      <c r="L774" s="886">
        <v>1</v>
      </c>
      <c r="M774" s="882"/>
    </row>
    <row r="775" spans="1:13" ht="12.75">
      <c r="A775" s="882"/>
      <c r="B775" s="882"/>
      <c r="C775" s="882"/>
      <c r="D775" s="882"/>
      <c r="E775" s="883" t="s">
        <v>1784</v>
      </c>
      <c r="F775" s="883" t="s">
        <v>1785</v>
      </c>
      <c r="G775" s="883" t="s">
        <v>2279</v>
      </c>
      <c r="H775" s="883" t="s">
        <v>2063</v>
      </c>
      <c r="I775" s="883" t="s">
        <v>2538</v>
      </c>
      <c r="J775" s="885">
        <v>0</v>
      </c>
      <c r="K775" s="885">
        <v>0.8</v>
      </c>
      <c r="L775" s="886">
        <v>0.799</v>
      </c>
      <c r="M775" s="882"/>
    </row>
    <row r="776" spans="1:13" ht="12.75">
      <c r="A776" s="882"/>
      <c r="B776" s="882"/>
      <c r="C776" s="882"/>
      <c r="D776" s="882"/>
      <c r="E776" s="883" t="s">
        <v>1786</v>
      </c>
      <c r="F776" s="883" t="s">
        <v>1787</v>
      </c>
      <c r="G776" s="883" t="s">
        <v>2279</v>
      </c>
      <c r="H776" s="883" t="s">
        <v>2063</v>
      </c>
      <c r="I776" s="883" t="s">
        <v>2538</v>
      </c>
      <c r="J776" s="885">
        <v>0</v>
      </c>
      <c r="K776" s="885">
        <v>0.3</v>
      </c>
      <c r="L776" s="886">
        <v>0.3</v>
      </c>
      <c r="M776" s="882"/>
    </row>
    <row r="777" spans="1:13" ht="12.75">
      <c r="A777" s="882"/>
      <c r="B777" s="882"/>
      <c r="C777" s="882"/>
      <c r="D777" s="882"/>
      <c r="E777" s="883" t="s">
        <v>1788</v>
      </c>
      <c r="F777" s="883" t="s">
        <v>1789</v>
      </c>
      <c r="G777" s="883" t="s">
        <v>2279</v>
      </c>
      <c r="H777" s="883" t="s">
        <v>2063</v>
      </c>
      <c r="I777" s="883" t="s">
        <v>2538</v>
      </c>
      <c r="J777" s="885">
        <v>0</v>
      </c>
      <c r="K777" s="885">
        <v>0.1</v>
      </c>
      <c r="L777" s="886">
        <v>0.099</v>
      </c>
      <c r="M777" s="882"/>
    </row>
    <row r="778" spans="1:13" ht="12.75">
      <c r="A778" s="882"/>
      <c r="B778" s="882"/>
      <c r="C778" s="882"/>
      <c r="D778" s="882"/>
      <c r="E778" s="883" t="s">
        <v>1790</v>
      </c>
      <c r="F778" s="883" t="s">
        <v>1791</v>
      </c>
      <c r="G778" s="883" t="s">
        <v>2279</v>
      </c>
      <c r="H778" s="883" t="s">
        <v>2063</v>
      </c>
      <c r="I778" s="883" t="s">
        <v>2538</v>
      </c>
      <c r="J778" s="885">
        <v>0</v>
      </c>
      <c r="K778" s="885">
        <v>0.4</v>
      </c>
      <c r="L778" s="886">
        <v>0.4</v>
      </c>
      <c r="M778" s="882"/>
    </row>
    <row r="779" spans="1:13" ht="12.75">
      <c r="A779" s="882"/>
      <c r="B779" s="882"/>
      <c r="C779" s="882"/>
      <c r="D779" s="882"/>
      <c r="E779" s="883" t="s">
        <v>1792</v>
      </c>
      <c r="F779" s="883" t="s">
        <v>1793</v>
      </c>
      <c r="G779" s="883" t="s">
        <v>2279</v>
      </c>
      <c r="H779" s="883" t="s">
        <v>2543</v>
      </c>
      <c r="I779" s="883" t="s">
        <v>2538</v>
      </c>
      <c r="J779" s="885">
        <v>0</v>
      </c>
      <c r="K779" s="885">
        <v>0.2</v>
      </c>
      <c r="L779" s="886">
        <v>0</v>
      </c>
      <c r="M779" s="882"/>
    </row>
    <row r="780" spans="1:13" ht="12.75">
      <c r="A780" s="882"/>
      <c r="B780" s="882"/>
      <c r="C780" s="882"/>
      <c r="D780" s="882"/>
      <c r="E780" s="883" t="s">
        <v>1794</v>
      </c>
      <c r="F780" s="883" t="s">
        <v>1795</v>
      </c>
      <c r="G780" s="883" t="s">
        <v>2279</v>
      </c>
      <c r="H780" s="883" t="s">
        <v>2063</v>
      </c>
      <c r="I780" s="883" t="s">
        <v>2538</v>
      </c>
      <c r="J780" s="885">
        <v>0</v>
      </c>
      <c r="K780" s="885">
        <v>1</v>
      </c>
      <c r="L780" s="886">
        <v>1</v>
      </c>
      <c r="M780" s="882"/>
    </row>
    <row r="781" spans="1:13" ht="13.5" thickBot="1">
      <c r="A781" s="882"/>
      <c r="B781" s="882"/>
      <c r="C781" s="882"/>
      <c r="D781" s="882"/>
      <c r="E781" s="883" t="s">
        <v>1796</v>
      </c>
      <c r="F781" s="883" t="s">
        <v>1797</v>
      </c>
      <c r="G781" s="883" t="s">
        <v>2279</v>
      </c>
      <c r="H781" s="883" t="s">
        <v>2063</v>
      </c>
      <c r="I781" s="883" t="s">
        <v>2538</v>
      </c>
      <c r="J781" s="885">
        <v>0</v>
      </c>
      <c r="K781" s="885">
        <v>2.8</v>
      </c>
      <c r="L781" s="886">
        <v>2.8</v>
      </c>
      <c r="M781" s="882"/>
    </row>
    <row r="782" spans="1:13" ht="13.5" thickBot="1">
      <c r="A782" s="882"/>
      <c r="B782" s="882"/>
      <c r="C782" s="882"/>
      <c r="D782" s="882"/>
      <c r="E782" s="1043" t="s">
        <v>1798</v>
      </c>
      <c r="F782" s="1044"/>
      <c r="G782" s="1044"/>
      <c r="H782" s="1044"/>
      <c r="I782" s="1044"/>
      <c r="J782" s="890">
        <f>SUM(J288:J781)</f>
        <v>391.15500000000014</v>
      </c>
      <c r="K782" s="890">
        <f>SUM(K288:K781)</f>
        <v>536.4760000000001</v>
      </c>
      <c r="L782" s="891">
        <f>SUM(L288:L781)</f>
        <v>604.48749685</v>
      </c>
      <c r="M782" s="882"/>
    </row>
    <row r="783" spans="1:13" ht="12.75">
      <c r="A783" s="882"/>
      <c r="B783" s="882"/>
      <c r="C783" s="882"/>
      <c r="D783" s="882"/>
      <c r="E783" s="883" t="s">
        <v>1799</v>
      </c>
      <c r="F783" s="883" t="s">
        <v>1324</v>
      </c>
      <c r="G783" s="883" t="s">
        <v>2279</v>
      </c>
      <c r="H783" s="883" t="s">
        <v>2063</v>
      </c>
      <c r="I783" s="883" t="s">
        <v>2538</v>
      </c>
      <c r="J783" s="884">
        <v>5</v>
      </c>
      <c r="K783" s="885">
        <v>5</v>
      </c>
      <c r="L783" s="886">
        <v>4.997106</v>
      </c>
      <c r="M783" s="882"/>
    </row>
    <row r="784" spans="1:13" ht="12.75">
      <c r="A784" s="882"/>
      <c r="B784" s="882"/>
      <c r="C784" s="882"/>
      <c r="D784" s="882"/>
      <c r="E784" s="883" t="s">
        <v>1800</v>
      </c>
      <c r="F784" s="883" t="s">
        <v>1324</v>
      </c>
      <c r="G784" s="883" t="s">
        <v>2179</v>
      </c>
      <c r="H784" s="883" t="s">
        <v>2063</v>
      </c>
      <c r="I784" s="883" t="s">
        <v>2538</v>
      </c>
      <c r="J784" s="884">
        <v>5</v>
      </c>
      <c r="K784" s="885">
        <v>5</v>
      </c>
      <c r="L784" s="886">
        <v>5</v>
      </c>
      <c r="M784" s="882"/>
    </row>
    <row r="785" spans="1:13" ht="12.75">
      <c r="A785" s="882"/>
      <c r="B785" s="882"/>
      <c r="C785" s="882"/>
      <c r="D785" s="882"/>
      <c r="E785" s="883" t="s">
        <v>1801</v>
      </c>
      <c r="F785" s="883" t="s">
        <v>1324</v>
      </c>
      <c r="G785" s="883" t="s">
        <v>2180</v>
      </c>
      <c r="H785" s="883" t="s">
        <v>2063</v>
      </c>
      <c r="I785" s="883" t="s">
        <v>2538</v>
      </c>
      <c r="J785" s="884">
        <v>30</v>
      </c>
      <c r="K785" s="885">
        <v>29.97</v>
      </c>
      <c r="L785" s="886">
        <v>29.969436</v>
      </c>
      <c r="M785" s="882"/>
    </row>
    <row r="786" spans="1:13" ht="12.75">
      <c r="A786" s="882"/>
      <c r="B786" s="882"/>
      <c r="C786" s="882"/>
      <c r="D786" s="882"/>
      <c r="E786" s="883" t="s">
        <v>1801</v>
      </c>
      <c r="F786" s="883" t="s">
        <v>1324</v>
      </c>
      <c r="G786" s="883" t="s">
        <v>2180</v>
      </c>
      <c r="H786" s="883" t="s">
        <v>2063</v>
      </c>
      <c r="I786" s="883" t="s">
        <v>2841</v>
      </c>
      <c r="J786" s="885">
        <v>0</v>
      </c>
      <c r="K786" s="885">
        <v>0.03</v>
      </c>
      <c r="L786" s="886">
        <v>0.03</v>
      </c>
      <c r="M786" s="882"/>
    </row>
    <row r="787" spans="1:13" ht="12.75">
      <c r="A787" s="882"/>
      <c r="B787" s="882"/>
      <c r="C787" s="882"/>
      <c r="D787" s="882"/>
      <c r="E787" s="883" t="s">
        <v>1802</v>
      </c>
      <c r="F787" s="883" t="s">
        <v>1324</v>
      </c>
      <c r="G787" s="883" t="s">
        <v>2181</v>
      </c>
      <c r="H787" s="883" t="s">
        <v>2063</v>
      </c>
      <c r="I787" s="883" t="s">
        <v>2841</v>
      </c>
      <c r="J787" s="885">
        <v>0</v>
      </c>
      <c r="K787" s="885">
        <v>0.005</v>
      </c>
      <c r="L787" s="886">
        <v>0.005</v>
      </c>
      <c r="M787" s="882"/>
    </row>
    <row r="788" spans="1:13" ht="12.75">
      <c r="A788" s="882"/>
      <c r="B788" s="882"/>
      <c r="C788" s="882"/>
      <c r="D788" s="882"/>
      <c r="E788" s="883" t="s">
        <v>1802</v>
      </c>
      <c r="F788" s="883" t="s">
        <v>1324</v>
      </c>
      <c r="G788" s="883" t="s">
        <v>2181</v>
      </c>
      <c r="H788" s="883" t="s">
        <v>2063</v>
      </c>
      <c r="I788" s="883" t="s">
        <v>2538</v>
      </c>
      <c r="J788" s="884">
        <v>5</v>
      </c>
      <c r="K788" s="885">
        <v>4.995</v>
      </c>
      <c r="L788" s="886">
        <v>4.994906</v>
      </c>
      <c r="M788" s="882"/>
    </row>
    <row r="789" spans="1:13" ht="12.75">
      <c r="A789" s="882"/>
      <c r="B789" s="882"/>
      <c r="C789" s="882"/>
      <c r="D789" s="882"/>
      <c r="E789" s="883" t="s">
        <v>1803</v>
      </c>
      <c r="F789" s="883" t="s">
        <v>1324</v>
      </c>
      <c r="G789" s="883" t="s">
        <v>2182</v>
      </c>
      <c r="H789" s="883" t="s">
        <v>2063</v>
      </c>
      <c r="I789" s="883" t="s">
        <v>2538</v>
      </c>
      <c r="J789" s="884">
        <v>15</v>
      </c>
      <c r="K789" s="885">
        <v>15</v>
      </c>
      <c r="L789" s="886">
        <v>15</v>
      </c>
      <c r="M789" s="882"/>
    </row>
    <row r="790" spans="1:13" ht="12.75">
      <c r="A790" s="882"/>
      <c r="B790" s="882"/>
      <c r="C790" s="882"/>
      <c r="D790" s="882"/>
      <c r="E790" s="883" t="s">
        <v>1804</v>
      </c>
      <c r="F790" s="883" t="s">
        <v>1324</v>
      </c>
      <c r="G790" s="883" t="s">
        <v>2183</v>
      </c>
      <c r="H790" s="883" t="s">
        <v>2063</v>
      </c>
      <c r="I790" s="883" t="s">
        <v>2538</v>
      </c>
      <c r="J790" s="884">
        <v>5</v>
      </c>
      <c r="K790" s="885">
        <v>4.995</v>
      </c>
      <c r="L790" s="886">
        <v>4.994906</v>
      </c>
      <c r="M790" s="882"/>
    </row>
    <row r="791" spans="1:13" ht="12.75">
      <c r="A791" s="882"/>
      <c r="B791" s="882"/>
      <c r="C791" s="882"/>
      <c r="D791" s="882"/>
      <c r="E791" s="883" t="s">
        <v>1804</v>
      </c>
      <c r="F791" s="883" t="s">
        <v>1324</v>
      </c>
      <c r="G791" s="883" t="s">
        <v>2183</v>
      </c>
      <c r="H791" s="883" t="s">
        <v>2063</v>
      </c>
      <c r="I791" s="883" t="s">
        <v>2841</v>
      </c>
      <c r="J791" s="885">
        <v>0</v>
      </c>
      <c r="K791" s="885">
        <v>0.005</v>
      </c>
      <c r="L791" s="886">
        <v>0.005</v>
      </c>
      <c r="M791" s="882"/>
    </row>
    <row r="792" spans="1:13" ht="12.75">
      <c r="A792" s="882"/>
      <c r="B792" s="882"/>
      <c r="C792" s="882"/>
      <c r="D792" s="882"/>
      <c r="E792" s="883" t="s">
        <v>1805</v>
      </c>
      <c r="F792" s="883" t="s">
        <v>1324</v>
      </c>
      <c r="G792" s="883" t="s">
        <v>2184</v>
      </c>
      <c r="H792" s="883" t="s">
        <v>2063</v>
      </c>
      <c r="I792" s="883" t="s">
        <v>2841</v>
      </c>
      <c r="J792" s="885">
        <v>0</v>
      </c>
      <c r="K792" s="885">
        <v>0.022</v>
      </c>
      <c r="L792" s="886">
        <v>0.02188128</v>
      </c>
      <c r="M792" s="882"/>
    </row>
    <row r="793" spans="1:13" ht="12.75">
      <c r="A793" s="882"/>
      <c r="B793" s="882"/>
      <c r="C793" s="882"/>
      <c r="D793" s="882"/>
      <c r="E793" s="883" t="s">
        <v>1805</v>
      </c>
      <c r="F793" s="883" t="s">
        <v>1324</v>
      </c>
      <c r="G793" s="883" t="s">
        <v>2184</v>
      </c>
      <c r="H793" s="883" t="s">
        <v>2063</v>
      </c>
      <c r="I793" s="883" t="s">
        <v>2538</v>
      </c>
      <c r="J793" s="884">
        <v>15</v>
      </c>
      <c r="K793" s="885">
        <v>14.978</v>
      </c>
      <c r="L793" s="886">
        <v>14.97673672</v>
      </c>
      <c r="M793" s="882"/>
    </row>
    <row r="794" spans="1:13" ht="12.75">
      <c r="A794" s="882"/>
      <c r="B794" s="882"/>
      <c r="C794" s="882"/>
      <c r="D794" s="882"/>
      <c r="E794" s="883" t="s">
        <v>1806</v>
      </c>
      <c r="F794" s="883" t="s">
        <v>1324</v>
      </c>
      <c r="G794" s="883" t="s">
        <v>2185</v>
      </c>
      <c r="H794" s="883" t="s">
        <v>2063</v>
      </c>
      <c r="I794" s="883" t="s">
        <v>2538</v>
      </c>
      <c r="J794" s="884">
        <v>10</v>
      </c>
      <c r="K794" s="885">
        <v>10</v>
      </c>
      <c r="L794" s="886">
        <v>9.999998</v>
      </c>
      <c r="M794" s="882"/>
    </row>
    <row r="795" spans="1:13" ht="12.75">
      <c r="A795" s="882"/>
      <c r="B795" s="882"/>
      <c r="C795" s="882"/>
      <c r="D795" s="882"/>
      <c r="E795" s="883" t="s">
        <v>1807</v>
      </c>
      <c r="F795" s="883" t="s">
        <v>1324</v>
      </c>
      <c r="G795" s="883" t="s">
        <v>2186</v>
      </c>
      <c r="H795" s="883" t="s">
        <v>2063</v>
      </c>
      <c r="I795" s="883" t="s">
        <v>2538</v>
      </c>
      <c r="J795" s="884">
        <v>15</v>
      </c>
      <c r="K795" s="885">
        <v>14.985</v>
      </c>
      <c r="L795" s="886">
        <v>14.984718</v>
      </c>
      <c r="M795" s="882"/>
    </row>
    <row r="796" spans="1:13" ht="12.75">
      <c r="A796" s="882"/>
      <c r="B796" s="882"/>
      <c r="C796" s="882"/>
      <c r="D796" s="882"/>
      <c r="E796" s="883" t="s">
        <v>1807</v>
      </c>
      <c r="F796" s="883" t="s">
        <v>1324</v>
      </c>
      <c r="G796" s="883" t="s">
        <v>2186</v>
      </c>
      <c r="H796" s="883" t="s">
        <v>2063</v>
      </c>
      <c r="I796" s="883" t="s">
        <v>2841</v>
      </c>
      <c r="J796" s="885">
        <v>0</v>
      </c>
      <c r="K796" s="885">
        <v>0.015</v>
      </c>
      <c r="L796" s="886">
        <v>0.015</v>
      </c>
      <c r="M796" s="882"/>
    </row>
    <row r="797" spans="1:13" ht="12.75">
      <c r="A797" s="882"/>
      <c r="B797" s="882"/>
      <c r="C797" s="882"/>
      <c r="D797" s="882"/>
      <c r="E797" s="883" t="s">
        <v>1808</v>
      </c>
      <c r="F797" s="883" t="s">
        <v>1324</v>
      </c>
      <c r="G797" s="883" t="s">
        <v>2187</v>
      </c>
      <c r="H797" s="883" t="s">
        <v>2063</v>
      </c>
      <c r="I797" s="883" t="s">
        <v>2538</v>
      </c>
      <c r="J797" s="884">
        <v>15</v>
      </c>
      <c r="K797" s="885">
        <v>14.74</v>
      </c>
      <c r="L797" s="886">
        <v>14.738775</v>
      </c>
      <c r="M797" s="882"/>
    </row>
    <row r="798" spans="1:13" ht="12.75">
      <c r="A798" s="882"/>
      <c r="B798" s="882"/>
      <c r="C798" s="882"/>
      <c r="D798" s="882"/>
      <c r="E798" s="883" t="s">
        <v>1808</v>
      </c>
      <c r="F798" s="883" t="s">
        <v>1324</v>
      </c>
      <c r="G798" s="883" t="s">
        <v>2187</v>
      </c>
      <c r="H798" s="883" t="s">
        <v>2063</v>
      </c>
      <c r="I798" s="883" t="s">
        <v>2841</v>
      </c>
      <c r="J798" s="885">
        <v>0</v>
      </c>
      <c r="K798" s="885">
        <v>0.26</v>
      </c>
      <c r="L798" s="886">
        <v>0.259943</v>
      </c>
      <c r="M798" s="882"/>
    </row>
    <row r="799" spans="1:13" ht="12.75">
      <c r="A799" s="882"/>
      <c r="B799" s="882"/>
      <c r="C799" s="882"/>
      <c r="D799" s="882"/>
      <c r="E799" s="883" t="s">
        <v>1809</v>
      </c>
      <c r="F799" s="883" t="s">
        <v>1324</v>
      </c>
      <c r="G799" s="883" t="s">
        <v>2478</v>
      </c>
      <c r="H799" s="883" t="s">
        <v>2063</v>
      </c>
      <c r="I799" s="883" t="s">
        <v>2538</v>
      </c>
      <c r="J799" s="884">
        <v>15</v>
      </c>
      <c r="K799" s="885">
        <v>14.986</v>
      </c>
      <c r="L799" s="886">
        <v>14.984718</v>
      </c>
      <c r="M799" s="882"/>
    </row>
    <row r="800" spans="1:13" ht="12.75">
      <c r="A800" s="882"/>
      <c r="B800" s="882"/>
      <c r="C800" s="882"/>
      <c r="D800" s="882"/>
      <c r="E800" s="883" t="s">
        <v>1809</v>
      </c>
      <c r="F800" s="883" t="s">
        <v>1324</v>
      </c>
      <c r="G800" s="883" t="s">
        <v>2478</v>
      </c>
      <c r="H800" s="883" t="s">
        <v>2063</v>
      </c>
      <c r="I800" s="883" t="s">
        <v>2841</v>
      </c>
      <c r="J800" s="885">
        <v>0</v>
      </c>
      <c r="K800" s="885">
        <v>0.014</v>
      </c>
      <c r="L800" s="886">
        <v>0.013316</v>
      </c>
      <c r="M800" s="882"/>
    </row>
    <row r="801" spans="1:13" ht="12.75">
      <c r="A801" s="882"/>
      <c r="B801" s="882"/>
      <c r="C801" s="882"/>
      <c r="D801" s="882"/>
      <c r="E801" s="883" t="s">
        <v>1810</v>
      </c>
      <c r="F801" s="883" t="s">
        <v>1324</v>
      </c>
      <c r="G801" s="883" t="s">
        <v>2189</v>
      </c>
      <c r="H801" s="883" t="s">
        <v>2063</v>
      </c>
      <c r="I801" s="883" t="s">
        <v>2841</v>
      </c>
      <c r="J801" s="885">
        <v>0</v>
      </c>
      <c r="K801" s="885">
        <v>0.025</v>
      </c>
      <c r="L801" s="886">
        <v>0.024086</v>
      </c>
      <c r="M801" s="882"/>
    </row>
    <row r="802" spans="1:13" ht="12.75">
      <c r="A802" s="882"/>
      <c r="B802" s="882"/>
      <c r="C802" s="882"/>
      <c r="D802" s="882"/>
      <c r="E802" s="883" t="s">
        <v>1810</v>
      </c>
      <c r="F802" s="883" t="s">
        <v>1324</v>
      </c>
      <c r="G802" s="883" t="s">
        <v>2189</v>
      </c>
      <c r="H802" s="883" t="s">
        <v>2063</v>
      </c>
      <c r="I802" s="883" t="s">
        <v>2538</v>
      </c>
      <c r="J802" s="884">
        <v>25</v>
      </c>
      <c r="K802" s="885">
        <v>24.975</v>
      </c>
      <c r="L802" s="886">
        <v>24.97453</v>
      </c>
      <c r="M802" s="882"/>
    </row>
    <row r="803" spans="1:13" ht="12.75">
      <c r="A803" s="882"/>
      <c r="B803" s="882"/>
      <c r="C803" s="882"/>
      <c r="D803" s="882"/>
      <c r="E803" s="883" t="s">
        <v>1811</v>
      </c>
      <c r="F803" s="883" t="s">
        <v>1324</v>
      </c>
      <c r="G803" s="883" t="s">
        <v>2192</v>
      </c>
      <c r="H803" s="883" t="s">
        <v>2063</v>
      </c>
      <c r="I803" s="883" t="s">
        <v>2538</v>
      </c>
      <c r="J803" s="884">
        <v>15</v>
      </c>
      <c r="K803" s="885">
        <v>9.99</v>
      </c>
      <c r="L803" s="886">
        <v>9.989812</v>
      </c>
      <c r="M803" s="882"/>
    </row>
    <row r="804" spans="1:13" ht="12.75">
      <c r="A804" s="882"/>
      <c r="B804" s="882"/>
      <c r="C804" s="882"/>
      <c r="D804" s="882"/>
      <c r="E804" s="883" t="s">
        <v>1811</v>
      </c>
      <c r="F804" s="883" t="s">
        <v>1324</v>
      </c>
      <c r="G804" s="883" t="s">
        <v>2192</v>
      </c>
      <c r="H804" s="883" t="s">
        <v>2063</v>
      </c>
      <c r="I804" s="883" t="s">
        <v>2841</v>
      </c>
      <c r="J804" s="885">
        <v>0</v>
      </c>
      <c r="K804" s="885">
        <v>0.01</v>
      </c>
      <c r="L804" s="886">
        <v>0.009992</v>
      </c>
      <c r="M804" s="882"/>
    </row>
    <row r="805" spans="1:13" ht="12.75">
      <c r="A805" s="882"/>
      <c r="B805" s="882"/>
      <c r="C805" s="882"/>
      <c r="D805" s="882"/>
      <c r="E805" s="883" t="s">
        <v>1812</v>
      </c>
      <c r="F805" s="883" t="s">
        <v>1324</v>
      </c>
      <c r="G805" s="883" t="s">
        <v>2190</v>
      </c>
      <c r="H805" s="883" t="s">
        <v>2063</v>
      </c>
      <c r="I805" s="883" t="s">
        <v>2841</v>
      </c>
      <c r="J805" s="885">
        <v>0</v>
      </c>
      <c r="K805" s="885">
        <v>0.01</v>
      </c>
      <c r="L805" s="886">
        <v>0.009496</v>
      </c>
      <c r="M805" s="882"/>
    </row>
    <row r="806" spans="1:13" ht="12.75">
      <c r="A806" s="882"/>
      <c r="B806" s="882"/>
      <c r="C806" s="882"/>
      <c r="D806" s="882"/>
      <c r="E806" s="883" t="s">
        <v>1812</v>
      </c>
      <c r="F806" s="883" t="s">
        <v>1324</v>
      </c>
      <c r="G806" s="883" t="s">
        <v>2190</v>
      </c>
      <c r="H806" s="883" t="s">
        <v>2063</v>
      </c>
      <c r="I806" s="883" t="s">
        <v>2538</v>
      </c>
      <c r="J806" s="884">
        <v>10</v>
      </c>
      <c r="K806" s="885">
        <v>9.99</v>
      </c>
      <c r="L806" s="886">
        <v>9.989812</v>
      </c>
      <c r="M806" s="882"/>
    </row>
    <row r="807" spans="1:13" ht="12.75">
      <c r="A807" s="882"/>
      <c r="B807" s="882"/>
      <c r="C807" s="882"/>
      <c r="D807" s="882"/>
      <c r="E807" s="883" t="s">
        <v>1813</v>
      </c>
      <c r="F807" s="883" t="s">
        <v>1324</v>
      </c>
      <c r="G807" s="883" t="s">
        <v>2191</v>
      </c>
      <c r="H807" s="883" t="s">
        <v>2063</v>
      </c>
      <c r="I807" s="883" t="s">
        <v>2538</v>
      </c>
      <c r="J807" s="884">
        <v>15</v>
      </c>
      <c r="K807" s="885">
        <v>15</v>
      </c>
      <c r="L807" s="886">
        <v>14.999955</v>
      </c>
      <c r="M807" s="882"/>
    </row>
    <row r="808" spans="1:13" ht="12.75">
      <c r="A808" s="882"/>
      <c r="B808" s="882"/>
      <c r="C808" s="882"/>
      <c r="D808" s="882"/>
      <c r="E808" s="883" t="s">
        <v>1814</v>
      </c>
      <c r="F808" s="883" t="s">
        <v>1324</v>
      </c>
      <c r="G808" s="883" t="s">
        <v>2194</v>
      </c>
      <c r="H808" s="883" t="s">
        <v>2063</v>
      </c>
      <c r="I808" s="883" t="s">
        <v>2538</v>
      </c>
      <c r="J808" s="885">
        <v>0</v>
      </c>
      <c r="K808" s="885">
        <v>4.995</v>
      </c>
      <c r="L808" s="886">
        <v>4.994906</v>
      </c>
      <c r="M808" s="882"/>
    </row>
    <row r="809" spans="1:13" ht="13.5" thickBot="1">
      <c r="A809" s="882"/>
      <c r="B809" s="882"/>
      <c r="C809" s="882"/>
      <c r="D809" s="882"/>
      <c r="E809" s="883" t="s">
        <v>1814</v>
      </c>
      <c r="F809" s="883" t="s">
        <v>1324</v>
      </c>
      <c r="G809" s="883" t="s">
        <v>2194</v>
      </c>
      <c r="H809" s="883" t="s">
        <v>2063</v>
      </c>
      <c r="I809" s="883" t="s">
        <v>2841</v>
      </c>
      <c r="J809" s="885">
        <v>0</v>
      </c>
      <c r="K809" s="885">
        <v>0.005</v>
      </c>
      <c r="L809" s="886">
        <v>0.0049982</v>
      </c>
      <c r="M809" s="882"/>
    </row>
    <row r="810" spans="1:13" ht="13.5" thickBot="1">
      <c r="A810" s="882"/>
      <c r="B810" s="882"/>
      <c r="C810" s="882"/>
      <c r="D810" s="882"/>
      <c r="E810" s="1043" t="s">
        <v>1815</v>
      </c>
      <c r="F810" s="1044"/>
      <c r="G810" s="1044"/>
      <c r="H810" s="1044"/>
      <c r="I810" s="1044"/>
      <c r="J810" s="890">
        <f>SUM(J783:J809)</f>
        <v>200</v>
      </c>
      <c r="K810" s="890">
        <f>SUM(K783:K809)</f>
        <v>200</v>
      </c>
      <c r="L810" s="891">
        <f>SUM(L783:L809)</f>
        <v>199.98902720000007</v>
      </c>
      <c r="M810" s="882"/>
    </row>
    <row r="811" spans="1:13" ht="12.75">
      <c r="A811" s="882"/>
      <c r="B811" s="882"/>
      <c r="C811" s="882"/>
      <c r="D811" s="882"/>
      <c r="E811" s="883" t="s">
        <v>1816</v>
      </c>
      <c r="F811" s="883" t="s">
        <v>1817</v>
      </c>
      <c r="G811" s="883" t="s">
        <v>2469</v>
      </c>
      <c r="H811" s="883" t="s">
        <v>2063</v>
      </c>
      <c r="I811" s="883" t="s">
        <v>2538</v>
      </c>
      <c r="J811" s="884">
        <v>1</v>
      </c>
      <c r="K811" s="885">
        <v>1.72</v>
      </c>
      <c r="L811" s="886">
        <v>1.71955</v>
      </c>
      <c r="M811" s="882"/>
    </row>
    <row r="812" spans="1:13" ht="12.75">
      <c r="A812" s="882"/>
      <c r="B812" s="882"/>
      <c r="C812" s="882"/>
      <c r="D812" s="882"/>
      <c r="E812" s="883" t="s">
        <v>1818</v>
      </c>
      <c r="F812" s="883" t="s">
        <v>1819</v>
      </c>
      <c r="G812" s="883" t="s">
        <v>2469</v>
      </c>
      <c r="H812" s="883" t="s">
        <v>2063</v>
      </c>
      <c r="I812" s="883" t="s">
        <v>2538</v>
      </c>
      <c r="J812" s="884">
        <v>2</v>
      </c>
      <c r="K812" s="885">
        <v>1.262</v>
      </c>
      <c r="L812" s="886">
        <v>1.2614</v>
      </c>
      <c r="M812" s="882"/>
    </row>
    <row r="813" spans="1:13" ht="12.75">
      <c r="A813" s="882"/>
      <c r="B813" s="882"/>
      <c r="C813" s="882"/>
      <c r="D813" s="882"/>
      <c r="E813" s="883" t="s">
        <v>1820</v>
      </c>
      <c r="F813" s="883" t="s">
        <v>1821</v>
      </c>
      <c r="G813" s="883" t="s">
        <v>2469</v>
      </c>
      <c r="H813" s="883" t="s">
        <v>2063</v>
      </c>
      <c r="I813" s="883" t="s">
        <v>2897</v>
      </c>
      <c r="J813" s="885">
        <v>0</v>
      </c>
      <c r="K813" s="885">
        <v>0</v>
      </c>
      <c r="L813" s="886">
        <v>0.264002</v>
      </c>
      <c r="M813" s="882"/>
    </row>
    <row r="814" spans="1:13" ht="12.75">
      <c r="A814" s="882"/>
      <c r="B814" s="882"/>
      <c r="C814" s="882"/>
      <c r="D814" s="882"/>
      <c r="E814" s="883" t="s">
        <v>1820</v>
      </c>
      <c r="F814" s="883" t="s">
        <v>1821</v>
      </c>
      <c r="G814" s="883" t="s">
        <v>2469</v>
      </c>
      <c r="H814" s="883" t="s">
        <v>2063</v>
      </c>
      <c r="I814" s="883" t="s">
        <v>1079</v>
      </c>
      <c r="J814" s="885">
        <v>0</v>
      </c>
      <c r="K814" s="885">
        <v>0</v>
      </c>
      <c r="L814" s="886">
        <v>8.636853</v>
      </c>
      <c r="M814" s="882"/>
    </row>
    <row r="815" spans="1:13" ht="12.75">
      <c r="A815" s="882"/>
      <c r="B815" s="882"/>
      <c r="C815" s="882"/>
      <c r="D815" s="882"/>
      <c r="E815" s="883" t="s">
        <v>1820</v>
      </c>
      <c r="F815" s="883" t="s">
        <v>1821</v>
      </c>
      <c r="G815" s="883" t="s">
        <v>2469</v>
      </c>
      <c r="H815" s="883" t="s">
        <v>2063</v>
      </c>
      <c r="I815" s="883" t="s">
        <v>2627</v>
      </c>
      <c r="J815" s="885">
        <v>0</v>
      </c>
      <c r="K815" s="885">
        <v>0</v>
      </c>
      <c r="L815" s="886">
        <v>6.6402</v>
      </c>
      <c r="M815" s="882"/>
    </row>
    <row r="816" spans="1:13" ht="12.75">
      <c r="A816" s="882"/>
      <c r="B816" s="882"/>
      <c r="C816" s="882"/>
      <c r="D816" s="882"/>
      <c r="E816" s="883" t="s">
        <v>1820</v>
      </c>
      <c r="F816" s="883" t="s">
        <v>1821</v>
      </c>
      <c r="G816" s="883" t="s">
        <v>2469</v>
      </c>
      <c r="H816" s="883" t="s">
        <v>2063</v>
      </c>
      <c r="I816" s="883" t="s">
        <v>2841</v>
      </c>
      <c r="J816" s="885">
        <v>0</v>
      </c>
      <c r="K816" s="885">
        <v>2.748</v>
      </c>
      <c r="L816" s="886">
        <v>0</v>
      </c>
      <c r="M816" s="882"/>
    </row>
    <row r="817" spans="1:13" ht="12.75">
      <c r="A817" s="882"/>
      <c r="B817" s="882"/>
      <c r="C817" s="882"/>
      <c r="D817" s="882"/>
      <c r="E817" s="883" t="s">
        <v>1820</v>
      </c>
      <c r="F817" s="883" t="s">
        <v>1821</v>
      </c>
      <c r="G817" s="883" t="s">
        <v>2469</v>
      </c>
      <c r="H817" s="883" t="s">
        <v>2063</v>
      </c>
      <c r="I817" s="883" t="s">
        <v>2564</v>
      </c>
      <c r="J817" s="885">
        <v>0</v>
      </c>
      <c r="K817" s="885">
        <v>68.425</v>
      </c>
      <c r="L817" s="886">
        <v>0</v>
      </c>
      <c r="M817" s="882"/>
    </row>
    <row r="818" spans="1:13" ht="12.75">
      <c r="A818" s="882"/>
      <c r="B818" s="882"/>
      <c r="C818" s="882"/>
      <c r="D818" s="882"/>
      <c r="E818" s="883" t="s">
        <v>1820</v>
      </c>
      <c r="F818" s="883" t="s">
        <v>1821</v>
      </c>
      <c r="G818" s="883" t="s">
        <v>2469</v>
      </c>
      <c r="H818" s="883" t="s">
        <v>2063</v>
      </c>
      <c r="I818" s="883" t="s">
        <v>2538</v>
      </c>
      <c r="J818" s="885">
        <v>0</v>
      </c>
      <c r="K818" s="885">
        <v>12.075</v>
      </c>
      <c r="L818" s="886">
        <v>0</v>
      </c>
      <c r="M818" s="882"/>
    </row>
    <row r="819" spans="1:13" ht="12.75">
      <c r="A819" s="882"/>
      <c r="B819" s="882"/>
      <c r="C819" s="882"/>
      <c r="D819" s="882"/>
      <c r="E819" s="883" t="s">
        <v>1820</v>
      </c>
      <c r="F819" s="883" t="s">
        <v>1821</v>
      </c>
      <c r="G819" s="883" t="s">
        <v>2469</v>
      </c>
      <c r="H819" s="883" t="s">
        <v>2063</v>
      </c>
      <c r="I819" s="883" t="s">
        <v>2842</v>
      </c>
      <c r="J819" s="885">
        <v>0</v>
      </c>
      <c r="K819" s="885">
        <v>15.572</v>
      </c>
      <c r="L819" s="886">
        <v>0</v>
      </c>
      <c r="M819" s="882"/>
    </row>
    <row r="820" spans="1:13" ht="12.75">
      <c r="A820" s="882"/>
      <c r="B820" s="882"/>
      <c r="C820" s="882"/>
      <c r="D820" s="882"/>
      <c r="E820" s="883" t="s">
        <v>1822</v>
      </c>
      <c r="F820" s="883" t="s">
        <v>1823</v>
      </c>
      <c r="G820" s="883" t="s">
        <v>2469</v>
      </c>
      <c r="H820" s="883" t="s">
        <v>2063</v>
      </c>
      <c r="I820" s="883" t="s">
        <v>2841</v>
      </c>
      <c r="J820" s="885">
        <v>0</v>
      </c>
      <c r="K820" s="885">
        <v>1.666</v>
      </c>
      <c r="L820" s="886">
        <v>1.666</v>
      </c>
      <c r="M820" s="882"/>
    </row>
    <row r="821" spans="1:13" ht="12.75">
      <c r="A821" s="882"/>
      <c r="B821" s="882"/>
      <c r="C821" s="882"/>
      <c r="D821" s="882"/>
      <c r="E821" s="883" t="s">
        <v>1822</v>
      </c>
      <c r="F821" s="883" t="s">
        <v>1823</v>
      </c>
      <c r="G821" s="883" t="s">
        <v>2469</v>
      </c>
      <c r="H821" s="883" t="s">
        <v>2063</v>
      </c>
      <c r="I821" s="883" t="s">
        <v>2538</v>
      </c>
      <c r="J821" s="885">
        <v>0</v>
      </c>
      <c r="K821" s="885">
        <v>11.571</v>
      </c>
      <c r="L821" s="886">
        <v>11.569839</v>
      </c>
      <c r="M821" s="882"/>
    </row>
    <row r="822" spans="1:13" ht="12.75">
      <c r="A822" s="882"/>
      <c r="B822" s="882"/>
      <c r="C822" s="882"/>
      <c r="D822" s="882"/>
      <c r="E822" s="883" t="s">
        <v>1824</v>
      </c>
      <c r="F822" s="883" t="s">
        <v>1825</v>
      </c>
      <c r="G822" s="883" t="s">
        <v>2469</v>
      </c>
      <c r="H822" s="883" t="s">
        <v>2063</v>
      </c>
      <c r="I822" s="883" t="s">
        <v>1826</v>
      </c>
      <c r="J822" s="885">
        <v>0</v>
      </c>
      <c r="K822" s="885">
        <v>0</v>
      </c>
      <c r="L822" s="886">
        <v>8.324505</v>
      </c>
      <c r="M822" s="882"/>
    </row>
    <row r="823" spans="1:13" ht="12.75">
      <c r="A823" s="882"/>
      <c r="B823" s="882"/>
      <c r="C823" s="882"/>
      <c r="D823" s="882"/>
      <c r="E823" s="883" t="s">
        <v>1824</v>
      </c>
      <c r="F823" s="883" t="s">
        <v>1825</v>
      </c>
      <c r="G823" s="883" t="s">
        <v>2469</v>
      </c>
      <c r="H823" s="883" t="s">
        <v>2063</v>
      </c>
      <c r="I823" s="883" t="s">
        <v>1079</v>
      </c>
      <c r="J823" s="885">
        <v>0</v>
      </c>
      <c r="K823" s="885">
        <v>0</v>
      </c>
      <c r="L823" s="886">
        <v>10.1523482</v>
      </c>
      <c r="M823" s="882"/>
    </row>
    <row r="824" spans="1:13" ht="12.75">
      <c r="A824" s="882"/>
      <c r="B824" s="882"/>
      <c r="C824" s="882"/>
      <c r="D824" s="882"/>
      <c r="E824" s="883" t="s">
        <v>1824</v>
      </c>
      <c r="F824" s="883" t="s">
        <v>1825</v>
      </c>
      <c r="G824" s="883" t="s">
        <v>2469</v>
      </c>
      <c r="H824" s="883" t="s">
        <v>2063</v>
      </c>
      <c r="I824" s="883" t="s">
        <v>2897</v>
      </c>
      <c r="J824" s="885">
        <v>0</v>
      </c>
      <c r="K824" s="885">
        <v>0</v>
      </c>
      <c r="L824" s="886">
        <v>2.417328</v>
      </c>
      <c r="M824" s="882"/>
    </row>
    <row r="825" spans="1:13" ht="12.75">
      <c r="A825" s="882"/>
      <c r="B825" s="882"/>
      <c r="C825" s="882"/>
      <c r="D825" s="882"/>
      <c r="E825" s="883" t="s">
        <v>1824</v>
      </c>
      <c r="F825" s="883" t="s">
        <v>1825</v>
      </c>
      <c r="G825" s="883" t="s">
        <v>2469</v>
      </c>
      <c r="H825" s="883" t="s">
        <v>2063</v>
      </c>
      <c r="I825" s="883" t="s">
        <v>2842</v>
      </c>
      <c r="J825" s="885">
        <v>0</v>
      </c>
      <c r="K825" s="885">
        <v>47.175</v>
      </c>
      <c r="L825" s="886">
        <v>0</v>
      </c>
      <c r="M825" s="882"/>
    </row>
    <row r="826" spans="1:13" ht="12.75">
      <c r="A826" s="882"/>
      <c r="B826" s="882"/>
      <c r="C826" s="882"/>
      <c r="D826" s="882"/>
      <c r="E826" s="883" t="s">
        <v>1824</v>
      </c>
      <c r="F826" s="883" t="s">
        <v>1825</v>
      </c>
      <c r="G826" s="883" t="s">
        <v>2469</v>
      </c>
      <c r="H826" s="883" t="s">
        <v>2063</v>
      </c>
      <c r="I826" s="883" t="s">
        <v>2538</v>
      </c>
      <c r="J826" s="885">
        <v>0</v>
      </c>
      <c r="K826" s="885">
        <v>37.5</v>
      </c>
      <c r="L826" s="886">
        <v>0</v>
      </c>
      <c r="M826" s="882"/>
    </row>
    <row r="827" spans="1:13" ht="12.75">
      <c r="A827" s="882"/>
      <c r="B827" s="882"/>
      <c r="C827" s="882"/>
      <c r="D827" s="882"/>
      <c r="E827" s="883" t="s">
        <v>1824</v>
      </c>
      <c r="F827" s="883" t="s">
        <v>1825</v>
      </c>
      <c r="G827" s="883" t="s">
        <v>2469</v>
      </c>
      <c r="H827" s="883" t="s">
        <v>2063</v>
      </c>
      <c r="I827" s="883" t="s">
        <v>2841</v>
      </c>
      <c r="J827" s="885">
        <v>0</v>
      </c>
      <c r="K827" s="885">
        <v>4.5</v>
      </c>
      <c r="L827" s="886">
        <v>0</v>
      </c>
      <c r="M827" s="882"/>
    </row>
    <row r="828" spans="1:13" ht="12.75">
      <c r="A828" s="882"/>
      <c r="B828" s="882"/>
      <c r="C828" s="882"/>
      <c r="D828" s="882"/>
      <c r="E828" s="883" t="s">
        <v>1824</v>
      </c>
      <c r="F828" s="883" t="s">
        <v>1825</v>
      </c>
      <c r="G828" s="883" t="s">
        <v>2469</v>
      </c>
      <c r="H828" s="883" t="s">
        <v>2063</v>
      </c>
      <c r="I828" s="883" t="s">
        <v>2564</v>
      </c>
      <c r="J828" s="885">
        <v>0</v>
      </c>
      <c r="K828" s="885">
        <v>343.825</v>
      </c>
      <c r="L828" s="886">
        <v>0</v>
      </c>
      <c r="M828" s="882"/>
    </row>
    <row r="829" spans="1:13" ht="12.75">
      <c r="A829" s="882"/>
      <c r="B829" s="882"/>
      <c r="C829" s="882"/>
      <c r="D829" s="882"/>
      <c r="E829" s="883" t="s">
        <v>1827</v>
      </c>
      <c r="F829" s="883" t="s">
        <v>1828</v>
      </c>
      <c r="G829" s="883" t="s">
        <v>2469</v>
      </c>
      <c r="H829" s="883" t="s">
        <v>2063</v>
      </c>
      <c r="I829" s="883" t="s">
        <v>2538</v>
      </c>
      <c r="J829" s="885">
        <v>0</v>
      </c>
      <c r="K829" s="885">
        <v>0.124</v>
      </c>
      <c r="L829" s="886">
        <v>0.1237481</v>
      </c>
      <c r="M829" s="882"/>
    </row>
    <row r="830" spans="1:13" ht="12.75">
      <c r="A830" s="882"/>
      <c r="B830" s="882"/>
      <c r="C830" s="882"/>
      <c r="D830" s="882"/>
      <c r="E830" s="883" t="s">
        <v>1829</v>
      </c>
      <c r="F830" s="883" t="s">
        <v>1830</v>
      </c>
      <c r="G830" s="883" t="s">
        <v>2469</v>
      </c>
      <c r="H830" s="883" t="s">
        <v>2063</v>
      </c>
      <c r="I830" s="883" t="s">
        <v>2538</v>
      </c>
      <c r="J830" s="885">
        <v>0</v>
      </c>
      <c r="K830" s="885">
        <v>5.975</v>
      </c>
      <c r="L830" s="886">
        <v>5.9744805</v>
      </c>
      <c r="M830" s="882"/>
    </row>
    <row r="831" spans="1:13" ht="12.75">
      <c r="A831" s="882"/>
      <c r="B831" s="882"/>
      <c r="C831" s="882"/>
      <c r="D831" s="882"/>
      <c r="E831" s="883" t="s">
        <v>1829</v>
      </c>
      <c r="F831" s="883" t="s">
        <v>1830</v>
      </c>
      <c r="G831" s="883" t="s">
        <v>2469</v>
      </c>
      <c r="H831" s="883" t="s">
        <v>2063</v>
      </c>
      <c r="I831" s="883" t="s">
        <v>2841</v>
      </c>
      <c r="J831" s="885">
        <v>0</v>
      </c>
      <c r="K831" s="885">
        <v>10.907</v>
      </c>
      <c r="L831" s="886">
        <v>10.90635</v>
      </c>
      <c r="M831" s="882"/>
    </row>
    <row r="832" spans="1:13" ht="12.75">
      <c r="A832" s="882"/>
      <c r="B832" s="882"/>
      <c r="C832" s="882"/>
      <c r="D832" s="882"/>
      <c r="E832" s="883" t="s">
        <v>1831</v>
      </c>
      <c r="F832" s="883" t="s">
        <v>1832</v>
      </c>
      <c r="G832" s="883" t="s">
        <v>2469</v>
      </c>
      <c r="H832" s="883" t="s">
        <v>2543</v>
      </c>
      <c r="I832" s="883" t="s">
        <v>2538</v>
      </c>
      <c r="J832" s="884">
        <v>38.556</v>
      </c>
      <c r="K832" s="885">
        <v>0</v>
      </c>
      <c r="L832" s="886">
        <v>0</v>
      </c>
      <c r="M832" s="882"/>
    </row>
    <row r="833" spans="1:13" ht="12.75">
      <c r="A833" s="882"/>
      <c r="B833" s="882"/>
      <c r="C833" s="882"/>
      <c r="D833" s="882"/>
      <c r="E833" s="883" t="s">
        <v>1833</v>
      </c>
      <c r="F833" s="883" t="s">
        <v>1834</v>
      </c>
      <c r="G833" s="883" t="s">
        <v>2469</v>
      </c>
      <c r="H833" s="883" t="s">
        <v>2063</v>
      </c>
      <c r="I833" s="883" t="s">
        <v>2538</v>
      </c>
      <c r="J833" s="885">
        <v>0</v>
      </c>
      <c r="K833" s="885">
        <v>3.7</v>
      </c>
      <c r="L833" s="886">
        <v>3.7</v>
      </c>
      <c r="M833" s="882"/>
    </row>
    <row r="834" spans="1:13" ht="12.75">
      <c r="A834" s="882"/>
      <c r="B834" s="882"/>
      <c r="C834" s="882"/>
      <c r="D834" s="882"/>
      <c r="E834" s="883" t="s">
        <v>1835</v>
      </c>
      <c r="F834" s="883" t="s">
        <v>1836</v>
      </c>
      <c r="G834" s="883" t="s">
        <v>2469</v>
      </c>
      <c r="H834" s="883" t="s">
        <v>2063</v>
      </c>
      <c r="I834" s="883" t="s">
        <v>2538</v>
      </c>
      <c r="J834" s="885">
        <v>0</v>
      </c>
      <c r="K834" s="885">
        <v>1.5</v>
      </c>
      <c r="L834" s="886">
        <v>1.499828</v>
      </c>
      <c r="M834" s="882"/>
    </row>
    <row r="835" spans="1:13" ht="12.75">
      <c r="A835" s="882"/>
      <c r="B835" s="882"/>
      <c r="C835" s="882"/>
      <c r="D835" s="882"/>
      <c r="E835" s="883" t="s">
        <v>1837</v>
      </c>
      <c r="F835" s="883" t="s">
        <v>1838</v>
      </c>
      <c r="G835" s="883" t="s">
        <v>2469</v>
      </c>
      <c r="H835" s="883" t="s">
        <v>2543</v>
      </c>
      <c r="I835" s="883" t="s">
        <v>2538</v>
      </c>
      <c r="J835" s="884">
        <v>5.763</v>
      </c>
      <c r="K835" s="885">
        <v>0</v>
      </c>
      <c r="L835" s="886">
        <v>0</v>
      </c>
      <c r="M835" s="882"/>
    </row>
    <row r="836" spans="1:13" ht="12.75">
      <c r="A836" s="882"/>
      <c r="B836" s="882"/>
      <c r="C836" s="882"/>
      <c r="D836" s="882"/>
      <c r="E836" s="883" t="s">
        <v>1839</v>
      </c>
      <c r="F836" s="883" t="s">
        <v>1840</v>
      </c>
      <c r="G836" s="883" t="s">
        <v>2469</v>
      </c>
      <c r="H836" s="883" t="s">
        <v>2063</v>
      </c>
      <c r="I836" s="883" t="s">
        <v>2538</v>
      </c>
      <c r="J836" s="885">
        <v>0</v>
      </c>
      <c r="K836" s="885">
        <v>0.95</v>
      </c>
      <c r="L836" s="886">
        <v>0.947835</v>
      </c>
      <c r="M836" s="882"/>
    </row>
    <row r="837" spans="1:13" ht="12.75">
      <c r="A837" s="882"/>
      <c r="B837" s="882"/>
      <c r="C837" s="882"/>
      <c r="D837" s="882"/>
      <c r="E837" s="883" t="s">
        <v>1841</v>
      </c>
      <c r="F837" s="883" t="s">
        <v>1842</v>
      </c>
      <c r="G837" s="883" t="s">
        <v>2469</v>
      </c>
      <c r="H837" s="883" t="s">
        <v>2063</v>
      </c>
      <c r="I837" s="883" t="s">
        <v>2538</v>
      </c>
      <c r="J837" s="885">
        <v>0</v>
      </c>
      <c r="K837" s="885">
        <v>1.51</v>
      </c>
      <c r="L837" s="886">
        <v>1.5076431</v>
      </c>
      <c r="M837" s="882"/>
    </row>
    <row r="838" spans="1:13" ht="12.75">
      <c r="A838" s="882"/>
      <c r="B838" s="882"/>
      <c r="C838" s="882"/>
      <c r="D838" s="882"/>
      <c r="E838" s="883" t="s">
        <v>1843</v>
      </c>
      <c r="F838" s="883" t="s">
        <v>1844</v>
      </c>
      <c r="G838" s="883" t="s">
        <v>2469</v>
      </c>
      <c r="H838" s="883" t="s">
        <v>2543</v>
      </c>
      <c r="I838" s="883" t="s">
        <v>2538</v>
      </c>
      <c r="J838" s="884">
        <v>17</v>
      </c>
      <c r="K838" s="885">
        <v>0</v>
      </c>
      <c r="L838" s="886">
        <v>0</v>
      </c>
      <c r="M838" s="882"/>
    </row>
    <row r="839" spans="1:13" ht="12.75">
      <c r="A839" s="882"/>
      <c r="B839" s="882"/>
      <c r="C839" s="882"/>
      <c r="D839" s="882"/>
      <c r="E839" s="883" t="s">
        <v>1845</v>
      </c>
      <c r="F839" s="883" t="s">
        <v>1846</v>
      </c>
      <c r="G839" s="883" t="s">
        <v>2469</v>
      </c>
      <c r="H839" s="883" t="s">
        <v>2063</v>
      </c>
      <c r="I839" s="883" t="s">
        <v>2538</v>
      </c>
      <c r="J839" s="885">
        <v>0</v>
      </c>
      <c r="K839" s="885">
        <v>0.952</v>
      </c>
      <c r="L839" s="886">
        <v>0.952</v>
      </c>
      <c r="M839" s="882"/>
    </row>
    <row r="840" spans="1:13" ht="12.75">
      <c r="A840" s="882"/>
      <c r="B840" s="882"/>
      <c r="C840" s="882"/>
      <c r="D840" s="882"/>
      <c r="E840" s="883" t="s">
        <v>1847</v>
      </c>
      <c r="F840" s="883" t="s">
        <v>1848</v>
      </c>
      <c r="G840" s="883" t="s">
        <v>2469</v>
      </c>
      <c r="H840" s="883" t="s">
        <v>2063</v>
      </c>
      <c r="I840" s="883" t="s">
        <v>2538</v>
      </c>
      <c r="J840" s="885">
        <v>0</v>
      </c>
      <c r="K840" s="885">
        <v>1.785</v>
      </c>
      <c r="L840" s="886">
        <v>1.785</v>
      </c>
      <c r="M840" s="882"/>
    </row>
    <row r="841" spans="1:13" ht="12.75">
      <c r="A841" s="882"/>
      <c r="B841" s="882"/>
      <c r="C841" s="882"/>
      <c r="D841" s="882"/>
      <c r="E841" s="883" t="s">
        <v>1849</v>
      </c>
      <c r="F841" s="883" t="s">
        <v>1850</v>
      </c>
      <c r="G841" s="883" t="s">
        <v>2469</v>
      </c>
      <c r="H841" s="883" t="s">
        <v>2063</v>
      </c>
      <c r="I841" s="883" t="s">
        <v>2538</v>
      </c>
      <c r="J841" s="885">
        <v>0</v>
      </c>
      <c r="K841" s="885">
        <v>1.666</v>
      </c>
      <c r="L841" s="886">
        <v>1.666</v>
      </c>
      <c r="M841" s="882"/>
    </row>
    <row r="842" spans="1:13" ht="13.5" thickBot="1">
      <c r="A842" s="882"/>
      <c r="B842" s="882"/>
      <c r="C842" s="882"/>
      <c r="D842" s="882"/>
      <c r="E842" s="883" t="s">
        <v>1851</v>
      </c>
      <c r="F842" s="883" t="s">
        <v>1852</v>
      </c>
      <c r="G842" s="883" t="s">
        <v>2469</v>
      </c>
      <c r="H842" s="883" t="s">
        <v>2063</v>
      </c>
      <c r="I842" s="883" t="s">
        <v>2538</v>
      </c>
      <c r="J842" s="885">
        <v>0</v>
      </c>
      <c r="K842" s="885">
        <v>0.952</v>
      </c>
      <c r="L842" s="886">
        <v>0.952</v>
      </c>
      <c r="M842" s="882"/>
    </row>
    <row r="843" spans="1:13" ht="13.5" thickBot="1">
      <c r="A843" s="882"/>
      <c r="B843" s="882"/>
      <c r="C843" s="882"/>
      <c r="D843" s="882"/>
      <c r="E843" s="1043" t="s">
        <v>1853</v>
      </c>
      <c r="F843" s="1044"/>
      <c r="G843" s="1044"/>
      <c r="H843" s="1044"/>
      <c r="I843" s="1044"/>
      <c r="J843" s="890">
        <f>SUM(J811:J842)</f>
        <v>64.31899999999999</v>
      </c>
      <c r="K843" s="890">
        <f>SUM(K811:K842)</f>
        <v>578.0600000000002</v>
      </c>
      <c r="L843" s="891">
        <f>SUM(L811:L842)</f>
        <v>82.66690989999998</v>
      </c>
      <c r="M843" s="882"/>
    </row>
    <row r="844" spans="1:13" ht="13.5" thickBot="1">
      <c r="A844" s="882"/>
      <c r="B844" s="882"/>
      <c r="C844" s="882"/>
      <c r="D844" s="882"/>
      <c r="E844" s="883" t="s">
        <v>1854</v>
      </c>
      <c r="F844" s="883" t="s">
        <v>1855</v>
      </c>
      <c r="G844" s="883" t="s">
        <v>2344</v>
      </c>
      <c r="H844" s="883" t="s">
        <v>2063</v>
      </c>
      <c r="I844" s="883" t="s">
        <v>2538</v>
      </c>
      <c r="J844" s="884">
        <v>12.528</v>
      </c>
      <c r="K844" s="885">
        <v>12.528</v>
      </c>
      <c r="L844" s="886">
        <v>12.527642</v>
      </c>
      <c r="M844" s="882"/>
    </row>
    <row r="845" spans="1:13" ht="13.5" thickBot="1">
      <c r="A845" s="882"/>
      <c r="B845" s="882"/>
      <c r="C845" s="882"/>
      <c r="D845" s="882"/>
      <c r="E845" s="1043" t="s">
        <v>1856</v>
      </c>
      <c r="F845" s="1044"/>
      <c r="G845" s="1044"/>
      <c r="H845" s="1044"/>
      <c r="I845" s="1044"/>
      <c r="J845" s="890">
        <v>12.528</v>
      </c>
      <c r="K845" s="890">
        <v>12.528</v>
      </c>
      <c r="L845" s="891">
        <v>12.527642</v>
      </c>
      <c r="M845" s="882"/>
    </row>
    <row r="846" spans="1:13" ht="12.75">
      <c r="A846" s="882"/>
      <c r="B846" s="882"/>
      <c r="C846" s="882"/>
      <c r="D846" s="882"/>
      <c r="E846" s="883" t="s">
        <v>1857</v>
      </c>
      <c r="F846" s="883" t="s">
        <v>1858</v>
      </c>
      <c r="G846" s="883" t="s">
        <v>2093</v>
      </c>
      <c r="H846" s="883" t="s">
        <v>2063</v>
      </c>
      <c r="I846" s="883" t="s">
        <v>2538</v>
      </c>
      <c r="J846" s="884">
        <v>1</v>
      </c>
      <c r="K846" s="885">
        <v>1</v>
      </c>
      <c r="L846" s="886">
        <v>0.967413</v>
      </c>
      <c r="M846" s="882"/>
    </row>
    <row r="847" spans="1:13" ht="12.75">
      <c r="A847" s="882"/>
      <c r="B847" s="882"/>
      <c r="C847" s="882"/>
      <c r="D847" s="882"/>
      <c r="E847" s="883" t="s">
        <v>1859</v>
      </c>
      <c r="F847" s="883" t="s">
        <v>2619</v>
      </c>
      <c r="G847" s="883" t="s">
        <v>1860</v>
      </c>
      <c r="H847" s="883" t="s">
        <v>2063</v>
      </c>
      <c r="I847" s="883" t="s">
        <v>2538</v>
      </c>
      <c r="J847" s="884">
        <v>1</v>
      </c>
      <c r="K847" s="885">
        <v>2.35</v>
      </c>
      <c r="L847" s="886">
        <v>2.349894</v>
      </c>
      <c r="M847" s="882"/>
    </row>
    <row r="848" spans="1:13" ht="12.75">
      <c r="A848" s="882"/>
      <c r="B848" s="882"/>
      <c r="C848" s="882"/>
      <c r="D848" s="882"/>
      <c r="E848" s="883" t="s">
        <v>1861</v>
      </c>
      <c r="F848" s="883" t="s">
        <v>1862</v>
      </c>
      <c r="G848" s="883" t="s">
        <v>1863</v>
      </c>
      <c r="H848" s="883" t="s">
        <v>2063</v>
      </c>
      <c r="I848" s="883" t="s">
        <v>2538</v>
      </c>
      <c r="J848" s="884">
        <v>0.18</v>
      </c>
      <c r="K848" s="885">
        <v>0.18</v>
      </c>
      <c r="L848" s="886">
        <v>0.179357</v>
      </c>
      <c r="M848" s="882"/>
    </row>
    <row r="849" spans="1:13" ht="12.75">
      <c r="A849" s="882"/>
      <c r="B849" s="882"/>
      <c r="C849" s="882"/>
      <c r="D849" s="882"/>
      <c r="E849" s="883" t="s">
        <v>1864</v>
      </c>
      <c r="F849" s="883" t="s">
        <v>1865</v>
      </c>
      <c r="G849" s="883" t="s">
        <v>2095</v>
      </c>
      <c r="H849" s="883" t="s">
        <v>2063</v>
      </c>
      <c r="I849" s="883" t="s">
        <v>2538</v>
      </c>
      <c r="J849" s="884">
        <v>0.185</v>
      </c>
      <c r="K849" s="885">
        <v>0.529</v>
      </c>
      <c r="L849" s="886">
        <v>0.5277965</v>
      </c>
      <c r="M849" s="882"/>
    </row>
    <row r="850" spans="1:13" ht="12.75">
      <c r="A850" s="882"/>
      <c r="B850" s="882"/>
      <c r="C850" s="882"/>
      <c r="D850" s="882"/>
      <c r="E850" s="883" t="s">
        <v>1866</v>
      </c>
      <c r="F850" s="883" t="s">
        <v>1867</v>
      </c>
      <c r="G850" s="883" t="s">
        <v>2092</v>
      </c>
      <c r="H850" s="883" t="s">
        <v>2063</v>
      </c>
      <c r="I850" s="883" t="s">
        <v>2538</v>
      </c>
      <c r="J850" s="884">
        <v>0.428</v>
      </c>
      <c r="K850" s="885">
        <v>0.83</v>
      </c>
      <c r="L850" s="886">
        <v>0.8219193</v>
      </c>
      <c r="M850" s="882"/>
    </row>
    <row r="851" spans="1:13" ht="12.75">
      <c r="A851" s="882"/>
      <c r="B851" s="882"/>
      <c r="C851" s="882"/>
      <c r="D851" s="882"/>
      <c r="E851" s="883" t="s">
        <v>1868</v>
      </c>
      <c r="F851" s="883" t="s">
        <v>1869</v>
      </c>
      <c r="G851" s="883" t="s">
        <v>2092</v>
      </c>
      <c r="H851" s="883" t="s">
        <v>2063</v>
      </c>
      <c r="I851" s="883" t="s">
        <v>2538</v>
      </c>
      <c r="J851" s="884">
        <v>0.15</v>
      </c>
      <c r="K851" s="885">
        <v>0</v>
      </c>
      <c r="L851" s="886">
        <v>0</v>
      </c>
      <c r="M851" s="882"/>
    </row>
    <row r="852" spans="1:13" ht="12.75">
      <c r="A852" s="882"/>
      <c r="B852" s="882"/>
      <c r="C852" s="882"/>
      <c r="D852" s="882"/>
      <c r="E852" s="883" t="s">
        <v>1870</v>
      </c>
      <c r="F852" s="883" t="s">
        <v>1871</v>
      </c>
      <c r="G852" s="883" t="s">
        <v>2092</v>
      </c>
      <c r="H852" s="883" t="s">
        <v>2543</v>
      </c>
      <c r="I852" s="883" t="s">
        <v>2538</v>
      </c>
      <c r="J852" s="884">
        <v>0.4</v>
      </c>
      <c r="K852" s="885">
        <v>0</v>
      </c>
      <c r="L852" s="886">
        <v>0</v>
      </c>
      <c r="M852" s="882"/>
    </row>
    <row r="853" spans="1:13" ht="12.75">
      <c r="A853" s="882"/>
      <c r="B853" s="882"/>
      <c r="C853" s="882"/>
      <c r="D853" s="882"/>
      <c r="E853" s="883" t="s">
        <v>1872</v>
      </c>
      <c r="F853" s="883" t="s">
        <v>1873</v>
      </c>
      <c r="G853" s="883" t="s">
        <v>2092</v>
      </c>
      <c r="H853" s="883" t="s">
        <v>2063</v>
      </c>
      <c r="I853" s="883" t="s">
        <v>2538</v>
      </c>
      <c r="J853" s="884">
        <v>0.4</v>
      </c>
      <c r="K853" s="885">
        <v>0.333</v>
      </c>
      <c r="L853" s="886">
        <v>0.332362</v>
      </c>
      <c r="M853" s="882"/>
    </row>
    <row r="854" spans="1:13" ht="12.75">
      <c r="A854" s="882"/>
      <c r="B854" s="882"/>
      <c r="C854" s="882"/>
      <c r="D854" s="882"/>
      <c r="E854" s="883" t="s">
        <v>1874</v>
      </c>
      <c r="F854" s="883" t="s">
        <v>1875</v>
      </c>
      <c r="G854" s="883" t="s">
        <v>1876</v>
      </c>
      <c r="H854" s="883" t="s">
        <v>2063</v>
      </c>
      <c r="I854" s="883" t="s">
        <v>2538</v>
      </c>
      <c r="J854" s="884">
        <v>0.326</v>
      </c>
      <c r="K854" s="885">
        <v>0.152</v>
      </c>
      <c r="L854" s="886">
        <v>0.148988</v>
      </c>
      <c r="M854" s="882"/>
    </row>
    <row r="855" spans="1:13" ht="12.75">
      <c r="A855" s="882"/>
      <c r="B855" s="882"/>
      <c r="C855" s="882"/>
      <c r="D855" s="882"/>
      <c r="E855" s="883" t="s">
        <v>1877</v>
      </c>
      <c r="F855" s="883" t="s">
        <v>1878</v>
      </c>
      <c r="G855" s="883" t="s">
        <v>2094</v>
      </c>
      <c r="H855" s="883" t="s">
        <v>2063</v>
      </c>
      <c r="I855" s="883" t="s">
        <v>1079</v>
      </c>
      <c r="J855" s="885">
        <v>0</v>
      </c>
      <c r="K855" s="885">
        <v>0</v>
      </c>
      <c r="L855" s="886">
        <v>0.1467585</v>
      </c>
      <c r="M855" s="882"/>
    </row>
    <row r="856" spans="1:13" ht="12.75">
      <c r="A856" s="882"/>
      <c r="B856" s="882"/>
      <c r="C856" s="882"/>
      <c r="D856" s="882"/>
      <c r="E856" s="883" t="s">
        <v>1877</v>
      </c>
      <c r="F856" s="883" t="s">
        <v>1878</v>
      </c>
      <c r="G856" s="883" t="s">
        <v>2094</v>
      </c>
      <c r="H856" s="883" t="s">
        <v>2063</v>
      </c>
      <c r="I856" s="883" t="s">
        <v>2627</v>
      </c>
      <c r="J856" s="885">
        <v>0</v>
      </c>
      <c r="K856" s="885">
        <v>0</v>
      </c>
      <c r="L856" s="886">
        <v>0.0489195</v>
      </c>
      <c r="M856" s="882"/>
    </row>
    <row r="857" spans="1:13" ht="12.75">
      <c r="A857" s="882"/>
      <c r="B857" s="882"/>
      <c r="C857" s="882"/>
      <c r="D857" s="882"/>
      <c r="E857" s="883" t="s">
        <v>1879</v>
      </c>
      <c r="F857" s="883" t="s">
        <v>1880</v>
      </c>
      <c r="G857" s="883" t="s">
        <v>2094</v>
      </c>
      <c r="H857" s="883" t="s">
        <v>2063</v>
      </c>
      <c r="I857" s="883" t="s">
        <v>2627</v>
      </c>
      <c r="J857" s="885">
        <v>0</v>
      </c>
      <c r="K857" s="885">
        <v>0</v>
      </c>
      <c r="L857" s="886">
        <v>0.10752825</v>
      </c>
      <c r="M857" s="882"/>
    </row>
    <row r="858" spans="1:13" ht="12.75">
      <c r="A858" s="882"/>
      <c r="B858" s="882"/>
      <c r="C858" s="882"/>
      <c r="D858" s="882"/>
      <c r="E858" s="883" t="s">
        <v>1879</v>
      </c>
      <c r="F858" s="883" t="s">
        <v>1880</v>
      </c>
      <c r="G858" s="883" t="s">
        <v>2094</v>
      </c>
      <c r="H858" s="883" t="s">
        <v>2063</v>
      </c>
      <c r="I858" s="883" t="s">
        <v>1079</v>
      </c>
      <c r="J858" s="885">
        <v>0</v>
      </c>
      <c r="K858" s="885">
        <v>0</v>
      </c>
      <c r="L858" s="886">
        <v>0.32258475</v>
      </c>
      <c r="M858" s="882"/>
    </row>
    <row r="859" spans="1:13" ht="12.75">
      <c r="A859" s="882"/>
      <c r="B859" s="882"/>
      <c r="C859" s="882"/>
      <c r="D859" s="882"/>
      <c r="E859" s="883" t="s">
        <v>1881</v>
      </c>
      <c r="F859" s="883" t="s">
        <v>1882</v>
      </c>
      <c r="G859" s="883" t="s">
        <v>2094</v>
      </c>
      <c r="H859" s="883" t="s">
        <v>2063</v>
      </c>
      <c r="I859" s="883" t="s">
        <v>1079</v>
      </c>
      <c r="J859" s="885">
        <v>0</v>
      </c>
      <c r="K859" s="885">
        <v>0</v>
      </c>
      <c r="L859" s="886">
        <v>0.53699925</v>
      </c>
      <c r="M859" s="882"/>
    </row>
    <row r="860" spans="1:13" ht="12.75">
      <c r="A860" s="882"/>
      <c r="B860" s="882"/>
      <c r="C860" s="882"/>
      <c r="D860" s="882"/>
      <c r="E860" s="883" t="s">
        <v>1881</v>
      </c>
      <c r="F860" s="883" t="s">
        <v>1882</v>
      </c>
      <c r="G860" s="883" t="s">
        <v>2094</v>
      </c>
      <c r="H860" s="883" t="s">
        <v>2063</v>
      </c>
      <c r="I860" s="883" t="s">
        <v>2627</v>
      </c>
      <c r="J860" s="885">
        <v>0</v>
      </c>
      <c r="K860" s="885">
        <v>0</v>
      </c>
      <c r="L860" s="886">
        <v>0.17899975</v>
      </c>
      <c r="M860" s="882"/>
    </row>
    <row r="861" spans="1:13" ht="12.75">
      <c r="A861" s="882"/>
      <c r="B861" s="882"/>
      <c r="C861" s="882"/>
      <c r="D861" s="882"/>
      <c r="E861" s="883" t="s">
        <v>1883</v>
      </c>
      <c r="F861" s="883" t="s">
        <v>1884</v>
      </c>
      <c r="G861" s="883" t="s">
        <v>2094</v>
      </c>
      <c r="H861" s="883" t="s">
        <v>2063</v>
      </c>
      <c r="I861" s="883" t="s">
        <v>2564</v>
      </c>
      <c r="J861" s="885">
        <v>0</v>
      </c>
      <c r="K861" s="885">
        <v>0.584</v>
      </c>
      <c r="L861" s="886">
        <v>0.53699925</v>
      </c>
      <c r="M861" s="882"/>
    </row>
    <row r="862" spans="1:13" ht="12.75">
      <c r="A862" s="882"/>
      <c r="B862" s="882"/>
      <c r="C862" s="882"/>
      <c r="D862" s="882"/>
      <c r="E862" s="883" t="s">
        <v>1883</v>
      </c>
      <c r="F862" s="883" t="s">
        <v>1884</v>
      </c>
      <c r="G862" s="883" t="s">
        <v>2094</v>
      </c>
      <c r="H862" s="883" t="s">
        <v>2063</v>
      </c>
      <c r="I862" s="883" t="s">
        <v>2538</v>
      </c>
      <c r="J862" s="885">
        <v>0</v>
      </c>
      <c r="K862" s="885">
        <v>0.195</v>
      </c>
      <c r="L862" s="886">
        <v>0.17899975</v>
      </c>
      <c r="M862" s="882"/>
    </row>
    <row r="863" spans="1:13" ht="12.75">
      <c r="A863" s="882"/>
      <c r="B863" s="882"/>
      <c r="C863" s="882"/>
      <c r="D863" s="882"/>
      <c r="E863" s="883" t="s">
        <v>1885</v>
      </c>
      <c r="F863" s="883" t="s">
        <v>1886</v>
      </c>
      <c r="G863" s="883" t="s">
        <v>2094</v>
      </c>
      <c r="H863" s="883" t="s">
        <v>2063</v>
      </c>
      <c r="I863" s="883" t="s">
        <v>2564</v>
      </c>
      <c r="J863" s="885">
        <v>0</v>
      </c>
      <c r="K863" s="885">
        <v>0.12</v>
      </c>
      <c r="L863" s="886">
        <v>0.119577</v>
      </c>
      <c r="M863" s="882"/>
    </row>
    <row r="864" spans="1:13" ht="12.75">
      <c r="A864" s="882"/>
      <c r="B864" s="882"/>
      <c r="C864" s="882"/>
      <c r="D864" s="882"/>
      <c r="E864" s="883" t="s">
        <v>1885</v>
      </c>
      <c r="F864" s="883" t="s">
        <v>1886</v>
      </c>
      <c r="G864" s="883" t="s">
        <v>2094</v>
      </c>
      <c r="H864" s="883" t="s">
        <v>2063</v>
      </c>
      <c r="I864" s="883" t="s">
        <v>2538</v>
      </c>
      <c r="J864" s="885">
        <v>0</v>
      </c>
      <c r="K864" s="885">
        <v>0.04</v>
      </c>
      <c r="L864" s="886">
        <v>0.039859</v>
      </c>
      <c r="M864" s="882"/>
    </row>
    <row r="865" spans="1:13" ht="12.75">
      <c r="A865" s="882"/>
      <c r="B865" s="882"/>
      <c r="C865" s="882"/>
      <c r="D865" s="882"/>
      <c r="E865" s="883" t="s">
        <v>1887</v>
      </c>
      <c r="F865" s="883" t="s">
        <v>2619</v>
      </c>
      <c r="G865" s="883" t="s">
        <v>2095</v>
      </c>
      <c r="H865" s="883" t="s">
        <v>2063</v>
      </c>
      <c r="I865" s="883" t="s">
        <v>2538</v>
      </c>
      <c r="J865" s="885">
        <v>0</v>
      </c>
      <c r="K865" s="885">
        <v>0.1</v>
      </c>
      <c r="L865" s="886">
        <v>0.099841</v>
      </c>
      <c r="M865" s="882"/>
    </row>
    <row r="866" spans="1:13" ht="12.75">
      <c r="A866" s="882"/>
      <c r="B866" s="882"/>
      <c r="C866" s="882"/>
      <c r="D866" s="882"/>
      <c r="E866" s="883" t="s">
        <v>1888</v>
      </c>
      <c r="F866" s="883" t="s">
        <v>1889</v>
      </c>
      <c r="G866" s="883" t="s">
        <v>1860</v>
      </c>
      <c r="H866" s="883" t="s">
        <v>2063</v>
      </c>
      <c r="I866" s="883" t="s">
        <v>2538</v>
      </c>
      <c r="J866" s="885">
        <v>0</v>
      </c>
      <c r="K866" s="885">
        <v>0.77</v>
      </c>
      <c r="L866" s="886">
        <v>0.769339</v>
      </c>
      <c r="M866" s="882"/>
    </row>
    <row r="867" spans="1:13" ht="12.75">
      <c r="A867" s="882"/>
      <c r="B867" s="882"/>
      <c r="C867" s="882"/>
      <c r="D867" s="882"/>
      <c r="E867" s="883" t="s">
        <v>1890</v>
      </c>
      <c r="F867" s="883" t="s">
        <v>1891</v>
      </c>
      <c r="G867" s="883" t="s">
        <v>1860</v>
      </c>
      <c r="H867" s="883" t="s">
        <v>2063</v>
      </c>
      <c r="I867" s="883" t="s">
        <v>2538</v>
      </c>
      <c r="J867" s="885">
        <v>0</v>
      </c>
      <c r="K867" s="885">
        <v>0.18</v>
      </c>
      <c r="L867" s="886">
        <v>0.179999</v>
      </c>
      <c r="M867" s="882"/>
    </row>
    <row r="868" spans="1:13" ht="12.75">
      <c r="A868" s="882"/>
      <c r="B868" s="882"/>
      <c r="C868" s="882"/>
      <c r="D868" s="882"/>
      <c r="E868" s="883" t="s">
        <v>1892</v>
      </c>
      <c r="F868" s="883" t="s">
        <v>1893</v>
      </c>
      <c r="G868" s="883" t="s">
        <v>1863</v>
      </c>
      <c r="H868" s="883" t="s">
        <v>2063</v>
      </c>
      <c r="I868" s="883" t="s">
        <v>2538</v>
      </c>
      <c r="J868" s="884">
        <v>9</v>
      </c>
      <c r="K868" s="885">
        <v>0.883</v>
      </c>
      <c r="L868" s="886">
        <v>0.882541</v>
      </c>
      <c r="M868" s="882"/>
    </row>
    <row r="869" spans="1:13" ht="12.75">
      <c r="A869" s="882"/>
      <c r="B869" s="882"/>
      <c r="C869" s="882"/>
      <c r="D869" s="882"/>
      <c r="E869" s="883" t="s">
        <v>1894</v>
      </c>
      <c r="F869" s="883" t="s">
        <v>1895</v>
      </c>
      <c r="G869" s="883" t="s">
        <v>2094</v>
      </c>
      <c r="H869" s="883" t="s">
        <v>2063</v>
      </c>
      <c r="I869" s="883" t="s">
        <v>2538</v>
      </c>
      <c r="J869" s="884">
        <v>13.9</v>
      </c>
      <c r="K869" s="885">
        <v>12.236</v>
      </c>
      <c r="L869" s="886">
        <v>12.23447693</v>
      </c>
      <c r="M869" s="882"/>
    </row>
    <row r="870" spans="1:13" ht="12.75">
      <c r="A870" s="882"/>
      <c r="B870" s="882"/>
      <c r="C870" s="882"/>
      <c r="D870" s="882"/>
      <c r="E870" s="883" t="s">
        <v>1894</v>
      </c>
      <c r="F870" s="883" t="s">
        <v>1895</v>
      </c>
      <c r="G870" s="883" t="s">
        <v>2094</v>
      </c>
      <c r="H870" s="883" t="s">
        <v>2063</v>
      </c>
      <c r="I870" s="883" t="s">
        <v>2564</v>
      </c>
      <c r="J870" s="884">
        <v>46.175</v>
      </c>
      <c r="K870" s="885">
        <v>46.175</v>
      </c>
      <c r="L870" s="886">
        <v>0</v>
      </c>
      <c r="M870" s="882"/>
    </row>
    <row r="871" spans="1:13" ht="12.75">
      <c r="A871" s="882"/>
      <c r="B871" s="882"/>
      <c r="C871" s="882"/>
      <c r="D871" s="882"/>
      <c r="E871" s="883" t="s">
        <v>1894</v>
      </c>
      <c r="F871" s="883" t="s">
        <v>1895</v>
      </c>
      <c r="G871" s="883" t="s">
        <v>2094</v>
      </c>
      <c r="H871" s="883" t="s">
        <v>2063</v>
      </c>
      <c r="I871" s="883" t="s">
        <v>1896</v>
      </c>
      <c r="J871" s="885">
        <v>0</v>
      </c>
      <c r="K871" s="885">
        <v>0</v>
      </c>
      <c r="L871" s="886">
        <v>1.54257443</v>
      </c>
      <c r="M871" s="882"/>
    </row>
    <row r="872" spans="1:13" ht="12.75">
      <c r="A872" s="882"/>
      <c r="B872" s="882"/>
      <c r="C872" s="882"/>
      <c r="D872" s="882"/>
      <c r="E872" s="883" t="s">
        <v>1897</v>
      </c>
      <c r="F872" s="883" t="s">
        <v>1898</v>
      </c>
      <c r="G872" s="883" t="s">
        <v>2093</v>
      </c>
      <c r="H872" s="883" t="s">
        <v>2543</v>
      </c>
      <c r="I872" s="883" t="s">
        <v>2538</v>
      </c>
      <c r="J872" s="884">
        <v>2</v>
      </c>
      <c r="K872" s="885">
        <v>0</v>
      </c>
      <c r="L872" s="886">
        <v>0</v>
      </c>
      <c r="M872" s="882"/>
    </row>
    <row r="873" spans="1:13" ht="12.75">
      <c r="A873" s="882"/>
      <c r="B873" s="882"/>
      <c r="C873" s="882"/>
      <c r="D873" s="882"/>
      <c r="E873" s="883" t="s">
        <v>1899</v>
      </c>
      <c r="F873" s="883" t="s">
        <v>1900</v>
      </c>
      <c r="G873" s="883" t="s">
        <v>2095</v>
      </c>
      <c r="H873" s="883" t="s">
        <v>2063</v>
      </c>
      <c r="I873" s="883" t="s">
        <v>2538</v>
      </c>
      <c r="J873" s="884">
        <v>1.1</v>
      </c>
      <c r="K873" s="885">
        <v>0.8</v>
      </c>
      <c r="L873" s="886">
        <v>0.799919</v>
      </c>
      <c r="M873" s="882"/>
    </row>
    <row r="874" spans="1:13" ht="12.75">
      <c r="A874" s="882"/>
      <c r="B874" s="882"/>
      <c r="C874" s="882"/>
      <c r="D874" s="882"/>
      <c r="E874" s="883" t="s">
        <v>1901</v>
      </c>
      <c r="F874" s="883" t="s">
        <v>1902</v>
      </c>
      <c r="G874" s="883" t="s">
        <v>2092</v>
      </c>
      <c r="H874" s="883" t="s">
        <v>2063</v>
      </c>
      <c r="I874" s="883" t="s">
        <v>2538</v>
      </c>
      <c r="J874" s="884">
        <v>1.9</v>
      </c>
      <c r="K874" s="885">
        <v>1.757</v>
      </c>
      <c r="L874" s="886">
        <v>1.756502</v>
      </c>
      <c r="M874" s="882"/>
    </row>
    <row r="875" spans="1:13" ht="12.75">
      <c r="A875" s="882"/>
      <c r="B875" s="882"/>
      <c r="C875" s="882"/>
      <c r="D875" s="882"/>
      <c r="E875" s="883" t="s">
        <v>1903</v>
      </c>
      <c r="F875" s="883" t="s">
        <v>1271</v>
      </c>
      <c r="G875" s="883" t="s">
        <v>1876</v>
      </c>
      <c r="H875" s="883" t="s">
        <v>2063</v>
      </c>
      <c r="I875" s="883" t="s">
        <v>2538</v>
      </c>
      <c r="J875" s="884">
        <v>1.07</v>
      </c>
      <c r="K875" s="885">
        <v>1</v>
      </c>
      <c r="L875" s="886">
        <v>0.99658801</v>
      </c>
      <c r="M875" s="882"/>
    </row>
    <row r="876" spans="1:13" ht="12.75">
      <c r="A876" s="882"/>
      <c r="B876" s="882"/>
      <c r="C876" s="882"/>
      <c r="D876" s="882"/>
      <c r="E876" s="883" t="s">
        <v>1904</v>
      </c>
      <c r="F876" s="883" t="s">
        <v>1271</v>
      </c>
      <c r="G876" s="883" t="s">
        <v>2167</v>
      </c>
      <c r="H876" s="883" t="s">
        <v>2063</v>
      </c>
      <c r="I876" s="883" t="s">
        <v>2538</v>
      </c>
      <c r="J876" s="884">
        <v>0.4</v>
      </c>
      <c r="K876" s="885">
        <v>0.384</v>
      </c>
      <c r="L876" s="886">
        <v>0.3836</v>
      </c>
      <c r="M876" s="882"/>
    </row>
    <row r="877" spans="1:13" ht="12.75">
      <c r="A877" s="882"/>
      <c r="B877" s="882"/>
      <c r="C877" s="882"/>
      <c r="D877" s="882"/>
      <c r="E877" s="883" t="s">
        <v>1905</v>
      </c>
      <c r="F877" s="883" t="s">
        <v>1906</v>
      </c>
      <c r="G877" s="883" t="s">
        <v>2167</v>
      </c>
      <c r="H877" s="883" t="s">
        <v>2063</v>
      </c>
      <c r="I877" s="883" t="s">
        <v>2538</v>
      </c>
      <c r="J877" s="884">
        <v>0.2</v>
      </c>
      <c r="K877" s="885">
        <v>0.11</v>
      </c>
      <c r="L877" s="886">
        <v>0.10999</v>
      </c>
      <c r="M877" s="882"/>
    </row>
    <row r="878" spans="1:13" ht="12.75">
      <c r="A878" s="882"/>
      <c r="B878" s="882"/>
      <c r="C878" s="882"/>
      <c r="D878" s="882"/>
      <c r="E878" s="883" t="s">
        <v>1907</v>
      </c>
      <c r="F878" s="883" t="s">
        <v>1908</v>
      </c>
      <c r="G878" s="883" t="s">
        <v>1860</v>
      </c>
      <c r="H878" s="883" t="s">
        <v>2063</v>
      </c>
      <c r="I878" s="883" t="s">
        <v>2538</v>
      </c>
      <c r="J878" s="884">
        <v>0.8</v>
      </c>
      <c r="K878" s="885">
        <v>0.792</v>
      </c>
      <c r="L878" s="886">
        <v>0.7911596</v>
      </c>
      <c r="M878" s="882"/>
    </row>
    <row r="879" spans="1:13" ht="12.75">
      <c r="A879" s="882"/>
      <c r="B879" s="882"/>
      <c r="C879" s="882"/>
      <c r="D879" s="882"/>
      <c r="E879" s="883" t="s">
        <v>1909</v>
      </c>
      <c r="F879" s="883" t="s">
        <v>1910</v>
      </c>
      <c r="G879" s="883" t="s">
        <v>1860</v>
      </c>
      <c r="H879" s="883" t="s">
        <v>2063</v>
      </c>
      <c r="I879" s="883" t="s">
        <v>2538</v>
      </c>
      <c r="J879" s="884">
        <v>0.09</v>
      </c>
      <c r="K879" s="885">
        <v>0.082</v>
      </c>
      <c r="L879" s="886">
        <v>0.0819375</v>
      </c>
      <c r="M879" s="882"/>
    </row>
    <row r="880" spans="1:13" ht="12.75">
      <c r="A880" s="882"/>
      <c r="B880" s="882"/>
      <c r="C880" s="882"/>
      <c r="D880" s="882"/>
      <c r="E880" s="883" t="s">
        <v>1911</v>
      </c>
      <c r="F880" s="883" t="s">
        <v>1912</v>
      </c>
      <c r="G880" s="883" t="s">
        <v>2095</v>
      </c>
      <c r="H880" s="883" t="s">
        <v>2063</v>
      </c>
      <c r="I880" s="883" t="s">
        <v>2538</v>
      </c>
      <c r="J880" s="884">
        <v>0.25</v>
      </c>
      <c r="K880" s="885">
        <v>0.25</v>
      </c>
      <c r="L880" s="886">
        <v>0.2493</v>
      </c>
      <c r="M880" s="882"/>
    </row>
    <row r="881" spans="1:13" ht="12.75">
      <c r="A881" s="882"/>
      <c r="B881" s="882"/>
      <c r="C881" s="882"/>
      <c r="D881" s="882"/>
      <c r="E881" s="883" t="s">
        <v>1913</v>
      </c>
      <c r="F881" s="883" t="s">
        <v>1914</v>
      </c>
      <c r="G881" s="883" t="s">
        <v>2095</v>
      </c>
      <c r="H881" s="883" t="s">
        <v>2543</v>
      </c>
      <c r="I881" s="883" t="s">
        <v>2538</v>
      </c>
      <c r="J881" s="884">
        <v>0.65</v>
      </c>
      <c r="K881" s="885">
        <v>0</v>
      </c>
      <c r="L881" s="886">
        <v>0</v>
      </c>
      <c r="M881" s="882"/>
    </row>
    <row r="882" spans="1:13" ht="12.75">
      <c r="A882" s="882"/>
      <c r="B882" s="882"/>
      <c r="C882" s="882"/>
      <c r="D882" s="882"/>
      <c r="E882" s="883" t="s">
        <v>1915</v>
      </c>
      <c r="F882" s="883" t="s">
        <v>1916</v>
      </c>
      <c r="G882" s="883" t="s">
        <v>2095</v>
      </c>
      <c r="H882" s="883" t="s">
        <v>2063</v>
      </c>
      <c r="I882" s="883" t="s">
        <v>2538</v>
      </c>
      <c r="J882" s="884">
        <v>0.06</v>
      </c>
      <c r="K882" s="885">
        <v>0.06</v>
      </c>
      <c r="L882" s="886">
        <v>0.0595</v>
      </c>
      <c r="M882" s="882"/>
    </row>
    <row r="883" spans="1:13" ht="12.75">
      <c r="A883" s="882"/>
      <c r="B883" s="882"/>
      <c r="C883" s="882"/>
      <c r="D883" s="882"/>
      <c r="E883" s="883" t="s">
        <v>1917</v>
      </c>
      <c r="F883" s="883" t="s">
        <v>1908</v>
      </c>
      <c r="G883" s="883" t="s">
        <v>2092</v>
      </c>
      <c r="H883" s="883" t="s">
        <v>2063</v>
      </c>
      <c r="I883" s="883" t="s">
        <v>2538</v>
      </c>
      <c r="J883" s="884">
        <v>0.671</v>
      </c>
      <c r="K883" s="885">
        <v>0.5</v>
      </c>
      <c r="L883" s="886">
        <v>0.499443</v>
      </c>
      <c r="M883" s="882"/>
    </row>
    <row r="884" spans="1:13" ht="12.75">
      <c r="A884" s="882"/>
      <c r="B884" s="882"/>
      <c r="C884" s="882"/>
      <c r="D884" s="882"/>
      <c r="E884" s="883" t="s">
        <v>1918</v>
      </c>
      <c r="F884" s="883" t="s">
        <v>1919</v>
      </c>
      <c r="G884" s="883" t="s">
        <v>2093</v>
      </c>
      <c r="H884" s="883" t="s">
        <v>2063</v>
      </c>
      <c r="I884" s="883" t="s">
        <v>2538</v>
      </c>
      <c r="J884" s="884">
        <v>1.5</v>
      </c>
      <c r="K884" s="885">
        <v>1.907</v>
      </c>
      <c r="L884" s="886">
        <v>1.9053244</v>
      </c>
      <c r="M884" s="882"/>
    </row>
    <row r="885" spans="1:13" ht="12.75">
      <c r="A885" s="882"/>
      <c r="B885" s="882"/>
      <c r="C885" s="882"/>
      <c r="D885" s="882"/>
      <c r="E885" s="883" t="s">
        <v>1920</v>
      </c>
      <c r="F885" s="883" t="s">
        <v>1921</v>
      </c>
      <c r="G885" s="883" t="s">
        <v>2095</v>
      </c>
      <c r="H885" s="883" t="s">
        <v>2543</v>
      </c>
      <c r="I885" s="883" t="s">
        <v>2538</v>
      </c>
      <c r="J885" s="884">
        <v>5.85</v>
      </c>
      <c r="K885" s="885">
        <v>0</v>
      </c>
      <c r="L885" s="886">
        <v>0</v>
      </c>
      <c r="M885" s="882"/>
    </row>
    <row r="886" spans="1:13" ht="12.75">
      <c r="A886" s="882"/>
      <c r="B886" s="882"/>
      <c r="C886" s="882"/>
      <c r="D886" s="882"/>
      <c r="E886" s="883" t="s">
        <v>1922</v>
      </c>
      <c r="F886" s="883" t="s">
        <v>1923</v>
      </c>
      <c r="G886" s="883" t="s">
        <v>2167</v>
      </c>
      <c r="H886" s="883" t="s">
        <v>2063</v>
      </c>
      <c r="I886" s="883" t="s">
        <v>2538</v>
      </c>
      <c r="J886" s="884">
        <v>1.2</v>
      </c>
      <c r="K886" s="885">
        <v>1.2</v>
      </c>
      <c r="L886" s="886">
        <v>1.1999365</v>
      </c>
      <c r="M886" s="882"/>
    </row>
    <row r="887" spans="1:13" ht="12.75">
      <c r="A887" s="882"/>
      <c r="B887" s="882"/>
      <c r="C887" s="882"/>
      <c r="D887" s="882"/>
      <c r="E887" s="883" t="s">
        <v>1924</v>
      </c>
      <c r="F887" s="883" t="s">
        <v>1925</v>
      </c>
      <c r="G887" s="883" t="s">
        <v>1860</v>
      </c>
      <c r="H887" s="883" t="s">
        <v>2543</v>
      </c>
      <c r="I887" s="883" t="s">
        <v>2538</v>
      </c>
      <c r="J887" s="884">
        <v>3.2</v>
      </c>
      <c r="K887" s="885">
        <v>3.2</v>
      </c>
      <c r="L887" s="886">
        <v>0</v>
      </c>
      <c r="M887" s="882"/>
    </row>
    <row r="888" spans="1:13" ht="12.75">
      <c r="A888" s="882"/>
      <c r="B888" s="882"/>
      <c r="C888" s="882"/>
      <c r="D888" s="882"/>
      <c r="E888" s="883" t="s">
        <v>1924</v>
      </c>
      <c r="F888" s="883" t="s">
        <v>1925</v>
      </c>
      <c r="G888" s="883" t="s">
        <v>1860</v>
      </c>
      <c r="H888" s="883" t="s">
        <v>2543</v>
      </c>
      <c r="I888" s="883" t="s">
        <v>2564</v>
      </c>
      <c r="J888" s="884">
        <v>11.345</v>
      </c>
      <c r="K888" s="885">
        <v>11.345</v>
      </c>
      <c r="L888" s="886">
        <v>0</v>
      </c>
      <c r="M888" s="882"/>
    </row>
    <row r="889" spans="1:13" ht="12.75">
      <c r="A889" s="882"/>
      <c r="B889" s="882"/>
      <c r="C889" s="882"/>
      <c r="D889" s="882"/>
      <c r="E889" s="883" t="s">
        <v>1926</v>
      </c>
      <c r="F889" s="883" t="s">
        <v>1927</v>
      </c>
      <c r="G889" s="883" t="s">
        <v>2095</v>
      </c>
      <c r="H889" s="883" t="s">
        <v>2063</v>
      </c>
      <c r="I889" s="883" t="s">
        <v>2538</v>
      </c>
      <c r="J889" s="885">
        <v>0</v>
      </c>
      <c r="K889" s="885">
        <v>0.335</v>
      </c>
      <c r="L889" s="886">
        <v>0.334152</v>
      </c>
      <c r="M889" s="882"/>
    </row>
    <row r="890" spans="1:13" ht="12.75">
      <c r="A890" s="882"/>
      <c r="B890" s="882"/>
      <c r="C890" s="882"/>
      <c r="D890" s="882"/>
      <c r="E890" s="883" t="s">
        <v>1928</v>
      </c>
      <c r="F890" s="883" t="s">
        <v>1929</v>
      </c>
      <c r="G890" s="883" t="s">
        <v>2092</v>
      </c>
      <c r="H890" s="883" t="s">
        <v>2063</v>
      </c>
      <c r="I890" s="883" t="s">
        <v>2538</v>
      </c>
      <c r="J890" s="885">
        <v>0</v>
      </c>
      <c r="K890" s="885">
        <v>0.129</v>
      </c>
      <c r="L890" s="886">
        <v>0.128813</v>
      </c>
      <c r="M890" s="882"/>
    </row>
    <row r="891" spans="1:13" ht="12.75">
      <c r="A891" s="882"/>
      <c r="B891" s="882"/>
      <c r="C891" s="882"/>
      <c r="D891" s="882"/>
      <c r="E891" s="883" t="s">
        <v>1930</v>
      </c>
      <c r="F891" s="883" t="s">
        <v>1931</v>
      </c>
      <c r="G891" s="883" t="s">
        <v>2167</v>
      </c>
      <c r="H891" s="883" t="s">
        <v>2063</v>
      </c>
      <c r="I891" s="883" t="s">
        <v>2538</v>
      </c>
      <c r="J891" s="885">
        <v>0</v>
      </c>
      <c r="K891" s="885">
        <v>2.4</v>
      </c>
      <c r="L891" s="886">
        <v>2.39785</v>
      </c>
      <c r="M891" s="882"/>
    </row>
    <row r="892" spans="1:13" ht="12.75">
      <c r="A892" s="882"/>
      <c r="B892" s="882"/>
      <c r="C892" s="882"/>
      <c r="D892" s="882"/>
      <c r="E892" s="883" t="s">
        <v>1930</v>
      </c>
      <c r="F892" s="883" t="s">
        <v>1931</v>
      </c>
      <c r="G892" s="883" t="s">
        <v>2167</v>
      </c>
      <c r="H892" s="883" t="s">
        <v>2063</v>
      </c>
      <c r="I892" s="883" t="s">
        <v>2627</v>
      </c>
      <c r="J892" s="885">
        <v>0</v>
      </c>
      <c r="K892" s="885">
        <v>0</v>
      </c>
      <c r="L892" s="886">
        <v>0.049694</v>
      </c>
      <c r="M892" s="882"/>
    </row>
    <row r="893" spans="1:13" ht="12.75">
      <c r="A893" s="882"/>
      <c r="B893" s="882"/>
      <c r="C893" s="882"/>
      <c r="D893" s="882"/>
      <c r="E893" s="883" t="s">
        <v>1932</v>
      </c>
      <c r="F893" s="883" t="s">
        <v>1933</v>
      </c>
      <c r="G893" s="883" t="s">
        <v>2094</v>
      </c>
      <c r="H893" s="883" t="s">
        <v>2063</v>
      </c>
      <c r="I893" s="883" t="s">
        <v>2627</v>
      </c>
      <c r="J893" s="885">
        <v>0</v>
      </c>
      <c r="K893" s="885">
        <v>0</v>
      </c>
      <c r="L893" s="886">
        <v>0.1191752</v>
      </c>
      <c r="M893" s="882"/>
    </row>
    <row r="894" spans="1:13" ht="12.75">
      <c r="A894" s="882"/>
      <c r="B894" s="882"/>
      <c r="C894" s="882"/>
      <c r="D894" s="882"/>
      <c r="E894" s="883" t="s">
        <v>1932</v>
      </c>
      <c r="F894" s="883" t="s">
        <v>1933</v>
      </c>
      <c r="G894" s="883" t="s">
        <v>2094</v>
      </c>
      <c r="H894" s="883" t="s">
        <v>2063</v>
      </c>
      <c r="I894" s="883" t="s">
        <v>1079</v>
      </c>
      <c r="J894" s="885">
        <v>0</v>
      </c>
      <c r="K894" s="885">
        <v>0</v>
      </c>
      <c r="L894" s="886">
        <v>0.3575258</v>
      </c>
      <c r="M894" s="882"/>
    </row>
    <row r="895" spans="1:13" ht="12.75">
      <c r="A895" s="882"/>
      <c r="B895" s="882"/>
      <c r="C895" s="882"/>
      <c r="D895" s="882"/>
      <c r="E895" s="883" t="s">
        <v>1934</v>
      </c>
      <c r="F895" s="883" t="s">
        <v>1935</v>
      </c>
      <c r="G895" s="883" t="s">
        <v>2094</v>
      </c>
      <c r="H895" s="883" t="s">
        <v>2063</v>
      </c>
      <c r="I895" s="883" t="s">
        <v>1079</v>
      </c>
      <c r="J895" s="885">
        <v>0</v>
      </c>
      <c r="K895" s="885">
        <v>0</v>
      </c>
      <c r="L895" s="886">
        <v>0.07441665</v>
      </c>
      <c r="M895" s="882"/>
    </row>
    <row r="896" spans="1:13" ht="12.75">
      <c r="A896" s="882"/>
      <c r="B896" s="882"/>
      <c r="C896" s="882"/>
      <c r="D896" s="882"/>
      <c r="E896" s="883" t="s">
        <v>1934</v>
      </c>
      <c r="F896" s="883" t="s">
        <v>1935</v>
      </c>
      <c r="G896" s="883" t="s">
        <v>2094</v>
      </c>
      <c r="H896" s="883" t="s">
        <v>2063</v>
      </c>
      <c r="I896" s="883" t="s">
        <v>2627</v>
      </c>
      <c r="J896" s="885">
        <v>0</v>
      </c>
      <c r="K896" s="885">
        <v>0</v>
      </c>
      <c r="L896" s="886">
        <v>0.02480555</v>
      </c>
      <c r="M896" s="882"/>
    </row>
    <row r="897" spans="1:13" ht="12.75">
      <c r="A897" s="882"/>
      <c r="B897" s="882"/>
      <c r="C897" s="882"/>
      <c r="D897" s="882"/>
      <c r="E897" s="883" t="s">
        <v>1936</v>
      </c>
      <c r="F897" s="883" t="s">
        <v>1937</v>
      </c>
      <c r="G897" s="883" t="s">
        <v>2094</v>
      </c>
      <c r="H897" s="883" t="s">
        <v>2063</v>
      </c>
      <c r="I897" s="883" t="s">
        <v>2538</v>
      </c>
      <c r="J897" s="885">
        <v>0</v>
      </c>
      <c r="K897" s="885">
        <v>0.6</v>
      </c>
      <c r="L897" s="886">
        <v>0.51258536</v>
      </c>
      <c r="M897" s="882"/>
    </row>
    <row r="898" spans="1:13" ht="12.75">
      <c r="A898" s="882"/>
      <c r="B898" s="882"/>
      <c r="C898" s="882"/>
      <c r="D898" s="882"/>
      <c r="E898" s="883" t="s">
        <v>1936</v>
      </c>
      <c r="F898" s="883" t="s">
        <v>1937</v>
      </c>
      <c r="G898" s="883" t="s">
        <v>2094</v>
      </c>
      <c r="H898" s="883" t="s">
        <v>2063</v>
      </c>
      <c r="I898" s="883" t="s">
        <v>2564</v>
      </c>
      <c r="J898" s="885">
        <v>0</v>
      </c>
      <c r="K898" s="885">
        <v>1.8</v>
      </c>
      <c r="L898" s="886">
        <v>1.53775608</v>
      </c>
      <c r="M898" s="882"/>
    </row>
    <row r="899" spans="1:13" ht="12.75">
      <c r="A899" s="882"/>
      <c r="B899" s="882"/>
      <c r="C899" s="882"/>
      <c r="D899" s="882"/>
      <c r="E899" s="883" t="s">
        <v>1938</v>
      </c>
      <c r="F899" s="883" t="s">
        <v>1939</v>
      </c>
      <c r="G899" s="883" t="s">
        <v>2094</v>
      </c>
      <c r="H899" s="883" t="s">
        <v>2063</v>
      </c>
      <c r="I899" s="883" t="s">
        <v>2538</v>
      </c>
      <c r="J899" s="885">
        <v>0</v>
      </c>
      <c r="K899" s="885">
        <v>0.475</v>
      </c>
      <c r="L899" s="886">
        <v>0.475</v>
      </c>
      <c r="M899" s="882"/>
    </row>
    <row r="900" spans="1:13" ht="12.75">
      <c r="A900" s="882"/>
      <c r="B900" s="882"/>
      <c r="C900" s="882"/>
      <c r="D900" s="882"/>
      <c r="E900" s="883" t="s">
        <v>1940</v>
      </c>
      <c r="F900" s="883" t="s">
        <v>1941</v>
      </c>
      <c r="G900" s="883" t="s">
        <v>2095</v>
      </c>
      <c r="H900" s="883" t="s">
        <v>2063</v>
      </c>
      <c r="I900" s="883" t="s">
        <v>2538</v>
      </c>
      <c r="J900" s="885">
        <v>0</v>
      </c>
      <c r="K900" s="885">
        <v>0.271</v>
      </c>
      <c r="L900" s="886">
        <v>0.271</v>
      </c>
      <c r="M900" s="882"/>
    </row>
    <row r="901" spans="1:13" ht="12.75">
      <c r="A901" s="882"/>
      <c r="B901" s="882"/>
      <c r="C901" s="882"/>
      <c r="D901" s="882"/>
      <c r="E901" s="883" t="s">
        <v>1942</v>
      </c>
      <c r="F901" s="883" t="s">
        <v>1943</v>
      </c>
      <c r="G901" s="883" t="s">
        <v>1863</v>
      </c>
      <c r="H901" s="883" t="s">
        <v>2063</v>
      </c>
      <c r="I901" s="883" t="s">
        <v>2538</v>
      </c>
      <c r="J901" s="885">
        <v>0</v>
      </c>
      <c r="K901" s="885">
        <v>0.793</v>
      </c>
      <c r="L901" s="886">
        <v>0.792157</v>
      </c>
      <c r="M901" s="882"/>
    </row>
    <row r="902" spans="1:13" ht="12.75">
      <c r="A902" s="882"/>
      <c r="B902" s="882"/>
      <c r="C902" s="882"/>
      <c r="D902" s="882"/>
      <c r="E902" s="883" t="s">
        <v>1944</v>
      </c>
      <c r="F902" s="883" t="s">
        <v>1945</v>
      </c>
      <c r="G902" s="883" t="s">
        <v>1863</v>
      </c>
      <c r="H902" s="883" t="s">
        <v>2063</v>
      </c>
      <c r="I902" s="883" t="s">
        <v>2538</v>
      </c>
      <c r="J902" s="885">
        <v>0</v>
      </c>
      <c r="K902" s="885">
        <v>0.09</v>
      </c>
      <c r="L902" s="886">
        <v>0.089927</v>
      </c>
      <c r="M902" s="882"/>
    </row>
    <row r="903" spans="1:13" ht="12.75">
      <c r="A903" s="882"/>
      <c r="B903" s="882"/>
      <c r="C903" s="882"/>
      <c r="D903" s="882"/>
      <c r="E903" s="883" t="s">
        <v>1946</v>
      </c>
      <c r="F903" s="883" t="s">
        <v>1947</v>
      </c>
      <c r="G903" s="883" t="s">
        <v>1863</v>
      </c>
      <c r="H903" s="883" t="s">
        <v>2063</v>
      </c>
      <c r="I903" s="883" t="s">
        <v>2538</v>
      </c>
      <c r="J903" s="885">
        <v>0</v>
      </c>
      <c r="K903" s="885">
        <v>0.35</v>
      </c>
      <c r="L903" s="886">
        <v>0.349986</v>
      </c>
      <c r="M903" s="882"/>
    </row>
    <row r="904" spans="1:13" ht="12.75">
      <c r="A904" s="882"/>
      <c r="B904" s="882"/>
      <c r="C904" s="882"/>
      <c r="D904" s="882"/>
      <c r="E904" s="883" t="s">
        <v>1948</v>
      </c>
      <c r="F904" s="883" t="s">
        <v>1949</v>
      </c>
      <c r="G904" s="883" t="s">
        <v>1860</v>
      </c>
      <c r="H904" s="883" t="s">
        <v>2063</v>
      </c>
      <c r="I904" s="883" t="s">
        <v>2627</v>
      </c>
      <c r="J904" s="885">
        <v>0</v>
      </c>
      <c r="K904" s="885">
        <v>0</v>
      </c>
      <c r="L904" s="886">
        <v>0.01799912</v>
      </c>
      <c r="M904" s="882"/>
    </row>
    <row r="905" spans="1:13" ht="12.75">
      <c r="A905" s="882"/>
      <c r="B905" s="882"/>
      <c r="C905" s="882"/>
      <c r="D905" s="882"/>
      <c r="E905" s="883" t="s">
        <v>1948</v>
      </c>
      <c r="F905" s="883" t="s">
        <v>1949</v>
      </c>
      <c r="G905" s="883" t="s">
        <v>1860</v>
      </c>
      <c r="H905" s="883" t="s">
        <v>2063</v>
      </c>
      <c r="I905" s="883" t="s">
        <v>2538</v>
      </c>
      <c r="J905" s="885">
        <v>0</v>
      </c>
      <c r="K905" s="885">
        <v>0.033</v>
      </c>
      <c r="L905" s="886">
        <v>0.03298988</v>
      </c>
      <c r="M905" s="882"/>
    </row>
    <row r="906" spans="1:13" ht="12.75">
      <c r="A906" s="882"/>
      <c r="B906" s="882"/>
      <c r="C906" s="882"/>
      <c r="D906" s="882"/>
      <c r="E906" s="883" t="s">
        <v>1950</v>
      </c>
      <c r="F906" s="883" t="s">
        <v>1951</v>
      </c>
      <c r="G906" s="883" t="s">
        <v>1860</v>
      </c>
      <c r="H906" s="883" t="s">
        <v>2063</v>
      </c>
      <c r="I906" s="883" t="s">
        <v>2538</v>
      </c>
      <c r="J906" s="885">
        <v>0</v>
      </c>
      <c r="K906" s="885">
        <v>0.045</v>
      </c>
      <c r="L906" s="886">
        <v>0.045</v>
      </c>
      <c r="M906" s="882"/>
    </row>
    <row r="907" spans="1:13" ht="12.75">
      <c r="A907" s="882"/>
      <c r="B907" s="882"/>
      <c r="C907" s="882"/>
      <c r="D907" s="882"/>
      <c r="E907" s="883" t="s">
        <v>1952</v>
      </c>
      <c r="F907" s="883" t="s">
        <v>1953</v>
      </c>
      <c r="G907" s="883" t="s">
        <v>1860</v>
      </c>
      <c r="H907" s="883" t="s">
        <v>2063</v>
      </c>
      <c r="I907" s="883" t="s">
        <v>2538</v>
      </c>
      <c r="J907" s="885">
        <v>0</v>
      </c>
      <c r="K907" s="885">
        <v>1.25</v>
      </c>
      <c r="L907" s="886">
        <v>1.249636</v>
      </c>
      <c r="M907" s="882"/>
    </row>
    <row r="908" spans="1:13" ht="12.75">
      <c r="A908" s="882"/>
      <c r="B908" s="882"/>
      <c r="C908" s="882"/>
      <c r="D908" s="882"/>
      <c r="E908" s="883" t="s">
        <v>1954</v>
      </c>
      <c r="F908" s="883" t="s">
        <v>1955</v>
      </c>
      <c r="G908" s="883" t="s">
        <v>2046</v>
      </c>
      <c r="H908" s="883" t="s">
        <v>2063</v>
      </c>
      <c r="I908" s="883" t="s">
        <v>2538</v>
      </c>
      <c r="J908" s="884">
        <v>7</v>
      </c>
      <c r="K908" s="885">
        <v>6.162</v>
      </c>
      <c r="L908" s="886">
        <v>6.161271</v>
      </c>
      <c r="M908" s="882"/>
    </row>
    <row r="909" spans="1:13" ht="12.75">
      <c r="A909" s="882"/>
      <c r="B909" s="882"/>
      <c r="C909" s="882"/>
      <c r="D909" s="882"/>
      <c r="E909" s="883" t="s">
        <v>1956</v>
      </c>
      <c r="F909" s="883" t="s">
        <v>1957</v>
      </c>
      <c r="G909" s="883" t="s">
        <v>2046</v>
      </c>
      <c r="H909" s="883" t="s">
        <v>2063</v>
      </c>
      <c r="I909" s="883" t="s">
        <v>2538</v>
      </c>
      <c r="J909" s="884">
        <v>1.264</v>
      </c>
      <c r="K909" s="885">
        <v>0.551</v>
      </c>
      <c r="L909" s="886">
        <v>0.54978</v>
      </c>
      <c r="M909" s="882"/>
    </row>
    <row r="910" spans="1:13" ht="12.75">
      <c r="A910" s="882"/>
      <c r="B910" s="882"/>
      <c r="C910" s="882"/>
      <c r="D910" s="882"/>
      <c r="E910" s="883" t="s">
        <v>1958</v>
      </c>
      <c r="F910" s="883" t="s">
        <v>1959</v>
      </c>
      <c r="G910" s="883" t="s">
        <v>2095</v>
      </c>
      <c r="H910" s="883" t="s">
        <v>2063</v>
      </c>
      <c r="I910" s="883" t="s">
        <v>2538</v>
      </c>
      <c r="J910" s="884">
        <v>1.567</v>
      </c>
      <c r="K910" s="885">
        <v>0</v>
      </c>
      <c r="L910" s="886">
        <v>0</v>
      </c>
      <c r="M910" s="882"/>
    </row>
    <row r="911" spans="1:13" ht="13.5" thickBot="1">
      <c r="A911" s="882"/>
      <c r="B911" s="882"/>
      <c r="C911" s="882"/>
      <c r="D911" s="882"/>
      <c r="E911" s="883" t="s">
        <v>1960</v>
      </c>
      <c r="F911" s="883" t="s">
        <v>1961</v>
      </c>
      <c r="G911" s="883" t="s">
        <v>1860</v>
      </c>
      <c r="H911" s="883" t="s">
        <v>2063</v>
      </c>
      <c r="I911" s="883" t="s">
        <v>2538</v>
      </c>
      <c r="J911" s="884">
        <v>1.4</v>
      </c>
      <c r="K911" s="885">
        <v>1.383</v>
      </c>
      <c r="L911" s="886">
        <v>1.382275</v>
      </c>
      <c r="M911" s="882"/>
    </row>
    <row r="912" spans="1:13" ht="13.5" thickBot="1">
      <c r="A912" s="882"/>
      <c r="B912" s="882"/>
      <c r="C912" s="882"/>
      <c r="D912" s="882"/>
      <c r="E912" s="1043" t="s">
        <v>1962</v>
      </c>
      <c r="F912" s="1044"/>
      <c r="G912" s="1044"/>
      <c r="H912" s="1044"/>
      <c r="I912" s="1044"/>
      <c r="J912" s="890">
        <f>SUM(J846:J911)</f>
        <v>116.66100000000002</v>
      </c>
      <c r="K912" s="890">
        <f>SUM(K846:K911)</f>
        <v>106.711</v>
      </c>
      <c r="L912" s="891">
        <f>SUM(L846:L911)</f>
        <v>49.040720810000025</v>
      </c>
      <c r="M912" s="882"/>
    </row>
    <row r="913" spans="1:13" ht="12.75">
      <c r="A913" s="882"/>
      <c r="B913" s="882"/>
      <c r="C913" s="882"/>
      <c r="D913" s="882"/>
      <c r="E913" s="883" t="s">
        <v>1963</v>
      </c>
      <c r="F913" s="883" t="s">
        <v>1964</v>
      </c>
      <c r="G913" s="883" t="s">
        <v>1965</v>
      </c>
      <c r="H913" s="883" t="s">
        <v>2543</v>
      </c>
      <c r="I913" s="883" t="s">
        <v>2538</v>
      </c>
      <c r="J913" s="884">
        <v>0.25</v>
      </c>
      <c r="K913" s="885">
        <v>0</v>
      </c>
      <c r="L913" s="886">
        <v>0</v>
      </c>
      <c r="M913" s="882"/>
    </row>
    <row r="914" spans="1:13" ht="12.75">
      <c r="A914" s="882"/>
      <c r="B914" s="882"/>
      <c r="C914" s="882"/>
      <c r="D914" s="882"/>
      <c r="E914" s="883" t="s">
        <v>1966</v>
      </c>
      <c r="F914" s="883" t="s">
        <v>1967</v>
      </c>
      <c r="G914" s="883" t="s">
        <v>1965</v>
      </c>
      <c r="H914" s="883" t="s">
        <v>2063</v>
      </c>
      <c r="I914" s="883" t="s">
        <v>2538</v>
      </c>
      <c r="J914" s="884">
        <v>0.32</v>
      </c>
      <c r="K914" s="885">
        <v>0.149</v>
      </c>
      <c r="L914" s="886">
        <v>0.13124</v>
      </c>
      <c r="M914" s="882"/>
    </row>
    <row r="915" spans="1:13" ht="12.75">
      <c r="A915" s="882"/>
      <c r="B915" s="882"/>
      <c r="C915" s="882"/>
      <c r="D915" s="882"/>
      <c r="E915" s="883" t="s">
        <v>1968</v>
      </c>
      <c r="F915" s="883" t="s">
        <v>1969</v>
      </c>
      <c r="G915" s="883" t="s">
        <v>1965</v>
      </c>
      <c r="H915" s="883" t="s">
        <v>2543</v>
      </c>
      <c r="I915" s="883" t="s">
        <v>2538</v>
      </c>
      <c r="J915" s="884">
        <v>0.065</v>
      </c>
      <c r="K915" s="885">
        <v>0</v>
      </c>
      <c r="L915" s="886">
        <v>0</v>
      </c>
      <c r="M915" s="882"/>
    </row>
    <row r="916" spans="1:13" ht="12.75">
      <c r="A916" s="882"/>
      <c r="B916" s="882"/>
      <c r="C916" s="882"/>
      <c r="D916" s="882"/>
      <c r="E916" s="883" t="s">
        <v>1970</v>
      </c>
      <c r="F916" s="883" t="s">
        <v>1971</v>
      </c>
      <c r="G916" s="883" t="s">
        <v>1965</v>
      </c>
      <c r="H916" s="883" t="s">
        <v>2543</v>
      </c>
      <c r="I916" s="883" t="s">
        <v>2538</v>
      </c>
      <c r="J916" s="884">
        <v>0.29</v>
      </c>
      <c r="K916" s="885">
        <v>0</v>
      </c>
      <c r="L916" s="886">
        <v>0</v>
      </c>
      <c r="M916" s="882"/>
    </row>
    <row r="917" spans="1:13" ht="12.75">
      <c r="A917" s="882"/>
      <c r="B917" s="882"/>
      <c r="C917" s="882"/>
      <c r="D917" s="882"/>
      <c r="E917" s="883" t="s">
        <v>1972</v>
      </c>
      <c r="F917" s="883" t="s">
        <v>1973</v>
      </c>
      <c r="G917" s="883" t="s">
        <v>1965</v>
      </c>
      <c r="H917" s="883" t="s">
        <v>2543</v>
      </c>
      <c r="I917" s="883" t="s">
        <v>2538</v>
      </c>
      <c r="J917" s="884">
        <v>0.076</v>
      </c>
      <c r="K917" s="885">
        <v>0</v>
      </c>
      <c r="L917" s="886">
        <v>0</v>
      </c>
      <c r="M917" s="882"/>
    </row>
    <row r="918" spans="1:13" ht="12.75">
      <c r="A918" s="882"/>
      <c r="B918" s="882"/>
      <c r="C918" s="882"/>
      <c r="D918" s="882"/>
      <c r="E918" s="883" t="s">
        <v>1974</v>
      </c>
      <c r="F918" s="883" t="s">
        <v>1867</v>
      </c>
      <c r="G918" s="883" t="s">
        <v>1975</v>
      </c>
      <c r="H918" s="883" t="s">
        <v>2063</v>
      </c>
      <c r="I918" s="883" t="s">
        <v>2538</v>
      </c>
      <c r="J918" s="884">
        <v>0.1</v>
      </c>
      <c r="K918" s="885">
        <v>0.1</v>
      </c>
      <c r="L918" s="886">
        <v>0.0990675</v>
      </c>
      <c r="M918" s="882"/>
    </row>
    <row r="919" spans="1:13" ht="12.75">
      <c r="A919" s="882"/>
      <c r="B919" s="882"/>
      <c r="C919" s="882"/>
      <c r="D919" s="882"/>
      <c r="E919" s="883" t="s">
        <v>1976</v>
      </c>
      <c r="F919" s="883" t="s">
        <v>1977</v>
      </c>
      <c r="G919" s="883" t="s">
        <v>1978</v>
      </c>
      <c r="H919" s="883" t="s">
        <v>2063</v>
      </c>
      <c r="I919" s="883" t="s">
        <v>2538</v>
      </c>
      <c r="J919" s="884">
        <v>0.5</v>
      </c>
      <c r="K919" s="885">
        <v>0.169</v>
      </c>
      <c r="L919" s="886">
        <v>0.168077</v>
      </c>
      <c r="M919" s="882"/>
    </row>
    <row r="920" spans="1:13" ht="12.75">
      <c r="A920" s="882"/>
      <c r="B920" s="882"/>
      <c r="C920" s="882"/>
      <c r="D920" s="882"/>
      <c r="E920" s="883" t="s">
        <v>1976</v>
      </c>
      <c r="F920" s="883" t="s">
        <v>1977</v>
      </c>
      <c r="G920" s="883" t="s">
        <v>1978</v>
      </c>
      <c r="H920" s="883" t="s">
        <v>2063</v>
      </c>
      <c r="I920" s="883" t="s">
        <v>2841</v>
      </c>
      <c r="J920" s="884">
        <v>0.16</v>
      </c>
      <c r="K920" s="885">
        <v>0.496</v>
      </c>
      <c r="L920" s="886">
        <v>0.495139</v>
      </c>
      <c r="M920" s="882"/>
    </row>
    <row r="921" spans="1:13" ht="12.75">
      <c r="A921" s="882"/>
      <c r="B921" s="882"/>
      <c r="C921" s="882"/>
      <c r="D921" s="882"/>
      <c r="E921" s="883" t="s">
        <v>1979</v>
      </c>
      <c r="F921" s="883" t="s">
        <v>1980</v>
      </c>
      <c r="G921" s="883" t="s">
        <v>1981</v>
      </c>
      <c r="H921" s="883" t="s">
        <v>2063</v>
      </c>
      <c r="I921" s="883" t="s">
        <v>2538</v>
      </c>
      <c r="J921" s="884">
        <v>0.66</v>
      </c>
      <c r="K921" s="885">
        <v>0.592</v>
      </c>
      <c r="L921" s="886">
        <v>0.591668</v>
      </c>
      <c r="M921" s="882"/>
    </row>
    <row r="922" spans="1:13" ht="12.75">
      <c r="A922" s="882"/>
      <c r="B922" s="882"/>
      <c r="C922" s="882"/>
      <c r="D922" s="882"/>
      <c r="E922" s="883" t="s">
        <v>1982</v>
      </c>
      <c r="F922" s="883" t="s">
        <v>1983</v>
      </c>
      <c r="G922" s="883" t="s">
        <v>1984</v>
      </c>
      <c r="H922" s="883" t="s">
        <v>2543</v>
      </c>
      <c r="I922" s="883" t="s">
        <v>2538</v>
      </c>
      <c r="J922" s="884">
        <v>0.3</v>
      </c>
      <c r="K922" s="885">
        <v>0</v>
      </c>
      <c r="L922" s="886">
        <v>0</v>
      </c>
      <c r="M922" s="882"/>
    </row>
    <row r="923" spans="1:13" ht="12.75">
      <c r="A923" s="882"/>
      <c r="B923" s="882"/>
      <c r="C923" s="882"/>
      <c r="D923" s="882"/>
      <c r="E923" s="883" t="s">
        <v>1985</v>
      </c>
      <c r="F923" s="883" t="s">
        <v>1986</v>
      </c>
      <c r="G923" s="883" t="s">
        <v>1987</v>
      </c>
      <c r="H923" s="883" t="s">
        <v>2543</v>
      </c>
      <c r="I923" s="883" t="s">
        <v>2538</v>
      </c>
      <c r="J923" s="884">
        <v>0.25</v>
      </c>
      <c r="K923" s="885">
        <v>0</v>
      </c>
      <c r="L923" s="886">
        <v>0</v>
      </c>
      <c r="M923" s="882"/>
    </row>
    <row r="924" spans="1:13" ht="12.75">
      <c r="A924" s="882"/>
      <c r="B924" s="882"/>
      <c r="C924" s="882"/>
      <c r="D924" s="882"/>
      <c r="E924" s="883" t="s">
        <v>1988</v>
      </c>
      <c r="F924" s="883" t="s">
        <v>1989</v>
      </c>
      <c r="G924" s="883" t="s">
        <v>1987</v>
      </c>
      <c r="H924" s="883" t="s">
        <v>2543</v>
      </c>
      <c r="I924" s="883" t="s">
        <v>2538</v>
      </c>
      <c r="J924" s="884">
        <v>0.15</v>
      </c>
      <c r="K924" s="885">
        <v>0</v>
      </c>
      <c r="L924" s="886">
        <v>0</v>
      </c>
      <c r="M924" s="882"/>
    </row>
    <row r="925" spans="1:13" ht="12.75">
      <c r="A925" s="882"/>
      <c r="B925" s="882"/>
      <c r="C925" s="882"/>
      <c r="D925" s="882"/>
      <c r="E925" s="883" t="s">
        <v>1990</v>
      </c>
      <c r="F925" s="883" t="s">
        <v>1991</v>
      </c>
      <c r="G925" s="883" t="s">
        <v>1987</v>
      </c>
      <c r="H925" s="883" t="s">
        <v>2543</v>
      </c>
      <c r="I925" s="883" t="s">
        <v>2538</v>
      </c>
      <c r="J925" s="884">
        <v>0.2</v>
      </c>
      <c r="K925" s="885">
        <v>0</v>
      </c>
      <c r="L925" s="886">
        <v>0</v>
      </c>
      <c r="M925" s="882"/>
    </row>
    <row r="926" spans="1:13" ht="12.75">
      <c r="A926" s="882"/>
      <c r="B926" s="882"/>
      <c r="C926" s="882"/>
      <c r="D926" s="882"/>
      <c r="E926" s="883" t="s">
        <v>1992</v>
      </c>
      <c r="F926" s="883" t="s">
        <v>1993</v>
      </c>
      <c r="G926" s="883" t="s">
        <v>1987</v>
      </c>
      <c r="H926" s="883" t="s">
        <v>2543</v>
      </c>
      <c r="I926" s="883" t="s">
        <v>2538</v>
      </c>
      <c r="J926" s="884">
        <v>0.15</v>
      </c>
      <c r="K926" s="885">
        <v>0</v>
      </c>
      <c r="L926" s="886">
        <v>0</v>
      </c>
      <c r="M926" s="882"/>
    </row>
    <row r="927" spans="1:13" ht="12.75">
      <c r="A927" s="882"/>
      <c r="B927" s="882"/>
      <c r="C927" s="882"/>
      <c r="D927" s="882"/>
      <c r="E927" s="883" t="s">
        <v>1994</v>
      </c>
      <c r="F927" s="883" t="s">
        <v>1995</v>
      </c>
      <c r="G927" s="883" t="s">
        <v>1981</v>
      </c>
      <c r="H927" s="883" t="s">
        <v>2063</v>
      </c>
      <c r="I927" s="883" t="s">
        <v>2538</v>
      </c>
      <c r="J927" s="885">
        <v>0</v>
      </c>
      <c r="K927" s="885">
        <v>0.1</v>
      </c>
      <c r="L927" s="886">
        <v>0.099718</v>
      </c>
      <c r="M927" s="882"/>
    </row>
    <row r="928" spans="1:13" ht="12.75">
      <c r="A928" s="882"/>
      <c r="B928" s="882"/>
      <c r="C928" s="882"/>
      <c r="D928" s="882"/>
      <c r="E928" s="883" t="s">
        <v>1996</v>
      </c>
      <c r="F928" s="883" t="s">
        <v>1997</v>
      </c>
      <c r="G928" s="883" t="s">
        <v>1987</v>
      </c>
      <c r="H928" s="883" t="s">
        <v>2063</v>
      </c>
      <c r="I928" s="883" t="s">
        <v>2627</v>
      </c>
      <c r="J928" s="885">
        <v>0</v>
      </c>
      <c r="K928" s="885">
        <v>0</v>
      </c>
      <c r="L928" s="886">
        <v>0.850404</v>
      </c>
      <c r="M928" s="882"/>
    </row>
    <row r="929" spans="1:13" ht="12.75">
      <c r="A929" s="882"/>
      <c r="B929" s="882"/>
      <c r="C929" s="882"/>
      <c r="D929" s="882"/>
      <c r="E929" s="883" t="s">
        <v>1</v>
      </c>
      <c r="F929" s="883" t="s">
        <v>2</v>
      </c>
      <c r="G929" s="883" t="s">
        <v>1965</v>
      </c>
      <c r="H929" s="883" t="s">
        <v>2063</v>
      </c>
      <c r="I929" s="883" t="s">
        <v>2538</v>
      </c>
      <c r="J929" s="885">
        <v>0</v>
      </c>
      <c r="K929" s="885">
        <v>0.802</v>
      </c>
      <c r="L929" s="886">
        <v>0.801786</v>
      </c>
      <c r="M929" s="882"/>
    </row>
    <row r="930" spans="1:13" ht="12.75">
      <c r="A930" s="882"/>
      <c r="B930" s="882"/>
      <c r="C930" s="882"/>
      <c r="D930" s="882"/>
      <c r="E930" s="883" t="s">
        <v>1</v>
      </c>
      <c r="F930" s="883" t="s">
        <v>2</v>
      </c>
      <c r="G930" s="883" t="s">
        <v>1965</v>
      </c>
      <c r="H930" s="883" t="s">
        <v>2063</v>
      </c>
      <c r="I930" s="883" t="s">
        <v>2564</v>
      </c>
      <c r="J930" s="885">
        <v>0</v>
      </c>
      <c r="K930" s="885">
        <v>1.05</v>
      </c>
      <c r="L930" s="886">
        <v>1.04848074</v>
      </c>
      <c r="M930" s="882"/>
    </row>
    <row r="931" spans="1:13" ht="12.75">
      <c r="A931" s="882"/>
      <c r="B931" s="882"/>
      <c r="C931" s="882"/>
      <c r="D931" s="882"/>
      <c r="E931" s="883" t="s">
        <v>3</v>
      </c>
      <c r="F931" s="883" t="s">
        <v>2010</v>
      </c>
      <c r="G931" s="883" t="s">
        <v>1975</v>
      </c>
      <c r="H931" s="883" t="s">
        <v>2063</v>
      </c>
      <c r="I931" s="883" t="s">
        <v>2538</v>
      </c>
      <c r="J931" s="885">
        <v>0</v>
      </c>
      <c r="K931" s="885">
        <v>0.46</v>
      </c>
      <c r="L931" s="886">
        <v>0.45929</v>
      </c>
      <c r="M931" s="882"/>
    </row>
    <row r="932" spans="1:13" ht="12.75">
      <c r="A932" s="882"/>
      <c r="B932" s="882"/>
      <c r="C932" s="882"/>
      <c r="D932" s="882"/>
      <c r="E932" s="883" t="s">
        <v>2011</v>
      </c>
      <c r="F932" s="883" t="s">
        <v>2012</v>
      </c>
      <c r="G932" s="883" t="s">
        <v>1981</v>
      </c>
      <c r="H932" s="883" t="s">
        <v>2063</v>
      </c>
      <c r="I932" s="883" t="s">
        <v>2538</v>
      </c>
      <c r="J932" s="885">
        <v>0</v>
      </c>
      <c r="K932" s="885">
        <v>0.84</v>
      </c>
      <c r="L932" s="886">
        <v>0.83895</v>
      </c>
      <c r="M932" s="882"/>
    </row>
    <row r="933" spans="1:13" ht="12.75">
      <c r="A933" s="882"/>
      <c r="B933" s="882"/>
      <c r="C933" s="882"/>
      <c r="D933" s="882"/>
      <c r="E933" s="883" t="s">
        <v>2013</v>
      </c>
      <c r="F933" s="883" t="s">
        <v>2014</v>
      </c>
      <c r="G933" s="883" t="s">
        <v>1981</v>
      </c>
      <c r="H933" s="883" t="s">
        <v>2063</v>
      </c>
      <c r="I933" s="883" t="s">
        <v>2538</v>
      </c>
      <c r="J933" s="885">
        <v>0</v>
      </c>
      <c r="K933" s="885">
        <v>0.5</v>
      </c>
      <c r="L933" s="886">
        <v>0.499205</v>
      </c>
      <c r="M933" s="882"/>
    </row>
    <row r="934" spans="1:13" ht="12.75">
      <c r="A934" s="882"/>
      <c r="B934" s="882"/>
      <c r="C934" s="882"/>
      <c r="D934" s="882"/>
      <c r="E934" s="883" t="s">
        <v>2015</v>
      </c>
      <c r="F934" s="883" t="s">
        <v>2016</v>
      </c>
      <c r="G934" s="883" t="s">
        <v>1978</v>
      </c>
      <c r="H934" s="883" t="s">
        <v>2063</v>
      </c>
      <c r="I934" s="883" t="s">
        <v>2841</v>
      </c>
      <c r="J934" s="885">
        <v>0</v>
      </c>
      <c r="K934" s="885">
        <v>0.12</v>
      </c>
      <c r="L934" s="886">
        <v>0.108052</v>
      </c>
      <c r="M934" s="882"/>
    </row>
    <row r="935" spans="1:13" ht="12.75">
      <c r="A935" s="882"/>
      <c r="B935" s="882"/>
      <c r="C935" s="882"/>
      <c r="D935" s="882"/>
      <c r="E935" s="883" t="s">
        <v>2015</v>
      </c>
      <c r="F935" s="883" t="s">
        <v>2016</v>
      </c>
      <c r="G935" s="883" t="s">
        <v>1978</v>
      </c>
      <c r="H935" s="883" t="s">
        <v>2063</v>
      </c>
      <c r="I935" s="883" t="s">
        <v>2538</v>
      </c>
      <c r="J935" s="885">
        <v>0</v>
      </c>
      <c r="K935" s="885">
        <v>1.68</v>
      </c>
      <c r="L935" s="886">
        <v>1.678019</v>
      </c>
      <c r="M935" s="882"/>
    </row>
    <row r="936" spans="1:13" ht="12.75">
      <c r="A936" s="882"/>
      <c r="B936" s="882"/>
      <c r="C936" s="882"/>
      <c r="D936" s="882"/>
      <c r="E936" s="883" t="s">
        <v>2017</v>
      </c>
      <c r="F936" s="883" t="s">
        <v>2012</v>
      </c>
      <c r="G936" s="883" t="s">
        <v>1965</v>
      </c>
      <c r="H936" s="883" t="s">
        <v>2063</v>
      </c>
      <c r="I936" s="883" t="s">
        <v>2538</v>
      </c>
      <c r="J936" s="885">
        <v>0</v>
      </c>
      <c r="K936" s="885">
        <v>0.961</v>
      </c>
      <c r="L936" s="886">
        <v>0.95999918</v>
      </c>
      <c r="M936" s="882"/>
    </row>
    <row r="937" spans="1:13" ht="12.75">
      <c r="A937" s="882"/>
      <c r="B937" s="882"/>
      <c r="C937" s="882"/>
      <c r="D937" s="882"/>
      <c r="E937" s="883" t="s">
        <v>2018</v>
      </c>
      <c r="F937" s="883" t="s">
        <v>6</v>
      </c>
      <c r="G937" s="883" t="s">
        <v>1965</v>
      </c>
      <c r="H937" s="883" t="s">
        <v>2063</v>
      </c>
      <c r="I937" s="883" t="s">
        <v>2538</v>
      </c>
      <c r="J937" s="885">
        <v>0</v>
      </c>
      <c r="K937" s="885">
        <v>0.178</v>
      </c>
      <c r="L937" s="886">
        <v>0.178</v>
      </c>
      <c r="M937" s="882"/>
    </row>
    <row r="938" spans="1:13" ht="12.75">
      <c r="A938" s="882"/>
      <c r="B938" s="882"/>
      <c r="C938" s="882"/>
      <c r="D938" s="882"/>
      <c r="E938" s="883" t="s">
        <v>7</v>
      </c>
      <c r="F938" s="883" t="s">
        <v>8</v>
      </c>
      <c r="G938" s="883" t="s">
        <v>1965</v>
      </c>
      <c r="H938" s="883" t="s">
        <v>2063</v>
      </c>
      <c r="I938" s="883" t="s">
        <v>2538</v>
      </c>
      <c r="J938" s="884">
        <v>150</v>
      </c>
      <c r="K938" s="885">
        <v>131.003</v>
      </c>
      <c r="L938" s="886">
        <v>131.0023423</v>
      </c>
      <c r="M938" s="882"/>
    </row>
    <row r="939" spans="1:13" ht="12.75">
      <c r="A939" s="882"/>
      <c r="B939" s="882"/>
      <c r="C939" s="882"/>
      <c r="D939" s="882"/>
      <c r="E939" s="883" t="s">
        <v>9</v>
      </c>
      <c r="F939" s="883" t="s">
        <v>10</v>
      </c>
      <c r="G939" s="883" t="s">
        <v>2103</v>
      </c>
      <c r="H939" s="883" t="s">
        <v>2063</v>
      </c>
      <c r="I939" s="883" t="s">
        <v>2538</v>
      </c>
      <c r="J939" s="884">
        <v>4.72</v>
      </c>
      <c r="K939" s="885">
        <v>3.01</v>
      </c>
      <c r="L939" s="886">
        <v>3.008579</v>
      </c>
      <c r="M939" s="882"/>
    </row>
    <row r="940" spans="1:13" ht="12.75">
      <c r="A940" s="882"/>
      <c r="B940" s="882"/>
      <c r="C940" s="882"/>
      <c r="D940" s="882"/>
      <c r="E940" s="883" t="s">
        <v>11</v>
      </c>
      <c r="F940" s="883" t="s">
        <v>12</v>
      </c>
      <c r="G940" s="883" t="s">
        <v>1975</v>
      </c>
      <c r="H940" s="883" t="s">
        <v>2063</v>
      </c>
      <c r="I940" s="883" t="s">
        <v>2538</v>
      </c>
      <c r="J940" s="885">
        <v>0</v>
      </c>
      <c r="K940" s="885">
        <v>13.825</v>
      </c>
      <c r="L940" s="886">
        <v>13.82341297</v>
      </c>
      <c r="M940" s="882"/>
    </row>
    <row r="941" spans="1:13" ht="12.75">
      <c r="A941" s="882"/>
      <c r="B941" s="882"/>
      <c r="C941" s="882"/>
      <c r="D941" s="882"/>
      <c r="E941" s="883" t="s">
        <v>13</v>
      </c>
      <c r="F941" s="883" t="s">
        <v>14</v>
      </c>
      <c r="G941" s="883" t="s">
        <v>1981</v>
      </c>
      <c r="H941" s="883" t="s">
        <v>2063</v>
      </c>
      <c r="I941" s="883" t="s">
        <v>2538</v>
      </c>
      <c r="J941" s="885">
        <v>0</v>
      </c>
      <c r="K941" s="885">
        <v>27.364</v>
      </c>
      <c r="L941" s="886">
        <v>27.36362</v>
      </c>
      <c r="M941" s="882"/>
    </row>
    <row r="942" spans="1:13" ht="12.75">
      <c r="A942" s="882"/>
      <c r="B942" s="882"/>
      <c r="C942" s="882"/>
      <c r="D942" s="882"/>
      <c r="E942" s="883" t="s">
        <v>15</v>
      </c>
      <c r="F942" s="883" t="s">
        <v>16</v>
      </c>
      <c r="G942" s="883" t="s">
        <v>1965</v>
      </c>
      <c r="H942" s="883" t="s">
        <v>2543</v>
      </c>
      <c r="I942" s="883" t="s">
        <v>2538</v>
      </c>
      <c r="J942" s="884">
        <v>0.15</v>
      </c>
      <c r="K942" s="885">
        <v>0</v>
      </c>
      <c r="L942" s="886">
        <v>0</v>
      </c>
      <c r="M942" s="882"/>
    </row>
    <row r="943" spans="1:13" ht="12.75">
      <c r="A943" s="882"/>
      <c r="B943" s="882"/>
      <c r="C943" s="882"/>
      <c r="D943" s="882"/>
      <c r="E943" s="883" t="s">
        <v>17</v>
      </c>
      <c r="F943" s="883" t="s">
        <v>18</v>
      </c>
      <c r="G943" s="883" t="s">
        <v>1965</v>
      </c>
      <c r="H943" s="883" t="s">
        <v>2543</v>
      </c>
      <c r="I943" s="883" t="s">
        <v>2538</v>
      </c>
      <c r="J943" s="884">
        <v>0.04</v>
      </c>
      <c r="K943" s="885">
        <v>0</v>
      </c>
      <c r="L943" s="886">
        <v>0</v>
      </c>
      <c r="M943" s="882"/>
    </row>
    <row r="944" spans="1:13" ht="12.75">
      <c r="A944" s="882"/>
      <c r="B944" s="882"/>
      <c r="C944" s="882"/>
      <c r="D944" s="882"/>
      <c r="E944" s="883" t="s">
        <v>19</v>
      </c>
      <c r="F944" s="883" t="s">
        <v>20</v>
      </c>
      <c r="G944" s="883" t="s">
        <v>1965</v>
      </c>
      <c r="H944" s="883" t="s">
        <v>2543</v>
      </c>
      <c r="I944" s="883" t="s">
        <v>2538</v>
      </c>
      <c r="J944" s="884">
        <v>0.6</v>
      </c>
      <c r="K944" s="885">
        <v>0</v>
      </c>
      <c r="L944" s="886">
        <v>0</v>
      </c>
      <c r="M944" s="882"/>
    </row>
    <row r="945" spans="1:13" ht="12.75">
      <c r="A945" s="882"/>
      <c r="B945" s="882"/>
      <c r="C945" s="882"/>
      <c r="D945" s="882"/>
      <c r="E945" s="883" t="s">
        <v>21</v>
      </c>
      <c r="F945" s="883" t="s">
        <v>22</v>
      </c>
      <c r="G945" s="883" t="s">
        <v>1965</v>
      </c>
      <c r="H945" s="883" t="s">
        <v>2543</v>
      </c>
      <c r="I945" s="883" t="s">
        <v>2538</v>
      </c>
      <c r="J945" s="884">
        <v>0.055</v>
      </c>
      <c r="K945" s="885">
        <v>0</v>
      </c>
      <c r="L945" s="886">
        <v>0</v>
      </c>
      <c r="M945" s="882"/>
    </row>
    <row r="946" spans="1:13" ht="12.75">
      <c r="A946" s="882"/>
      <c r="B946" s="882"/>
      <c r="C946" s="882"/>
      <c r="D946" s="882"/>
      <c r="E946" s="883" t="s">
        <v>23</v>
      </c>
      <c r="F946" s="883" t="s">
        <v>24</v>
      </c>
      <c r="G946" s="883" t="s">
        <v>1975</v>
      </c>
      <c r="H946" s="883" t="s">
        <v>2063</v>
      </c>
      <c r="I946" s="883" t="s">
        <v>2538</v>
      </c>
      <c r="J946" s="884">
        <v>1</v>
      </c>
      <c r="K946" s="885">
        <v>1</v>
      </c>
      <c r="L946" s="886">
        <v>0.99923384</v>
      </c>
      <c r="M946" s="882"/>
    </row>
    <row r="947" spans="1:13" ht="12.75">
      <c r="A947" s="882"/>
      <c r="B947" s="882"/>
      <c r="C947" s="882"/>
      <c r="D947" s="882"/>
      <c r="E947" s="883" t="s">
        <v>23</v>
      </c>
      <c r="F947" s="883" t="s">
        <v>24</v>
      </c>
      <c r="G947" s="883" t="s">
        <v>1975</v>
      </c>
      <c r="H947" s="883" t="s">
        <v>2063</v>
      </c>
      <c r="I947" s="883" t="s">
        <v>2627</v>
      </c>
      <c r="J947" s="885">
        <v>0</v>
      </c>
      <c r="K947" s="885">
        <v>0</v>
      </c>
      <c r="L947" s="886">
        <v>0.021</v>
      </c>
      <c r="M947" s="882"/>
    </row>
    <row r="948" spans="1:13" ht="12.75">
      <c r="A948" s="882"/>
      <c r="B948" s="882"/>
      <c r="C948" s="882"/>
      <c r="D948" s="882"/>
      <c r="E948" s="883" t="s">
        <v>25</v>
      </c>
      <c r="F948" s="883" t="s">
        <v>26</v>
      </c>
      <c r="G948" s="883" t="s">
        <v>1987</v>
      </c>
      <c r="H948" s="883" t="s">
        <v>2543</v>
      </c>
      <c r="I948" s="883" t="s">
        <v>2538</v>
      </c>
      <c r="J948" s="884">
        <v>0.15</v>
      </c>
      <c r="K948" s="885">
        <v>0</v>
      </c>
      <c r="L948" s="886">
        <v>0</v>
      </c>
      <c r="M948" s="882"/>
    </row>
    <row r="949" spans="1:13" ht="12.75">
      <c r="A949" s="882"/>
      <c r="B949" s="882"/>
      <c r="C949" s="882"/>
      <c r="D949" s="882"/>
      <c r="E949" s="883" t="s">
        <v>27</v>
      </c>
      <c r="F949" s="883" t="s">
        <v>28</v>
      </c>
      <c r="G949" s="883" t="s">
        <v>2103</v>
      </c>
      <c r="H949" s="883" t="s">
        <v>2063</v>
      </c>
      <c r="I949" s="883" t="s">
        <v>2538</v>
      </c>
      <c r="J949" s="884">
        <v>0.3</v>
      </c>
      <c r="K949" s="885">
        <v>0.585</v>
      </c>
      <c r="L949" s="886">
        <v>0.584751</v>
      </c>
      <c r="M949" s="882"/>
    </row>
    <row r="950" spans="1:13" ht="12.75">
      <c r="A950" s="882"/>
      <c r="B950" s="882"/>
      <c r="C950" s="882"/>
      <c r="D950" s="882"/>
      <c r="E950" s="883" t="s">
        <v>29</v>
      </c>
      <c r="F950" s="883" t="s">
        <v>30</v>
      </c>
      <c r="G950" s="883" t="s">
        <v>2103</v>
      </c>
      <c r="H950" s="883" t="s">
        <v>2063</v>
      </c>
      <c r="I950" s="883" t="s">
        <v>2538</v>
      </c>
      <c r="J950" s="885">
        <v>0</v>
      </c>
      <c r="K950" s="885">
        <v>1.059</v>
      </c>
      <c r="L950" s="886">
        <v>1.058999</v>
      </c>
      <c r="M950" s="882"/>
    </row>
    <row r="951" spans="1:13" ht="12.75">
      <c r="A951" s="882"/>
      <c r="B951" s="882"/>
      <c r="C951" s="882"/>
      <c r="D951" s="882"/>
      <c r="E951" s="883" t="s">
        <v>31</v>
      </c>
      <c r="F951" s="883" t="s">
        <v>32</v>
      </c>
      <c r="G951" s="883" t="s">
        <v>1984</v>
      </c>
      <c r="H951" s="883" t="s">
        <v>2063</v>
      </c>
      <c r="I951" s="883" t="s">
        <v>2538</v>
      </c>
      <c r="J951" s="885">
        <v>0</v>
      </c>
      <c r="K951" s="885">
        <v>1.3</v>
      </c>
      <c r="L951" s="886">
        <v>1.298855</v>
      </c>
      <c r="M951" s="882"/>
    </row>
    <row r="952" spans="1:13" ht="12.75">
      <c r="A952" s="882"/>
      <c r="B952" s="882"/>
      <c r="C952" s="882"/>
      <c r="D952" s="882"/>
      <c r="E952" s="883" t="s">
        <v>33</v>
      </c>
      <c r="F952" s="883" t="s">
        <v>34</v>
      </c>
      <c r="G952" s="883" t="s">
        <v>2103</v>
      </c>
      <c r="H952" s="883" t="s">
        <v>2063</v>
      </c>
      <c r="I952" s="883" t="s">
        <v>2538</v>
      </c>
      <c r="J952" s="885">
        <v>0</v>
      </c>
      <c r="K952" s="885">
        <v>1.15</v>
      </c>
      <c r="L952" s="886">
        <v>1.1486487</v>
      </c>
      <c r="M952" s="882"/>
    </row>
    <row r="953" spans="1:13" ht="12.75">
      <c r="A953" s="882"/>
      <c r="B953" s="882"/>
      <c r="C953" s="882"/>
      <c r="D953" s="882"/>
      <c r="E953" s="883" t="s">
        <v>35</v>
      </c>
      <c r="F953" s="883" t="s">
        <v>36</v>
      </c>
      <c r="G953" s="883" t="s">
        <v>1978</v>
      </c>
      <c r="H953" s="883" t="s">
        <v>2063</v>
      </c>
      <c r="I953" s="883" t="s">
        <v>2538</v>
      </c>
      <c r="J953" s="885">
        <v>0</v>
      </c>
      <c r="K953" s="885">
        <v>0.2</v>
      </c>
      <c r="L953" s="886">
        <v>0.2</v>
      </c>
      <c r="M953" s="882"/>
    </row>
    <row r="954" spans="1:13" ht="12.75">
      <c r="A954" s="882"/>
      <c r="B954" s="882"/>
      <c r="C954" s="882"/>
      <c r="D954" s="882"/>
      <c r="E954" s="883" t="s">
        <v>37</v>
      </c>
      <c r="F954" s="883" t="s">
        <v>38</v>
      </c>
      <c r="G954" s="883" t="s">
        <v>1965</v>
      </c>
      <c r="H954" s="883" t="s">
        <v>2063</v>
      </c>
      <c r="I954" s="883" t="s">
        <v>2538</v>
      </c>
      <c r="J954" s="885">
        <v>0</v>
      </c>
      <c r="K954" s="885">
        <v>0.17</v>
      </c>
      <c r="L954" s="886">
        <v>0.16948385</v>
      </c>
      <c r="M954" s="882"/>
    </row>
    <row r="955" spans="1:13" ht="12.75">
      <c r="A955" s="882"/>
      <c r="B955" s="882"/>
      <c r="C955" s="882"/>
      <c r="D955" s="882"/>
      <c r="E955" s="883" t="s">
        <v>39</v>
      </c>
      <c r="F955" s="883" t="s">
        <v>40</v>
      </c>
      <c r="G955" s="883" t="s">
        <v>1965</v>
      </c>
      <c r="H955" s="883" t="s">
        <v>2063</v>
      </c>
      <c r="I955" s="883" t="s">
        <v>2627</v>
      </c>
      <c r="J955" s="885">
        <v>0</v>
      </c>
      <c r="K955" s="885">
        <v>0</v>
      </c>
      <c r="L955" s="886">
        <v>0.11456</v>
      </c>
      <c r="M955" s="882"/>
    </row>
    <row r="956" spans="1:13" ht="12.75">
      <c r="A956" s="882"/>
      <c r="B956" s="882"/>
      <c r="C956" s="882"/>
      <c r="D956" s="882"/>
      <c r="E956" s="883" t="s">
        <v>41</v>
      </c>
      <c r="F956" s="883" t="s">
        <v>42</v>
      </c>
      <c r="G956" s="883" t="s">
        <v>1984</v>
      </c>
      <c r="H956" s="883" t="s">
        <v>2063</v>
      </c>
      <c r="I956" s="883" t="s">
        <v>2538</v>
      </c>
      <c r="J956" s="885">
        <v>0</v>
      </c>
      <c r="K956" s="885">
        <v>0.671</v>
      </c>
      <c r="L956" s="886">
        <v>0.670208</v>
      </c>
      <c r="M956" s="882"/>
    </row>
    <row r="957" spans="1:13" ht="12.75">
      <c r="A957" s="882"/>
      <c r="B957" s="882"/>
      <c r="C957" s="882"/>
      <c r="D957" s="882"/>
      <c r="E957" s="883" t="s">
        <v>43</v>
      </c>
      <c r="F957" s="883" t="s">
        <v>1133</v>
      </c>
      <c r="G957" s="883" t="s">
        <v>1978</v>
      </c>
      <c r="H957" s="883" t="s">
        <v>2063</v>
      </c>
      <c r="I957" s="883" t="s">
        <v>2538</v>
      </c>
      <c r="J957" s="884">
        <v>0.24</v>
      </c>
      <c r="K957" s="885">
        <v>0.235</v>
      </c>
      <c r="L957" s="886">
        <v>0.234906</v>
      </c>
      <c r="M957" s="882"/>
    </row>
    <row r="958" spans="1:13" ht="12.75">
      <c r="A958" s="882"/>
      <c r="B958" s="882"/>
      <c r="C958" s="882"/>
      <c r="D958" s="882"/>
      <c r="E958" s="883" t="s">
        <v>44</v>
      </c>
      <c r="F958" s="883" t="s">
        <v>45</v>
      </c>
      <c r="G958" s="883" t="s">
        <v>1981</v>
      </c>
      <c r="H958" s="883" t="s">
        <v>2063</v>
      </c>
      <c r="I958" s="883" t="s">
        <v>2538</v>
      </c>
      <c r="J958" s="884">
        <v>0.07</v>
      </c>
      <c r="K958" s="885">
        <v>0.07</v>
      </c>
      <c r="L958" s="886">
        <v>0.0617848</v>
      </c>
      <c r="M958" s="882"/>
    </row>
    <row r="959" spans="1:13" ht="12.75">
      <c r="A959" s="882"/>
      <c r="B959" s="882"/>
      <c r="C959" s="882"/>
      <c r="D959" s="882"/>
      <c r="E959" s="883" t="s">
        <v>46</v>
      </c>
      <c r="F959" s="883" t="s">
        <v>47</v>
      </c>
      <c r="G959" s="883" t="s">
        <v>1987</v>
      </c>
      <c r="H959" s="883" t="s">
        <v>2543</v>
      </c>
      <c r="I959" s="883" t="s">
        <v>2538</v>
      </c>
      <c r="J959" s="884">
        <v>0.15</v>
      </c>
      <c r="K959" s="885">
        <v>0</v>
      </c>
      <c r="L959" s="886">
        <v>0</v>
      </c>
      <c r="M959" s="882"/>
    </row>
    <row r="960" spans="1:13" ht="12.75">
      <c r="A960" s="882"/>
      <c r="B960" s="882"/>
      <c r="C960" s="882"/>
      <c r="D960" s="882"/>
      <c r="E960" s="883" t="s">
        <v>48</v>
      </c>
      <c r="F960" s="883" t="s">
        <v>49</v>
      </c>
      <c r="G960" s="883" t="s">
        <v>1981</v>
      </c>
      <c r="H960" s="883" t="s">
        <v>2063</v>
      </c>
      <c r="I960" s="883" t="s">
        <v>2538</v>
      </c>
      <c r="J960" s="885">
        <v>0</v>
      </c>
      <c r="K960" s="885">
        <v>0.098</v>
      </c>
      <c r="L960" s="886">
        <v>0.097782</v>
      </c>
      <c r="M960" s="882"/>
    </row>
    <row r="961" spans="1:13" ht="12.75">
      <c r="A961" s="882"/>
      <c r="B961" s="882"/>
      <c r="C961" s="882"/>
      <c r="D961" s="882"/>
      <c r="E961" s="883" t="s">
        <v>50</v>
      </c>
      <c r="F961" s="883" t="s">
        <v>51</v>
      </c>
      <c r="G961" s="883" t="s">
        <v>1975</v>
      </c>
      <c r="H961" s="883" t="s">
        <v>2063</v>
      </c>
      <c r="I961" s="883" t="s">
        <v>2538</v>
      </c>
      <c r="J961" s="885">
        <v>0</v>
      </c>
      <c r="K961" s="885">
        <v>0.466</v>
      </c>
      <c r="L961" s="886">
        <v>0.4655875</v>
      </c>
      <c r="M961" s="882"/>
    </row>
    <row r="962" spans="1:13" ht="12.75">
      <c r="A962" s="882"/>
      <c r="B962" s="882"/>
      <c r="C962" s="882"/>
      <c r="D962" s="882"/>
      <c r="E962" s="883" t="s">
        <v>52</v>
      </c>
      <c r="F962" s="883" t="s">
        <v>53</v>
      </c>
      <c r="G962" s="883" t="s">
        <v>1975</v>
      </c>
      <c r="H962" s="883" t="s">
        <v>2063</v>
      </c>
      <c r="I962" s="883" t="s">
        <v>2538</v>
      </c>
      <c r="J962" s="885">
        <v>0</v>
      </c>
      <c r="K962" s="885">
        <v>0.085</v>
      </c>
      <c r="L962" s="886">
        <v>0.0846566</v>
      </c>
      <c r="M962" s="882"/>
    </row>
    <row r="963" spans="1:13" ht="12.75">
      <c r="A963" s="882"/>
      <c r="B963" s="882"/>
      <c r="C963" s="882"/>
      <c r="D963" s="882"/>
      <c r="E963" s="883" t="s">
        <v>54</v>
      </c>
      <c r="F963" s="883" t="s">
        <v>1271</v>
      </c>
      <c r="G963" s="883" t="s">
        <v>1984</v>
      </c>
      <c r="H963" s="883" t="s">
        <v>2063</v>
      </c>
      <c r="I963" s="883" t="s">
        <v>2538</v>
      </c>
      <c r="J963" s="885">
        <v>0</v>
      </c>
      <c r="K963" s="885">
        <v>0.7</v>
      </c>
      <c r="L963" s="886">
        <v>0.698912</v>
      </c>
      <c r="M963" s="882"/>
    </row>
    <row r="964" spans="1:13" ht="12.75">
      <c r="A964" s="882"/>
      <c r="B964" s="882"/>
      <c r="C964" s="882"/>
      <c r="D964" s="882"/>
      <c r="E964" s="883" t="s">
        <v>55</v>
      </c>
      <c r="F964" s="883" t="s">
        <v>1271</v>
      </c>
      <c r="G964" s="883" t="s">
        <v>2090</v>
      </c>
      <c r="H964" s="883" t="s">
        <v>2063</v>
      </c>
      <c r="I964" s="883" t="s">
        <v>2538</v>
      </c>
      <c r="J964" s="885">
        <v>0</v>
      </c>
      <c r="K964" s="885">
        <v>0.4</v>
      </c>
      <c r="L964" s="886">
        <v>0.398288</v>
      </c>
      <c r="M964" s="882"/>
    </row>
    <row r="965" spans="1:13" ht="13.5" thickBot="1">
      <c r="A965" s="882"/>
      <c r="B965" s="882"/>
      <c r="C965" s="882"/>
      <c r="D965" s="882"/>
      <c r="E965" s="883" t="s">
        <v>56</v>
      </c>
      <c r="F965" s="883" t="s">
        <v>1271</v>
      </c>
      <c r="G965" s="883" t="s">
        <v>1987</v>
      </c>
      <c r="H965" s="883" t="s">
        <v>2063</v>
      </c>
      <c r="I965" s="883" t="s">
        <v>2538</v>
      </c>
      <c r="J965" s="885">
        <v>0</v>
      </c>
      <c r="K965" s="885">
        <v>0.7</v>
      </c>
      <c r="L965" s="886">
        <v>0.698568</v>
      </c>
      <c r="M965" s="882"/>
    </row>
    <row r="966" spans="1:13" ht="13.5" thickBot="1">
      <c r="A966" s="882"/>
      <c r="B966" s="882"/>
      <c r="C966" s="882"/>
      <c r="D966" s="882"/>
      <c r="E966" s="1043" t="s">
        <v>57</v>
      </c>
      <c r="F966" s="1044"/>
      <c r="G966" s="1044"/>
      <c r="H966" s="1044"/>
      <c r="I966" s="1044"/>
      <c r="J966" s="890">
        <f>SUM(J913:J965)</f>
        <v>160.94600000000003</v>
      </c>
      <c r="K966" s="890">
        <f>SUM(K913:K965)</f>
        <v>192.28799999999998</v>
      </c>
      <c r="L966" s="891">
        <f>SUM(L913:L965)</f>
        <v>193.21127398</v>
      </c>
      <c r="M966" s="882"/>
    </row>
    <row r="967" spans="1:13" ht="12.75">
      <c r="A967" s="882"/>
      <c r="B967" s="882"/>
      <c r="C967" s="882"/>
      <c r="D967" s="882"/>
      <c r="E967" s="883" t="s">
        <v>58</v>
      </c>
      <c r="F967" s="883" t="s">
        <v>59</v>
      </c>
      <c r="G967" s="883" t="s">
        <v>2955</v>
      </c>
      <c r="H967" s="883" t="s">
        <v>2063</v>
      </c>
      <c r="I967" s="883" t="s">
        <v>2538</v>
      </c>
      <c r="J967" s="885">
        <v>0</v>
      </c>
      <c r="K967" s="885">
        <v>0.508</v>
      </c>
      <c r="L967" s="886">
        <v>0</v>
      </c>
      <c r="M967" s="882"/>
    </row>
    <row r="968" spans="1:13" ht="12.75">
      <c r="A968" s="882"/>
      <c r="B968" s="882"/>
      <c r="C968" s="882"/>
      <c r="D968" s="882"/>
      <c r="E968" s="883" t="s">
        <v>58</v>
      </c>
      <c r="F968" s="883" t="s">
        <v>59</v>
      </c>
      <c r="G968" s="883" t="s">
        <v>2955</v>
      </c>
      <c r="H968" s="883" t="s">
        <v>2063</v>
      </c>
      <c r="I968" s="883" t="s">
        <v>2564</v>
      </c>
      <c r="J968" s="885">
        <v>0</v>
      </c>
      <c r="K968" s="885">
        <v>9.641</v>
      </c>
      <c r="L968" s="886">
        <v>0</v>
      </c>
      <c r="M968" s="882"/>
    </row>
    <row r="969" spans="1:13" ht="12.75">
      <c r="A969" s="882"/>
      <c r="B969" s="882"/>
      <c r="C969" s="882"/>
      <c r="D969" s="882"/>
      <c r="E969" s="883" t="s">
        <v>60</v>
      </c>
      <c r="F969" s="883" t="s">
        <v>61</v>
      </c>
      <c r="G969" s="883" t="s">
        <v>2469</v>
      </c>
      <c r="H969" s="883" t="s">
        <v>2063</v>
      </c>
      <c r="I969" s="883" t="s">
        <v>2897</v>
      </c>
      <c r="J969" s="885">
        <v>0</v>
      </c>
      <c r="K969" s="885">
        <v>0</v>
      </c>
      <c r="L969" s="886">
        <v>14.85091679</v>
      </c>
      <c r="M969" s="882"/>
    </row>
    <row r="970" spans="1:13" ht="12.75">
      <c r="A970" s="882"/>
      <c r="B970" s="882"/>
      <c r="C970" s="882"/>
      <c r="D970" s="882"/>
      <c r="E970" s="883" t="s">
        <v>60</v>
      </c>
      <c r="F970" s="883" t="s">
        <v>61</v>
      </c>
      <c r="G970" s="883" t="s">
        <v>2469</v>
      </c>
      <c r="H970" s="883" t="s">
        <v>2063</v>
      </c>
      <c r="I970" s="883" t="s">
        <v>2627</v>
      </c>
      <c r="J970" s="885">
        <v>0</v>
      </c>
      <c r="K970" s="885">
        <v>0</v>
      </c>
      <c r="L970" s="886">
        <v>45.2805698</v>
      </c>
      <c r="M970" s="882"/>
    </row>
    <row r="971" spans="1:13" ht="12.75">
      <c r="A971" s="882"/>
      <c r="B971" s="882"/>
      <c r="C971" s="882"/>
      <c r="D971" s="882"/>
      <c r="E971" s="883" t="s">
        <v>62</v>
      </c>
      <c r="F971" s="883" t="s">
        <v>63</v>
      </c>
      <c r="G971" s="883" t="s">
        <v>2469</v>
      </c>
      <c r="H971" s="883" t="s">
        <v>2063</v>
      </c>
      <c r="I971" s="883" t="s">
        <v>2538</v>
      </c>
      <c r="J971" s="884">
        <v>21.875</v>
      </c>
      <c r="K971" s="885">
        <v>0</v>
      </c>
      <c r="L971" s="886">
        <v>0</v>
      </c>
      <c r="M971" s="882"/>
    </row>
    <row r="972" spans="1:13" ht="12.75">
      <c r="A972" s="882"/>
      <c r="B972" s="882"/>
      <c r="C972" s="882"/>
      <c r="D972" s="882"/>
      <c r="E972" s="883" t="s">
        <v>62</v>
      </c>
      <c r="F972" s="883" t="s">
        <v>63</v>
      </c>
      <c r="G972" s="883" t="s">
        <v>2469</v>
      </c>
      <c r="H972" s="883" t="s">
        <v>2063</v>
      </c>
      <c r="I972" s="883" t="s">
        <v>2897</v>
      </c>
      <c r="J972" s="885">
        <v>0</v>
      </c>
      <c r="K972" s="885">
        <v>0</v>
      </c>
      <c r="L972" s="886">
        <v>16.17498516</v>
      </c>
      <c r="M972" s="882"/>
    </row>
    <row r="973" spans="1:13" ht="12.75">
      <c r="A973" s="882"/>
      <c r="B973" s="882"/>
      <c r="C973" s="882"/>
      <c r="D973" s="882"/>
      <c r="E973" s="883" t="s">
        <v>62</v>
      </c>
      <c r="F973" s="883" t="s">
        <v>63</v>
      </c>
      <c r="G973" s="883" t="s">
        <v>2469</v>
      </c>
      <c r="H973" s="883" t="s">
        <v>2063</v>
      </c>
      <c r="I973" s="883" t="s">
        <v>2627</v>
      </c>
      <c r="J973" s="885">
        <v>0</v>
      </c>
      <c r="K973" s="885">
        <v>0</v>
      </c>
      <c r="L973" s="886">
        <v>16.04563268</v>
      </c>
      <c r="M973" s="882"/>
    </row>
    <row r="974" spans="1:13" ht="12.75">
      <c r="A974" s="882"/>
      <c r="B974" s="882"/>
      <c r="C974" s="882"/>
      <c r="D974" s="882"/>
      <c r="E974" s="883" t="s">
        <v>64</v>
      </c>
      <c r="F974" s="883" t="s">
        <v>65</v>
      </c>
      <c r="G974" s="883" t="s">
        <v>2955</v>
      </c>
      <c r="H974" s="883" t="s">
        <v>2543</v>
      </c>
      <c r="I974" s="883" t="s">
        <v>2538</v>
      </c>
      <c r="J974" s="884">
        <v>30</v>
      </c>
      <c r="K974" s="885">
        <v>0</v>
      </c>
      <c r="L974" s="886">
        <v>0</v>
      </c>
      <c r="M974" s="882"/>
    </row>
    <row r="975" spans="1:13" ht="12.75">
      <c r="A975" s="882"/>
      <c r="B975" s="882"/>
      <c r="C975" s="882"/>
      <c r="D975" s="882"/>
      <c r="E975" s="883" t="s">
        <v>66</v>
      </c>
      <c r="F975" s="883" t="s">
        <v>67</v>
      </c>
      <c r="G975" s="883" t="s">
        <v>2469</v>
      </c>
      <c r="H975" s="883" t="s">
        <v>2063</v>
      </c>
      <c r="I975" s="883" t="s">
        <v>2841</v>
      </c>
      <c r="J975" s="884">
        <v>3.5</v>
      </c>
      <c r="K975" s="885">
        <v>0</v>
      </c>
      <c r="L975" s="886">
        <v>0</v>
      </c>
      <c r="M975" s="882"/>
    </row>
    <row r="976" spans="1:13" ht="12.75">
      <c r="A976" s="882"/>
      <c r="B976" s="882"/>
      <c r="C976" s="882"/>
      <c r="D976" s="882"/>
      <c r="E976" s="883" t="s">
        <v>66</v>
      </c>
      <c r="F976" s="883" t="s">
        <v>67</v>
      </c>
      <c r="G976" s="883" t="s">
        <v>2469</v>
      </c>
      <c r="H976" s="883" t="s">
        <v>2063</v>
      </c>
      <c r="I976" s="883" t="s">
        <v>2538</v>
      </c>
      <c r="J976" s="884">
        <v>31.5</v>
      </c>
      <c r="K976" s="885">
        <v>0</v>
      </c>
      <c r="L976" s="886">
        <v>0</v>
      </c>
      <c r="M976" s="882"/>
    </row>
    <row r="977" spans="1:13" ht="12.75">
      <c r="A977" s="882"/>
      <c r="B977" s="882"/>
      <c r="C977" s="882"/>
      <c r="D977" s="882"/>
      <c r="E977" s="883" t="s">
        <v>68</v>
      </c>
      <c r="F977" s="883" t="s">
        <v>69</v>
      </c>
      <c r="G977" s="883" t="s">
        <v>2469</v>
      </c>
      <c r="H977" s="883" t="s">
        <v>2063</v>
      </c>
      <c r="I977" s="883" t="s">
        <v>2538</v>
      </c>
      <c r="J977" s="884">
        <v>40.784</v>
      </c>
      <c r="K977" s="885">
        <v>36.724</v>
      </c>
      <c r="L977" s="886">
        <v>36.72231159</v>
      </c>
      <c r="M977" s="882"/>
    </row>
    <row r="978" spans="1:13" ht="12.75">
      <c r="A978" s="882"/>
      <c r="B978" s="882"/>
      <c r="C978" s="882"/>
      <c r="D978" s="882"/>
      <c r="E978" s="883" t="s">
        <v>68</v>
      </c>
      <c r="F978" s="883" t="s">
        <v>69</v>
      </c>
      <c r="G978" s="883" t="s">
        <v>2469</v>
      </c>
      <c r="H978" s="883" t="s">
        <v>2063</v>
      </c>
      <c r="I978" s="883" t="s">
        <v>2841</v>
      </c>
      <c r="J978" s="885">
        <v>0</v>
      </c>
      <c r="K978" s="885">
        <v>4.064</v>
      </c>
      <c r="L978" s="886">
        <v>4.05886033</v>
      </c>
      <c r="M978" s="882"/>
    </row>
    <row r="979" spans="1:13" ht="12.75">
      <c r="A979" s="882"/>
      <c r="B979" s="882"/>
      <c r="C979" s="882"/>
      <c r="D979" s="882"/>
      <c r="E979" s="883" t="s">
        <v>70</v>
      </c>
      <c r="F979" s="883" t="s">
        <v>71</v>
      </c>
      <c r="G979" s="883" t="s">
        <v>2955</v>
      </c>
      <c r="H979" s="883" t="s">
        <v>2063</v>
      </c>
      <c r="I979" s="883" t="s">
        <v>2538</v>
      </c>
      <c r="J979" s="884">
        <v>0.156</v>
      </c>
      <c r="K979" s="885">
        <v>0.156</v>
      </c>
      <c r="L979" s="886">
        <v>0.12176595</v>
      </c>
      <c r="M979" s="882"/>
    </row>
    <row r="980" spans="1:13" ht="12.75">
      <c r="A980" s="882"/>
      <c r="B980" s="882"/>
      <c r="C980" s="882"/>
      <c r="D980" s="882"/>
      <c r="E980" s="883" t="s">
        <v>70</v>
      </c>
      <c r="F980" s="883" t="s">
        <v>71</v>
      </c>
      <c r="G980" s="883" t="s">
        <v>2955</v>
      </c>
      <c r="H980" s="883" t="s">
        <v>2063</v>
      </c>
      <c r="I980" s="883" t="s">
        <v>72</v>
      </c>
      <c r="J980" s="884">
        <v>0.88</v>
      </c>
      <c r="K980" s="885">
        <v>0.88</v>
      </c>
      <c r="L980" s="886">
        <v>0.69000705</v>
      </c>
      <c r="M980" s="882"/>
    </row>
    <row r="981" spans="1:13" ht="12.75">
      <c r="A981" s="882"/>
      <c r="B981" s="882"/>
      <c r="C981" s="882"/>
      <c r="D981" s="882"/>
      <c r="E981" s="883" t="s">
        <v>70</v>
      </c>
      <c r="F981" s="883" t="s">
        <v>71</v>
      </c>
      <c r="G981" s="883" t="s">
        <v>2955</v>
      </c>
      <c r="H981" s="883" t="s">
        <v>2063</v>
      </c>
      <c r="I981" s="883" t="s">
        <v>2627</v>
      </c>
      <c r="J981" s="885">
        <v>0</v>
      </c>
      <c r="K981" s="885">
        <v>0</v>
      </c>
      <c r="L981" s="886">
        <v>1.911</v>
      </c>
      <c r="M981" s="882"/>
    </row>
    <row r="982" spans="1:13" ht="12.75">
      <c r="A982" s="882"/>
      <c r="B982" s="882"/>
      <c r="C982" s="882"/>
      <c r="D982" s="882"/>
      <c r="E982" s="883" t="s">
        <v>70</v>
      </c>
      <c r="F982" s="883" t="s">
        <v>71</v>
      </c>
      <c r="G982" s="883" t="s">
        <v>2955</v>
      </c>
      <c r="H982" s="883" t="s">
        <v>2063</v>
      </c>
      <c r="I982" s="883" t="s">
        <v>73</v>
      </c>
      <c r="J982" s="885">
        <v>0</v>
      </c>
      <c r="K982" s="885">
        <v>0</v>
      </c>
      <c r="L982" s="886">
        <v>10.829</v>
      </c>
      <c r="M982" s="882"/>
    </row>
    <row r="983" spans="1:13" ht="12.75">
      <c r="A983" s="882"/>
      <c r="B983" s="882"/>
      <c r="C983" s="882"/>
      <c r="D983" s="882"/>
      <c r="E983" s="883" t="s">
        <v>74</v>
      </c>
      <c r="F983" s="883" t="s">
        <v>75</v>
      </c>
      <c r="G983" s="883" t="s">
        <v>2955</v>
      </c>
      <c r="H983" s="883" t="s">
        <v>2543</v>
      </c>
      <c r="I983" s="883" t="s">
        <v>2842</v>
      </c>
      <c r="J983" s="884">
        <v>46.334</v>
      </c>
      <c r="K983" s="885">
        <v>0</v>
      </c>
      <c r="L983" s="886">
        <v>0</v>
      </c>
      <c r="M983" s="882"/>
    </row>
    <row r="984" spans="1:13" ht="12.75">
      <c r="A984" s="882"/>
      <c r="B984" s="882"/>
      <c r="C984" s="882"/>
      <c r="D984" s="882"/>
      <c r="E984" s="883" t="s">
        <v>74</v>
      </c>
      <c r="F984" s="883" t="s">
        <v>75</v>
      </c>
      <c r="G984" s="883" t="s">
        <v>2955</v>
      </c>
      <c r="H984" s="883" t="s">
        <v>2543</v>
      </c>
      <c r="I984" s="883" t="s">
        <v>2564</v>
      </c>
      <c r="J984" s="884">
        <v>73.386</v>
      </c>
      <c r="K984" s="885">
        <v>0</v>
      </c>
      <c r="L984" s="886">
        <v>0</v>
      </c>
      <c r="M984" s="882"/>
    </row>
    <row r="985" spans="1:13" ht="12.75">
      <c r="A985" s="882"/>
      <c r="B985" s="882"/>
      <c r="C985" s="882"/>
      <c r="D985" s="882"/>
      <c r="E985" s="883" t="s">
        <v>76</v>
      </c>
      <c r="F985" s="883" t="s">
        <v>77</v>
      </c>
      <c r="G985" s="883" t="s">
        <v>2955</v>
      </c>
      <c r="H985" s="883" t="s">
        <v>2063</v>
      </c>
      <c r="I985" s="883" t="s">
        <v>2538</v>
      </c>
      <c r="J985" s="884">
        <v>0.076</v>
      </c>
      <c r="K985" s="885">
        <v>0.076</v>
      </c>
      <c r="L985" s="886">
        <v>0.07497</v>
      </c>
      <c r="M985" s="882"/>
    </row>
    <row r="986" spans="1:13" ht="12.75">
      <c r="A986" s="882"/>
      <c r="B986" s="882"/>
      <c r="C986" s="882"/>
      <c r="D986" s="882"/>
      <c r="E986" s="883" t="s">
        <v>76</v>
      </c>
      <c r="F986" s="883" t="s">
        <v>77</v>
      </c>
      <c r="G986" s="883" t="s">
        <v>2955</v>
      </c>
      <c r="H986" s="883" t="s">
        <v>2063</v>
      </c>
      <c r="I986" s="883" t="s">
        <v>72</v>
      </c>
      <c r="J986" s="884">
        <v>0.429</v>
      </c>
      <c r="K986" s="885">
        <v>0.429</v>
      </c>
      <c r="L986" s="886">
        <v>0.42483</v>
      </c>
      <c r="M986" s="882"/>
    </row>
    <row r="987" spans="1:13" ht="12.75">
      <c r="A987" s="882"/>
      <c r="B987" s="882"/>
      <c r="C987" s="882"/>
      <c r="D987" s="882"/>
      <c r="E987" s="883" t="s">
        <v>78</v>
      </c>
      <c r="F987" s="883" t="s">
        <v>79</v>
      </c>
      <c r="G987" s="883" t="s">
        <v>2955</v>
      </c>
      <c r="H987" s="883" t="s">
        <v>2543</v>
      </c>
      <c r="I987" s="883" t="s">
        <v>2564</v>
      </c>
      <c r="J987" s="884">
        <v>3.454</v>
      </c>
      <c r="K987" s="885">
        <v>0</v>
      </c>
      <c r="L987" s="886">
        <v>0</v>
      </c>
      <c r="M987" s="882"/>
    </row>
    <row r="988" spans="1:13" ht="12.75">
      <c r="A988" s="882"/>
      <c r="B988" s="882"/>
      <c r="C988" s="882"/>
      <c r="D988" s="882"/>
      <c r="E988" s="883" t="s">
        <v>78</v>
      </c>
      <c r="F988" s="883" t="s">
        <v>79</v>
      </c>
      <c r="G988" s="883" t="s">
        <v>2955</v>
      </c>
      <c r="H988" s="883" t="s">
        <v>2543</v>
      </c>
      <c r="I988" s="883" t="s">
        <v>2538</v>
      </c>
      <c r="J988" s="884">
        <v>1.151</v>
      </c>
      <c r="K988" s="885">
        <v>0</v>
      </c>
      <c r="L988" s="886">
        <v>0</v>
      </c>
      <c r="M988" s="882"/>
    </row>
    <row r="989" spans="1:13" ht="12.75">
      <c r="A989" s="882"/>
      <c r="B989" s="882"/>
      <c r="C989" s="882"/>
      <c r="D989" s="882"/>
      <c r="E989" s="883" t="s">
        <v>80</v>
      </c>
      <c r="F989" s="883" t="s">
        <v>81</v>
      </c>
      <c r="G989" s="883" t="s">
        <v>2469</v>
      </c>
      <c r="H989" s="883" t="s">
        <v>2063</v>
      </c>
      <c r="I989" s="883" t="s">
        <v>2538</v>
      </c>
      <c r="J989" s="884">
        <v>4.304</v>
      </c>
      <c r="K989" s="885">
        <v>3.625</v>
      </c>
      <c r="L989" s="886">
        <v>3.625</v>
      </c>
      <c r="M989" s="882"/>
    </row>
    <row r="990" spans="1:13" ht="12.75">
      <c r="A990" s="882"/>
      <c r="B990" s="882"/>
      <c r="C990" s="882"/>
      <c r="D990" s="882"/>
      <c r="E990" s="883" t="s">
        <v>80</v>
      </c>
      <c r="F990" s="883" t="s">
        <v>81</v>
      </c>
      <c r="G990" s="883" t="s">
        <v>2469</v>
      </c>
      <c r="H990" s="883" t="s">
        <v>2063</v>
      </c>
      <c r="I990" s="883" t="s">
        <v>2564</v>
      </c>
      <c r="J990" s="884">
        <v>12.912</v>
      </c>
      <c r="K990" s="885">
        <v>0</v>
      </c>
      <c r="L990" s="886">
        <v>0</v>
      </c>
      <c r="M990" s="882"/>
    </row>
    <row r="991" spans="1:13" ht="12.75">
      <c r="A991" s="882"/>
      <c r="B991" s="882"/>
      <c r="C991" s="882"/>
      <c r="D991" s="882"/>
      <c r="E991" s="883" t="s">
        <v>80</v>
      </c>
      <c r="F991" s="883" t="s">
        <v>81</v>
      </c>
      <c r="G991" s="883" t="s">
        <v>2469</v>
      </c>
      <c r="H991" s="883" t="s">
        <v>2063</v>
      </c>
      <c r="I991" s="883" t="s">
        <v>1079</v>
      </c>
      <c r="J991" s="885">
        <v>0</v>
      </c>
      <c r="K991" s="885">
        <v>0</v>
      </c>
      <c r="L991" s="886">
        <v>10.875</v>
      </c>
      <c r="M991" s="882"/>
    </row>
    <row r="992" spans="1:13" ht="12.75">
      <c r="A992" s="882"/>
      <c r="B992" s="882"/>
      <c r="C992" s="882"/>
      <c r="D992" s="882"/>
      <c r="E992" s="883" t="s">
        <v>82</v>
      </c>
      <c r="F992" s="883" t="s">
        <v>83</v>
      </c>
      <c r="G992" s="883" t="s">
        <v>2469</v>
      </c>
      <c r="H992" s="883" t="s">
        <v>2543</v>
      </c>
      <c r="I992" s="883" t="s">
        <v>2564</v>
      </c>
      <c r="J992" s="884">
        <v>9.641</v>
      </c>
      <c r="K992" s="885">
        <v>0</v>
      </c>
      <c r="L992" s="886">
        <v>0</v>
      </c>
      <c r="M992" s="882"/>
    </row>
    <row r="993" spans="1:13" ht="12.75">
      <c r="A993" s="882"/>
      <c r="B993" s="882"/>
      <c r="C993" s="882"/>
      <c r="D993" s="882"/>
      <c r="E993" s="883" t="s">
        <v>82</v>
      </c>
      <c r="F993" s="883" t="s">
        <v>83</v>
      </c>
      <c r="G993" s="883" t="s">
        <v>2469</v>
      </c>
      <c r="H993" s="883" t="s">
        <v>2543</v>
      </c>
      <c r="I993" s="883" t="s">
        <v>2538</v>
      </c>
      <c r="J993" s="884">
        <v>0.508</v>
      </c>
      <c r="K993" s="885">
        <v>0</v>
      </c>
      <c r="L993" s="886">
        <v>0</v>
      </c>
      <c r="M993" s="882"/>
    </row>
    <row r="994" spans="1:13" ht="12.75">
      <c r="A994" s="882"/>
      <c r="B994" s="882"/>
      <c r="C994" s="882"/>
      <c r="D994" s="882"/>
      <c r="E994" s="883" t="s">
        <v>84</v>
      </c>
      <c r="F994" s="883" t="s">
        <v>85</v>
      </c>
      <c r="G994" s="883" t="s">
        <v>2955</v>
      </c>
      <c r="H994" s="883" t="s">
        <v>2063</v>
      </c>
      <c r="I994" s="883" t="s">
        <v>2538</v>
      </c>
      <c r="J994" s="884">
        <v>13</v>
      </c>
      <c r="K994" s="885">
        <v>7.62</v>
      </c>
      <c r="L994" s="886">
        <v>7.61922</v>
      </c>
      <c r="M994" s="882"/>
    </row>
    <row r="995" spans="1:13" ht="12.75">
      <c r="A995" s="882"/>
      <c r="B995" s="882"/>
      <c r="C995" s="882"/>
      <c r="D995" s="882"/>
      <c r="E995" s="883" t="s">
        <v>86</v>
      </c>
      <c r="F995" s="883" t="s">
        <v>87</v>
      </c>
      <c r="G995" s="883" t="s">
        <v>2955</v>
      </c>
      <c r="H995" s="883" t="s">
        <v>2063</v>
      </c>
      <c r="I995" s="883" t="s">
        <v>2538</v>
      </c>
      <c r="J995" s="884">
        <v>6</v>
      </c>
      <c r="K995" s="885">
        <v>4.499</v>
      </c>
      <c r="L995" s="886">
        <v>4.4974376</v>
      </c>
      <c r="M995" s="882"/>
    </row>
    <row r="996" spans="1:13" ht="12.75">
      <c r="A996" s="882"/>
      <c r="B996" s="882"/>
      <c r="C996" s="882"/>
      <c r="D996" s="882"/>
      <c r="E996" s="883" t="s">
        <v>88</v>
      </c>
      <c r="F996" s="883" t="s">
        <v>2954</v>
      </c>
      <c r="G996" s="883" t="s">
        <v>2469</v>
      </c>
      <c r="H996" s="883" t="s">
        <v>2543</v>
      </c>
      <c r="I996" s="883" t="s">
        <v>2538</v>
      </c>
      <c r="J996" s="884">
        <v>30</v>
      </c>
      <c r="K996" s="885">
        <v>0</v>
      </c>
      <c r="L996" s="886">
        <v>0</v>
      </c>
      <c r="M996" s="882"/>
    </row>
    <row r="997" spans="1:13" ht="12.75">
      <c r="A997" s="882"/>
      <c r="B997" s="882"/>
      <c r="C997" s="882"/>
      <c r="D997" s="882"/>
      <c r="E997" s="883" t="s">
        <v>89</v>
      </c>
      <c r="F997" s="883" t="s">
        <v>90</v>
      </c>
      <c r="G997" s="883" t="s">
        <v>91</v>
      </c>
      <c r="H997" s="883" t="s">
        <v>2063</v>
      </c>
      <c r="I997" s="883" t="s">
        <v>2538</v>
      </c>
      <c r="J997" s="885">
        <v>0</v>
      </c>
      <c r="K997" s="885">
        <v>0.051</v>
      </c>
      <c r="L997" s="886">
        <v>0.0506928</v>
      </c>
      <c r="M997" s="882"/>
    </row>
    <row r="998" spans="1:13" ht="12.75">
      <c r="A998" s="882"/>
      <c r="B998" s="882"/>
      <c r="C998" s="882"/>
      <c r="D998" s="882"/>
      <c r="E998" s="883" t="s">
        <v>92</v>
      </c>
      <c r="F998" s="883" t="s">
        <v>90</v>
      </c>
      <c r="G998" s="883" t="s">
        <v>93</v>
      </c>
      <c r="H998" s="883" t="s">
        <v>2063</v>
      </c>
      <c r="I998" s="883" t="s">
        <v>2538</v>
      </c>
      <c r="J998" s="885">
        <v>0</v>
      </c>
      <c r="K998" s="885">
        <v>0.046</v>
      </c>
      <c r="L998" s="886">
        <v>0.04583765</v>
      </c>
      <c r="M998" s="882"/>
    </row>
    <row r="999" spans="1:13" ht="12.75">
      <c r="A999" s="882"/>
      <c r="B999" s="882"/>
      <c r="C999" s="882"/>
      <c r="D999" s="882"/>
      <c r="E999" s="883" t="s">
        <v>94</v>
      </c>
      <c r="F999" s="883" t="s">
        <v>90</v>
      </c>
      <c r="G999" s="883" t="s">
        <v>95</v>
      </c>
      <c r="H999" s="883" t="s">
        <v>2063</v>
      </c>
      <c r="I999" s="883" t="s">
        <v>2538</v>
      </c>
      <c r="J999" s="885">
        <v>0</v>
      </c>
      <c r="K999" s="885">
        <v>0.051</v>
      </c>
      <c r="L999" s="886">
        <v>0.05068749</v>
      </c>
      <c r="M999" s="882"/>
    </row>
    <row r="1000" spans="1:13" ht="12.75">
      <c r="A1000" s="882"/>
      <c r="B1000" s="882"/>
      <c r="C1000" s="882"/>
      <c r="D1000" s="882"/>
      <c r="E1000" s="883" t="s">
        <v>96</v>
      </c>
      <c r="F1000" s="883" t="s">
        <v>97</v>
      </c>
      <c r="G1000" s="883" t="s">
        <v>2955</v>
      </c>
      <c r="H1000" s="883" t="s">
        <v>2063</v>
      </c>
      <c r="I1000" s="883" t="s">
        <v>2564</v>
      </c>
      <c r="J1000" s="885">
        <v>0</v>
      </c>
      <c r="K1000" s="885">
        <v>1.036</v>
      </c>
      <c r="L1000" s="886">
        <v>0</v>
      </c>
      <c r="M1000" s="882"/>
    </row>
    <row r="1001" spans="1:13" ht="12.75">
      <c r="A1001" s="882"/>
      <c r="B1001" s="882"/>
      <c r="C1001" s="882"/>
      <c r="D1001" s="882"/>
      <c r="E1001" s="883" t="s">
        <v>96</v>
      </c>
      <c r="F1001" s="883" t="s">
        <v>97</v>
      </c>
      <c r="G1001" s="883" t="s">
        <v>2955</v>
      </c>
      <c r="H1001" s="883" t="s">
        <v>2063</v>
      </c>
      <c r="I1001" s="883" t="s">
        <v>2538</v>
      </c>
      <c r="J1001" s="885">
        <v>0</v>
      </c>
      <c r="K1001" s="885">
        <v>0.413</v>
      </c>
      <c r="L1001" s="886">
        <v>0</v>
      </c>
      <c r="M1001" s="882"/>
    </row>
    <row r="1002" spans="1:13" ht="12.75">
      <c r="A1002" s="882"/>
      <c r="B1002" s="882"/>
      <c r="C1002" s="882"/>
      <c r="D1002" s="882"/>
      <c r="E1002" s="883" t="s">
        <v>98</v>
      </c>
      <c r="F1002" s="883" t="s">
        <v>99</v>
      </c>
      <c r="G1002" s="883" t="s">
        <v>2955</v>
      </c>
      <c r="H1002" s="883" t="s">
        <v>2063</v>
      </c>
      <c r="I1002" s="883" t="s">
        <v>2841</v>
      </c>
      <c r="J1002" s="885">
        <v>0</v>
      </c>
      <c r="K1002" s="885">
        <v>0.042</v>
      </c>
      <c r="L1002" s="886">
        <v>0.0413882</v>
      </c>
      <c r="M1002" s="882"/>
    </row>
    <row r="1003" spans="1:13" ht="12.75">
      <c r="A1003" s="882"/>
      <c r="B1003" s="882"/>
      <c r="C1003" s="882"/>
      <c r="D1003" s="882"/>
      <c r="E1003" s="883" t="s">
        <v>98</v>
      </c>
      <c r="F1003" s="883" t="s">
        <v>99</v>
      </c>
      <c r="G1003" s="883" t="s">
        <v>2955</v>
      </c>
      <c r="H1003" s="883" t="s">
        <v>2063</v>
      </c>
      <c r="I1003" s="883" t="s">
        <v>2538</v>
      </c>
      <c r="J1003" s="885">
        <v>0</v>
      </c>
      <c r="K1003" s="885">
        <v>0.109</v>
      </c>
      <c r="L1003" s="886">
        <v>0.1080044</v>
      </c>
      <c r="M1003" s="882"/>
    </row>
    <row r="1004" spans="1:13" ht="12.75">
      <c r="A1004" s="882"/>
      <c r="B1004" s="882"/>
      <c r="C1004" s="882"/>
      <c r="D1004" s="882"/>
      <c r="E1004" s="883" t="s">
        <v>100</v>
      </c>
      <c r="F1004" s="883" t="s">
        <v>101</v>
      </c>
      <c r="G1004" s="883" t="s">
        <v>91</v>
      </c>
      <c r="H1004" s="883" t="s">
        <v>2063</v>
      </c>
      <c r="I1004" s="883" t="s">
        <v>2538</v>
      </c>
      <c r="J1004" s="885">
        <v>0</v>
      </c>
      <c r="K1004" s="885">
        <v>0.188</v>
      </c>
      <c r="L1004" s="886">
        <v>0.187979</v>
      </c>
      <c r="M1004" s="882"/>
    </row>
    <row r="1005" spans="1:13" ht="12.75">
      <c r="A1005" s="882"/>
      <c r="B1005" s="882"/>
      <c r="C1005" s="882"/>
      <c r="D1005" s="882"/>
      <c r="E1005" s="883" t="s">
        <v>100</v>
      </c>
      <c r="F1005" s="883" t="s">
        <v>101</v>
      </c>
      <c r="G1005" s="883" t="s">
        <v>91</v>
      </c>
      <c r="H1005" s="883" t="s">
        <v>2063</v>
      </c>
      <c r="I1005" s="883" t="s">
        <v>2841</v>
      </c>
      <c r="J1005" s="885">
        <v>0</v>
      </c>
      <c r="K1005" s="885">
        <v>0.012</v>
      </c>
      <c r="L1005" s="886">
        <v>0.010705</v>
      </c>
      <c r="M1005" s="882"/>
    </row>
    <row r="1006" spans="1:13" ht="12.75">
      <c r="A1006" s="882"/>
      <c r="B1006" s="882"/>
      <c r="C1006" s="882"/>
      <c r="D1006" s="882"/>
      <c r="E1006" s="883" t="s">
        <v>102</v>
      </c>
      <c r="F1006" s="883" t="s">
        <v>103</v>
      </c>
      <c r="G1006" s="883" t="s">
        <v>2955</v>
      </c>
      <c r="H1006" s="883" t="s">
        <v>2063</v>
      </c>
      <c r="I1006" s="883" t="s">
        <v>2627</v>
      </c>
      <c r="J1006" s="885">
        <v>0</v>
      </c>
      <c r="K1006" s="885">
        <v>0</v>
      </c>
      <c r="L1006" s="886">
        <v>0.0646943</v>
      </c>
      <c r="M1006" s="882"/>
    </row>
    <row r="1007" spans="1:13" ht="12.75">
      <c r="A1007" s="882"/>
      <c r="B1007" s="882"/>
      <c r="C1007" s="882"/>
      <c r="D1007" s="882"/>
      <c r="E1007" s="883" t="s">
        <v>102</v>
      </c>
      <c r="F1007" s="883" t="s">
        <v>103</v>
      </c>
      <c r="G1007" s="883" t="s">
        <v>2955</v>
      </c>
      <c r="H1007" s="883" t="s">
        <v>2063</v>
      </c>
      <c r="I1007" s="883" t="s">
        <v>2897</v>
      </c>
      <c r="J1007" s="885">
        <v>0</v>
      </c>
      <c r="K1007" s="885">
        <v>0</v>
      </c>
      <c r="L1007" s="886">
        <v>0.052281</v>
      </c>
      <c r="M1007" s="882"/>
    </row>
    <row r="1008" spans="1:13" ht="12.75">
      <c r="A1008" s="882"/>
      <c r="B1008" s="882"/>
      <c r="C1008" s="882"/>
      <c r="D1008" s="882"/>
      <c r="E1008" s="883" t="s">
        <v>104</v>
      </c>
      <c r="F1008" s="883" t="s">
        <v>105</v>
      </c>
      <c r="G1008" s="883" t="s">
        <v>95</v>
      </c>
      <c r="H1008" s="883" t="s">
        <v>2063</v>
      </c>
      <c r="I1008" s="883" t="s">
        <v>2538</v>
      </c>
      <c r="J1008" s="885">
        <v>0</v>
      </c>
      <c r="K1008" s="885">
        <v>0.167</v>
      </c>
      <c r="L1008" s="886">
        <v>0.166481</v>
      </c>
      <c r="M1008" s="882"/>
    </row>
    <row r="1009" spans="1:13" ht="12.75">
      <c r="A1009" s="882"/>
      <c r="B1009" s="882"/>
      <c r="C1009" s="882"/>
      <c r="D1009" s="882"/>
      <c r="E1009" s="883" t="s">
        <v>106</v>
      </c>
      <c r="F1009" s="883" t="s">
        <v>107</v>
      </c>
      <c r="G1009" s="883" t="s">
        <v>95</v>
      </c>
      <c r="H1009" s="883" t="s">
        <v>2063</v>
      </c>
      <c r="I1009" s="883" t="s">
        <v>2627</v>
      </c>
      <c r="J1009" s="885">
        <v>0</v>
      </c>
      <c r="K1009" s="885">
        <v>0</v>
      </c>
      <c r="L1009" s="886">
        <v>0.701029</v>
      </c>
      <c r="M1009" s="882"/>
    </row>
    <row r="1010" spans="1:13" ht="12.75">
      <c r="A1010" s="882"/>
      <c r="B1010" s="882"/>
      <c r="C1010" s="882"/>
      <c r="D1010" s="882"/>
      <c r="E1010" s="883" t="s">
        <v>108</v>
      </c>
      <c r="F1010" s="883" t="s">
        <v>109</v>
      </c>
      <c r="G1010" s="883" t="s">
        <v>110</v>
      </c>
      <c r="H1010" s="883" t="s">
        <v>2063</v>
      </c>
      <c r="I1010" s="883" t="s">
        <v>2842</v>
      </c>
      <c r="J1010" s="885">
        <v>0</v>
      </c>
      <c r="K1010" s="885">
        <v>1.396</v>
      </c>
      <c r="L1010" s="886">
        <v>1.39521648</v>
      </c>
      <c r="M1010" s="882"/>
    </row>
    <row r="1011" spans="1:13" ht="12.75">
      <c r="A1011" s="882"/>
      <c r="B1011" s="882"/>
      <c r="C1011" s="882"/>
      <c r="D1011" s="882"/>
      <c r="E1011" s="883" t="s">
        <v>111</v>
      </c>
      <c r="F1011" s="883" t="s">
        <v>112</v>
      </c>
      <c r="G1011" s="883" t="s">
        <v>2955</v>
      </c>
      <c r="H1011" s="883" t="s">
        <v>2063</v>
      </c>
      <c r="I1011" s="883" t="s">
        <v>2538</v>
      </c>
      <c r="J1011" s="885">
        <v>0</v>
      </c>
      <c r="K1011" s="885">
        <v>0.24</v>
      </c>
      <c r="L1011" s="886">
        <v>0.24</v>
      </c>
      <c r="M1011" s="882"/>
    </row>
    <row r="1012" spans="1:13" ht="12.75">
      <c r="A1012" s="882"/>
      <c r="B1012" s="882"/>
      <c r="C1012" s="882"/>
      <c r="D1012" s="882"/>
      <c r="E1012" s="883" t="s">
        <v>113</v>
      </c>
      <c r="F1012" s="883" t="s">
        <v>114</v>
      </c>
      <c r="G1012" s="883" t="s">
        <v>2955</v>
      </c>
      <c r="H1012" s="883" t="s">
        <v>2063</v>
      </c>
      <c r="I1012" s="883" t="s">
        <v>2538</v>
      </c>
      <c r="J1012" s="885">
        <v>0</v>
      </c>
      <c r="K1012" s="885">
        <v>2.369</v>
      </c>
      <c r="L1012" s="886">
        <v>2.368695</v>
      </c>
      <c r="M1012" s="882"/>
    </row>
    <row r="1013" spans="1:13" ht="12.75">
      <c r="A1013" s="882"/>
      <c r="B1013" s="882"/>
      <c r="C1013" s="882"/>
      <c r="D1013" s="882"/>
      <c r="E1013" s="883" t="s">
        <v>115</v>
      </c>
      <c r="F1013" s="883" t="s">
        <v>116</v>
      </c>
      <c r="G1013" s="883" t="s">
        <v>2955</v>
      </c>
      <c r="H1013" s="883" t="s">
        <v>2063</v>
      </c>
      <c r="I1013" s="883" t="s">
        <v>2538</v>
      </c>
      <c r="J1013" s="885">
        <v>0</v>
      </c>
      <c r="K1013" s="885">
        <v>2.243</v>
      </c>
      <c r="L1013" s="886">
        <v>2.24215516</v>
      </c>
      <c r="M1013" s="882"/>
    </row>
    <row r="1014" spans="1:13" ht="12.75">
      <c r="A1014" s="882"/>
      <c r="B1014" s="882"/>
      <c r="C1014" s="882"/>
      <c r="D1014" s="882"/>
      <c r="E1014" s="883" t="s">
        <v>117</v>
      </c>
      <c r="F1014" s="883" t="s">
        <v>118</v>
      </c>
      <c r="G1014" s="883" t="s">
        <v>2955</v>
      </c>
      <c r="H1014" s="883" t="s">
        <v>2063</v>
      </c>
      <c r="I1014" s="883" t="s">
        <v>2538</v>
      </c>
      <c r="J1014" s="885">
        <v>0</v>
      </c>
      <c r="K1014" s="885">
        <v>2.025</v>
      </c>
      <c r="L1014" s="886">
        <v>2.0242531</v>
      </c>
      <c r="M1014" s="882"/>
    </row>
    <row r="1015" spans="1:13" ht="12.75">
      <c r="A1015" s="882"/>
      <c r="B1015" s="882"/>
      <c r="C1015" s="882"/>
      <c r="D1015" s="882"/>
      <c r="E1015" s="883" t="s">
        <v>117</v>
      </c>
      <c r="F1015" s="883" t="s">
        <v>118</v>
      </c>
      <c r="G1015" s="883" t="s">
        <v>2955</v>
      </c>
      <c r="H1015" s="883" t="s">
        <v>2063</v>
      </c>
      <c r="I1015" s="883" t="s">
        <v>2841</v>
      </c>
      <c r="J1015" s="885">
        <v>0</v>
      </c>
      <c r="K1015" s="885">
        <v>0.345</v>
      </c>
      <c r="L1015" s="886">
        <v>0.3434971</v>
      </c>
      <c r="M1015" s="882"/>
    </row>
    <row r="1016" spans="1:13" ht="12.75">
      <c r="A1016" s="882"/>
      <c r="B1016" s="882"/>
      <c r="C1016" s="882"/>
      <c r="D1016" s="882"/>
      <c r="E1016" s="883" t="s">
        <v>119</v>
      </c>
      <c r="F1016" s="883" t="s">
        <v>120</v>
      </c>
      <c r="G1016" s="883" t="s">
        <v>121</v>
      </c>
      <c r="H1016" s="883" t="s">
        <v>2063</v>
      </c>
      <c r="I1016" s="883" t="s">
        <v>2842</v>
      </c>
      <c r="J1016" s="885">
        <v>0</v>
      </c>
      <c r="K1016" s="885">
        <v>0.151</v>
      </c>
      <c r="L1016" s="886">
        <v>0.144227</v>
      </c>
      <c r="M1016" s="882"/>
    </row>
    <row r="1017" spans="1:13" ht="12.75">
      <c r="A1017" s="882"/>
      <c r="B1017" s="882"/>
      <c r="C1017" s="882"/>
      <c r="D1017" s="882"/>
      <c r="E1017" s="883" t="s">
        <v>122</v>
      </c>
      <c r="F1017" s="883" t="s">
        <v>123</v>
      </c>
      <c r="G1017" s="883" t="s">
        <v>2955</v>
      </c>
      <c r="H1017" s="883" t="s">
        <v>2063</v>
      </c>
      <c r="I1017" s="883" t="s">
        <v>2538</v>
      </c>
      <c r="J1017" s="885">
        <v>0</v>
      </c>
      <c r="K1017" s="885">
        <v>0.287</v>
      </c>
      <c r="L1017" s="886">
        <v>0.2861474</v>
      </c>
      <c r="M1017" s="882"/>
    </row>
    <row r="1018" spans="1:13" ht="12.75">
      <c r="A1018" s="882"/>
      <c r="B1018" s="882"/>
      <c r="C1018" s="882"/>
      <c r="D1018" s="882"/>
      <c r="E1018" s="883" t="s">
        <v>124</v>
      </c>
      <c r="F1018" s="883" t="s">
        <v>125</v>
      </c>
      <c r="G1018" s="883" t="s">
        <v>95</v>
      </c>
      <c r="H1018" s="883" t="s">
        <v>2063</v>
      </c>
      <c r="I1018" s="883" t="s">
        <v>2538</v>
      </c>
      <c r="J1018" s="885">
        <v>0</v>
      </c>
      <c r="K1018" s="885">
        <v>2.285</v>
      </c>
      <c r="L1018" s="886">
        <v>2.2847519</v>
      </c>
      <c r="M1018" s="882"/>
    </row>
    <row r="1019" spans="1:13" ht="12.75">
      <c r="A1019" s="882"/>
      <c r="B1019" s="882"/>
      <c r="C1019" s="882"/>
      <c r="D1019" s="882"/>
      <c r="E1019" s="883" t="s">
        <v>124</v>
      </c>
      <c r="F1019" s="883" t="s">
        <v>125</v>
      </c>
      <c r="G1019" s="883" t="s">
        <v>95</v>
      </c>
      <c r="H1019" s="883" t="s">
        <v>2063</v>
      </c>
      <c r="I1019" s="883" t="s">
        <v>2627</v>
      </c>
      <c r="J1019" s="885">
        <v>0</v>
      </c>
      <c r="K1019" s="885">
        <v>0</v>
      </c>
      <c r="L1019" s="886">
        <v>0.005</v>
      </c>
      <c r="M1019" s="882"/>
    </row>
    <row r="1020" spans="1:13" ht="12.75">
      <c r="A1020" s="882"/>
      <c r="B1020" s="882"/>
      <c r="C1020" s="882"/>
      <c r="D1020" s="882"/>
      <c r="E1020" s="883" t="s">
        <v>126</v>
      </c>
      <c r="F1020" s="883" t="s">
        <v>127</v>
      </c>
      <c r="G1020" s="883" t="s">
        <v>2955</v>
      </c>
      <c r="H1020" s="883" t="s">
        <v>2063</v>
      </c>
      <c r="I1020" s="883" t="s">
        <v>2897</v>
      </c>
      <c r="J1020" s="885">
        <v>0</v>
      </c>
      <c r="K1020" s="885">
        <v>0</v>
      </c>
      <c r="L1020" s="886">
        <v>3.348185</v>
      </c>
      <c r="M1020" s="882"/>
    </row>
    <row r="1021" spans="1:13" ht="12.75">
      <c r="A1021" s="882"/>
      <c r="B1021" s="882"/>
      <c r="C1021" s="882"/>
      <c r="D1021" s="882"/>
      <c r="E1021" s="883" t="s">
        <v>126</v>
      </c>
      <c r="F1021" s="883" t="s">
        <v>127</v>
      </c>
      <c r="G1021" s="883" t="s">
        <v>2955</v>
      </c>
      <c r="H1021" s="883" t="s">
        <v>2063</v>
      </c>
      <c r="I1021" s="883" t="s">
        <v>2627</v>
      </c>
      <c r="J1021" s="885">
        <v>0</v>
      </c>
      <c r="K1021" s="885">
        <v>0</v>
      </c>
      <c r="L1021" s="886">
        <v>0.767657</v>
      </c>
      <c r="M1021" s="882"/>
    </row>
    <row r="1022" spans="1:13" ht="12.75">
      <c r="A1022" s="882"/>
      <c r="B1022" s="882"/>
      <c r="C1022" s="882"/>
      <c r="D1022" s="882"/>
      <c r="E1022" s="883" t="s">
        <v>128</v>
      </c>
      <c r="F1022" s="883" t="s">
        <v>1133</v>
      </c>
      <c r="G1022" s="883" t="s">
        <v>2955</v>
      </c>
      <c r="H1022" s="883" t="s">
        <v>2063</v>
      </c>
      <c r="I1022" s="883" t="s">
        <v>2538</v>
      </c>
      <c r="J1022" s="885">
        <v>0</v>
      </c>
      <c r="K1022" s="885">
        <v>1.446</v>
      </c>
      <c r="L1022" s="886">
        <v>1.445358</v>
      </c>
      <c r="M1022" s="882"/>
    </row>
    <row r="1023" spans="1:13" ht="12.75">
      <c r="A1023" s="882"/>
      <c r="B1023" s="882"/>
      <c r="C1023" s="882"/>
      <c r="D1023" s="882"/>
      <c r="E1023" s="883" t="s">
        <v>128</v>
      </c>
      <c r="F1023" s="883" t="s">
        <v>1133</v>
      </c>
      <c r="G1023" s="883" t="s">
        <v>2955</v>
      </c>
      <c r="H1023" s="883" t="s">
        <v>2063</v>
      </c>
      <c r="I1023" s="883" t="s">
        <v>2627</v>
      </c>
      <c r="J1023" s="885">
        <v>0</v>
      </c>
      <c r="K1023" s="885">
        <v>0</v>
      </c>
      <c r="L1023" s="886">
        <v>0.04</v>
      </c>
      <c r="M1023" s="882"/>
    </row>
    <row r="1024" spans="1:13" ht="12.75">
      <c r="A1024" s="882"/>
      <c r="B1024" s="882"/>
      <c r="C1024" s="882"/>
      <c r="D1024" s="882"/>
      <c r="E1024" s="883" t="s">
        <v>129</v>
      </c>
      <c r="F1024" s="883" t="s">
        <v>1133</v>
      </c>
      <c r="G1024" s="883" t="s">
        <v>121</v>
      </c>
      <c r="H1024" s="883" t="s">
        <v>2063</v>
      </c>
      <c r="I1024" s="883" t="s">
        <v>2538</v>
      </c>
      <c r="J1024" s="885">
        <v>0</v>
      </c>
      <c r="K1024" s="885">
        <v>0.054</v>
      </c>
      <c r="L1024" s="886">
        <v>0.05355</v>
      </c>
      <c r="M1024" s="882"/>
    </row>
    <row r="1025" spans="1:13" ht="12.75">
      <c r="A1025" s="882"/>
      <c r="B1025" s="882"/>
      <c r="C1025" s="882"/>
      <c r="D1025" s="882"/>
      <c r="E1025" s="883" t="s">
        <v>130</v>
      </c>
      <c r="F1025" s="883" t="s">
        <v>131</v>
      </c>
      <c r="G1025" s="883" t="s">
        <v>132</v>
      </c>
      <c r="H1025" s="883" t="s">
        <v>2063</v>
      </c>
      <c r="I1025" s="883" t="s">
        <v>2538</v>
      </c>
      <c r="J1025" s="885">
        <v>0</v>
      </c>
      <c r="K1025" s="885">
        <v>0.179</v>
      </c>
      <c r="L1025" s="886">
        <v>0.1785</v>
      </c>
      <c r="M1025" s="882"/>
    </row>
    <row r="1026" spans="1:13" ht="12.75">
      <c r="A1026" s="882"/>
      <c r="B1026" s="882"/>
      <c r="C1026" s="882"/>
      <c r="D1026" s="882"/>
      <c r="E1026" s="883" t="s">
        <v>133</v>
      </c>
      <c r="F1026" s="883" t="s">
        <v>134</v>
      </c>
      <c r="G1026" s="883" t="s">
        <v>2955</v>
      </c>
      <c r="H1026" s="883" t="s">
        <v>2063</v>
      </c>
      <c r="I1026" s="883" t="s">
        <v>2538</v>
      </c>
      <c r="J1026" s="885">
        <v>0</v>
      </c>
      <c r="K1026" s="885">
        <v>13.687</v>
      </c>
      <c r="L1026" s="886">
        <v>0</v>
      </c>
      <c r="M1026" s="882"/>
    </row>
    <row r="1027" spans="1:13" ht="12.75">
      <c r="A1027" s="882"/>
      <c r="B1027" s="882"/>
      <c r="C1027" s="882"/>
      <c r="D1027" s="882"/>
      <c r="E1027" s="883" t="s">
        <v>133</v>
      </c>
      <c r="F1027" s="883" t="s">
        <v>134</v>
      </c>
      <c r="G1027" s="883" t="s">
        <v>2955</v>
      </c>
      <c r="H1027" s="883" t="s">
        <v>2063</v>
      </c>
      <c r="I1027" s="883" t="s">
        <v>2841</v>
      </c>
      <c r="J1027" s="885">
        <v>0</v>
      </c>
      <c r="K1027" s="885">
        <v>1.981</v>
      </c>
      <c r="L1027" s="886">
        <v>1.85130918</v>
      </c>
      <c r="M1027" s="882"/>
    </row>
    <row r="1028" spans="1:13" ht="12.75">
      <c r="A1028" s="882"/>
      <c r="B1028" s="882"/>
      <c r="C1028" s="882"/>
      <c r="D1028" s="882"/>
      <c r="E1028" s="883" t="s">
        <v>135</v>
      </c>
      <c r="F1028" s="883" t="s">
        <v>136</v>
      </c>
      <c r="G1028" s="883" t="s">
        <v>2955</v>
      </c>
      <c r="H1028" s="883" t="s">
        <v>2063</v>
      </c>
      <c r="I1028" s="883" t="s">
        <v>2538</v>
      </c>
      <c r="J1028" s="885">
        <v>0</v>
      </c>
      <c r="K1028" s="885">
        <v>0.142</v>
      </c>
      <c r="L1028" s="886">
        <v>0.1418073</v>
      </c>
      <c r="M1028" s="882"/>
    </row>
    <row r="1029" spans="1:13" ht="12.75">
      <c r="A1029" s="882"/>
      <c r="B1029" s="882"/>
      <c r="C1029" s="882"/>
      <c r="D1029" s="882"/>
      <c r="E1029" s="883" t="s">
        <v>135</v>
      </c>
      <c r="F1029" s="883" t="s">
        <v>136</v>
      </c>
      <c r="G1029" s="883" t="s">
        <v>2955</v>
      </c>
      <c r="H1029" s="883" t="s">
        <v>2063</v>
      </c>
      <c r="I1029" s="883" t="s">
        <v>2627</v>
      </c>
      <c r="J1029" s="885">
        <v>0</v>
      </c>
      <c r="K1029" s="885">
        <v>0</v>
      </c>
      <c r="L1029" s="886">
        <v>1.5</v>
      </c>
      <c r="M1029" s="882"/>
    </row>
    <row r="1030" spans="1:13" ht="12.75">
      <c r="A1030" s="882"/>
      <c r="B1030" s="882"/>
      <c r="C1030" s="882"/>
      <c r="D1030" s="882"/>
      <c r="E1030" s="883" t="s">
        <v>137</v>
      </c>
      <c r="F1030" s="883" t="s">
        <v>138</v>
      </c>
      <c r="G1030" s="883" t="s">
        <v>121</v>
      </c>
      <c r="H1030" s="883" t="s">
        <v>2063</v>
      </c>
      <c r="I1030" s="883" t="s">
        <v>2538</v>
      </c>
      <c r="J1030" s="885">
        <v>0</v>
      </c>
      <c r="K1030" s="885">
        <v>0.49</v>
      </c>
      <c r="L1030" s="886">
        <v>0.49</v>
      </c>
      <c r="M1030" s="882"/>
    </row>
    <row r="1031" spans="1:13" ht="12.75">
      <c r="A1031" s="882"/>
      <c r="B1031" s="882"/>
      <c r="C1031" s="882"/>
      <c r="D1031" s="882"/>
      <c r="E1031" s="883" t="s">
        <v>137</v>
      </c>
      <c r="F1031" s="883" t="s">
        <v>138</v>
      </c>
      <c r="G1031" s="883" t="s">
        <v>121</v>
      </c>
      <c r="H1031" s="883" t="s">
        <v>2063</v>
      </c>
      <c r="I1031" s="883" t="s">
        <v>2841</v>
      </c>
      <c r="J1031" s="885">
        <v>0</v>
      </c>
      <c r="K1031" s="885">
        <v>0.039</v>
      </c>
      <c r="L1031" s="886">
        <v>0.039</v>
      </c>
      <c r="M1031" s="882"/>
    </row>
    <row r="1032" spans="1:13" ht="12.75">
      <c r="A1032" s="882"/>
      <c r="B1032" s="882"/>
      <c r="C1032" s="882"/>
      <c r="D1032" s="882"/>
      <c r="E1032" s="883" t="s">
        <v>139</v>
      </c>
      <c r="F1032" s="883" t="s">
        <v>140</v>
      </c>
      <c r="G1032" s="883" t="s">
        <v>121</v>
      </c>
      <c r="H1032" s="883" t="s">
        <v>2063</v>
      </c>
      <c r="I1032" s="883" t="s">
        <v>2538</v>
      </c>
      <c r="J1032" s="885">
        <v>0</v>
      </c>
      <c r="K1032" s="885">
        <v>0.25</v>
      </c>
      <c r="L1032" s="886">
        <v>0.249186</v>
      </c>
      <c r="M1032" s="882"/>
    </row>
    <row r="1033" spans="1:13" ht="12.75">
      <c r="A1033" s="882"/>
      <c r="B1033" s="882"/>
      <c r="C1033" s="882"/>
      <c r="D1033" s="882"/>
      <c r="E1033" s="883" t="s">
        <v>141</v>
      </c>
      <c r="F1033" s="883" t="s">
        <v>142</v>
      </c>
      <c r="G1033" s="883" t="s">
        <v>95</v>
      </c>
      <c r="H1033" s="883" t="s">
        <v>2063</v>
      </c>
      <c r="I1033" s="883" t="s">
        <v>2842</v>
      </c>
      <c r="J1033" s="885">
        <v>0</v>
      </c>
      <c r="K1033" s="885">
        <v>0.025</v>
      </c>
      <c r="L1033" s="886">
        <v>0</v>
      </c>
      <c r="M1033" s="882"/>
    </row>
    <row r="1034" spans="1:13" ht="12.75">
      <c r="A1034" s="882"/>
      <c r="B1034" s="882"/>
      <c r="C1034" s="882"/>
      <c r="D1034" s="882"/>
      <c r="E1034" s="883" t="s">
        <v>143</v>
      </c>
      <c r="F1034" s="883" t="s">
        <v>144</v>
      </c>
      <c r="G1034" s="883" t="s">
        <v>145</v>
      </c>
      <c r="H1034" s="883" t="s">
        <v>2063</v>
      </c>
      <c r="I1034" s="883" t="s">
        <v>2538</v>
      </c>
      <c r="J1034" s="885">
        <v>0</v>
      </c>
      <c r="K1034" s="885">
        <v>0.3</v>
      </c>
      <c r="L1034" s="886">
        <v>0.29994664</v>
      </c>
      <c r="M1034" s="882"/>
    </row>
    <row r="1035" spans="1:13" ht="12.75">
      <c r="A1035" s="882"/>
      <c r="B1035" s="882"/>
      <c r="C1035" s="882"/>
      <c r="D1035" s="882"/>
      <c r="E1035" s="883" t="s">
        <v>146</v>
      </c>
      <c r="F1035" s="883" t="s">
        <v>147</v>
      </c>
      <c r="G1035" s="883" t="s">
        <v>93</v>
      </c>
      <c r="H1035" s="883" t="s">
        <v>2063</v>
      </c>
      <c r="I1035" s="883" t="s">
        <v>2841</v>
      </c>
      <c r="J1035" s="885">
        <v>0</v>
      </c>
      <c r="K1035" s="885">
        <v>0.57</v>
      </c>
      <c r="L1035" s="886">
        <v>0.569415</v>
      </c>
      <c r="M1035" s="882"/>
    </row>
    <row r="1036" spans="1:13" ht="12.75">
      <c r="A1036" s="882"/>
      <c r="B1036" s="882"/>
      <c r="C1036" s="882"/>
      <c r="D1036" s="882"/>
      <c r="E1036" s="883" t="s">
        <v>146</v>
      </c>
      <c r="F1036" s="883" t="s">
        <v>147</v>
      </c>
      <c r="G1036" s="883" t="s">
        <v>93</v>
      </c>
      <c r="H1036" s="883" t="s">
        <v>2063</v>
      </c>
      <c r="I1036" s="883" t="s">
        <v>2538</v>
      </c>
      <c r="J1036" s="885">
        <v>0</v>
      </c>
      <c r="K1036" s="885">
        <v>3.392</v>
      </c>
      <c r="L1036" s="886">
        <v>3.3915</v>
      </c>
      <c r="M1036" s="882"/>
    </row>
    <row r="1037" spans="1:13" ht="12.75">
      <c r="A1037" s="882"/>
      <c r="B1037" s="882"/>
      <c r="C1037" s="882"/>
      <c r="D1037" s="882"/>
      <c r="E1037" s="883" t="s">
        <v>148</v>
      </c>
      <c r="F1037" s="883" t="s">
        <v>149</v>
      </c>
      <c r="G1037" s="883" t="s">
        <v>2955</v>
      </c>
      <c r="H1037" s="883" t="s">
        <v>2063</v>
      </c>
      <c r="I1037" s="883" t="s">
        <v>2538</v>
      </c>
      <c r="J1037" s="885">
        <v>0</v>
      </c>
      <c r="K1037" s="885">
        <v>5.36</v>
      </c>
      <c r="L1037" s="886">
        <v>5.36</v>
      </c>
      <c r="M1037" s="882"/>
    </row>
    <row r="1038" spans="1:13" ht="12.75">
      <c r="A1038" s="882"/>
      <c r="B1038" s="882"/>
      <c r="C1038" s="882"/>
      <c r="D1038" s="882"/>
      <c r="E1038" s="883" t="s">
        <v>150</v>
      </c>
      <c r="F1038" s="883" t="s">
        <v>151</v>
      </c>
      <c r="G1038" s="883" t="s">
        <v>91</v>
      </c>
      <c r="H1038" s="883" t="s">
        <v>2063</v>
      </c>
      <c r="I1038" s="883" t="s">
        <v>2538</v>
      </c>
      <c r="J1038" s="885">
        <v>0</v>
      </c>
      <c r="K1038" s="885">
        <v>0.525</v>
      </c>
      <c r="L1038" s="886">
        <v>0.5246024</v>
      </c>
      <c r="M1038" s="882"/>
    </row>
    <row r="1039" spans="1:13" ht="12.75">
      <c r="A1039" s="882"/>
      <c r="B1039" s="882"/>
      <c r="C1039" s="882"/>
      <c r="D1039" s="882"/>
      <c r="E1039" s="883" t="s">
        <v>152</v>
      </c>
      <c r="F1039" s="883" t="s">
        <v>153</v>
      </c>
      <c r="G1039" s="883" t="s">
        <v>145</v>
      </c>
      <c r="H1039" s="883" t="s">
        <v>2063</v>
      </c>
      <c r="I1039" s="883" t="s">
        <v>2538</v>
      </c>
      <c r="J1039" s="885">
        <v>0</v>
      </c>
      <c r="K1039" s="885">
        <v>0.255</v>
      </c>
      <c r="L1039" s="886">
        <v>0.249971</v>
      </c>
      <c r="M1039" s="882"/>
    </row>
    <row r="1040" spans="1:13" ht="12.75">
      <c r="A1040" s="882"/>
      <c r="B1040" s="882"/>
      <c r="C1040" s="882"/>
      <c r="D1040" s="882"/>
      <c r="E1040" s="883" t="s">
        <v>154</v>
      </c>
      <c r="F1040" s="883" t="s">
        <v>155</v>
      </c>
      <c r="G1040" s="883" t="s">
        <v>145</v>
      </c>
      <c r="H1040" s="883" t="s">
        <v>2063</v>
      </c>
      <c r="I1040" s="883" t="s">
        <v>2538</v>
      </c>
      <c r="J1040" s="885">
        <v>0</v>
      </c>
      <c r="K1040" s="885">
        <v>0.509</v>
      </c>
      <c r="L1040" s="886">
        <v>0.50631168</v>
      </c>
      <c r="M1040" s="882"/>
    </row>
    <row r="1041" spans="1:13" ht="12.75">
      <c r="A1041" s="882"/>
      <c r="B1041" s="882"/>
      <c r="C1041" s="882"/>
      <c r="D1041" s="882"/>
      <c r="E1041" s="883" t="s">
        <v>154</v>
      </c>
      <c r="F1041" s="883" t="s">
        <v>155</v>
      </c>
      <c r="G1041" s="883" t="s">
        <v>145</v>
      </c>
      <c r="H1041" s="883" t="s">
        <v>2063</v>
      </c>
      <c r="I1041" s="883" t="s">
        <v>2841</v>
      </c>
      <c r="J1041" s="885">
        <v>0</v>
      </c>
      <c r="K1041" s="885">
        <v>0.022</v>
      </c>
      <c r="L1041" s="886">
        <v>0.02107966</v>
      </c>
      <c r="M1041" s="882"/>
    </row>
    <row r="1042" spans="1:13" ht="12.75">
      <c r="A1042" s="882"/>
      <c r="B1042" s="882"/>
      <c r="C1042" s="882"/>
      <c r="D1042" s="882"/>
      <c r="E1042" s="883" t="s">
        <v>156</v>
      </c>
      <c r="F1042" s="883" t="s">
        <v>157</v>
      </c>
      <c r="G1042" s="883" t="s">
        <v>158</v>
      </c>
      <c r="H1042" s="883" t="s">
        <v>2543</v>
      </c>
      <c r="I1042" s="883" t="s">
        <v>2841</v>
      </c>
      <c r="J1042" s="885">
        <v>0</v>
      </c>
      <c r="K1042" s="885">
        <v>2.422</v>
      </c>
      <c r="L1042" s="886">
        <v>0</v>
      </c>
      <c r="M1042" s="882"/>
    </row>
    <row r="1043" spans="1:13" ht="12.75">
      <c r="A1043" s="882"/>
      <c r="B1043" s="882"/>
      <c r="C1043" s="882"/>
      <c r="D1043" s="882"/>
      <c r="E1043" s="883" t="s">
        <v>156</v>
      </c>
      <c r="F1043" s="883" t="s">
        <v>157</v>
      </c>
      <c r="G1043" s="883" t="s">
        <v>158</v>
      </c>
      <c r="H1043" s="883" t="s">
        <v>2543</v>
      </c>
      <c r="I1043" s="883" t="s">
        <v>2538</v>
      </c>
      <c r="J1043" s="885">
        <v>0</v>
      </c>
      <c r="K1043" s="885">
        <v>2.186</v>
      </c>
      <c r="L1043" s="886">
        <v>0</v>
      </c>
      <c r="M1043" s="882"/>
    </row>
    <row r="1044" spans="1:13" ht="12.75">
      <c r="A1044" s="882"/>
      <c r="B1044" s="882"/>
      <c r="C1044" s="882"/>
      <c r="D1044" s="882"/>
      <c r="E1044" s="883" t="s">
        <v>156</v>
      </c>
      <c r="F1044" s="883" t="s">
        <v>157</v>
      </c>
      <c r="G1044" s="883" t="s">
        <v>158</v>
      </c>
      <c r="H1044" s="883" t="s">
        <v>2543</v>
      </c>
      <c r="I1044" s="883" t="s">
        <v>2842</v>
      </c>
      <c r="J1044" s="885">
        <v>0</v>
      </c>
      <c r="K1044" s="885">
        <v>13.724</v>
      </c>
      <c r="L1044" s="886">
        <v>0</v>
      </c>
      <c r="M1044" s="882"/>
    </row>
    <row r="1045" spans="1:13" ht="12.75">
      <c r="A1045" s="882"/>
      <c r="B1045" s="882"/>
      <c r="C1045" s="882"/>
      <c r="D1045" s="882"/>
      <c r="E1045" s="883" t="s">
        <v>156</v>
      </c>
      <c r="F1045" s="883" t="s">
        <v>157</v>
      </c>
      <c r="G1045" s="883" t="s">
        <v>158</v>
      </c>
      <c r="H1045" s="883" t="s">
        <v>2543</v>
      </c>
      <c r="I1045" s="883" t="s">
        <v>2564</v>
      </c>
      <c r="J1045" s="885">
        <v>0</v>
      </c>
      <c r="K1045" s="885">
        <v>12.384</v>
      </c>
      <c r="L1045" s="886">
        <v>0</v>
      </c>
      <c r="M1045" s="882"/>
    </row>
    <row r="1046" spans="1:13" ht="12.75">
      <c r="A1046" s="882"/>
      <c r="B1046" s="882"/>
      <c r="C1046" s="882"/>
      <c r="D1046" s="882"/>
      <c r="E1046" s="883" t="s">
        <v>159</v>
      </c>
      <c r="F1046" s="883" t="s">
        <v>157</v>
      </c>
      <c r="G1046" s="883" t="s">
        <v>121</v>
      </c>
      <c r="H1046" s="883" t="s">
        <v>2543</v>
      </c>
      <c r="I1046" s="883" t="s">
        <v>2841</v>
      </c>
      <c r="J1046" s="885">
        <v>0</v>
      </c>
      <c r="K1046" s="885">
        <v>1.882</v>
      </c>
      <c r="L1046" s="886">
        <v>0</v>
      </c>
      <c r="M1046" s="882"/>
    </row>
    <row r="1047" spans="1:13" ht="12.75">
      <c r="A1047" s="882"/>
      <c r="B1047" s="882"/>
      <c r="C1047" s="882"/>
      <c r="D1047" s="882"/>
      <c r="E1047" s="883" t="s">
        <v>159</v>
      </c>
      <c r="F1047" s="883" t="s">
        <v>157</v>
      </c>
      <c r="G1047" s="883" t="s">
        <v>121</v>
      </c>
      <c r="H1047" s="883" t="s">
        <v>2543</v>
      </c>
      <c r="I1047" s="883" t="s">
        <v>2842</v>
      </c>
      <c r="J1047" s="885">
        <v>0</v>
      </c>
      <c r="K1047" s="885">
        <v>10.659</v>
      </c>
      <c r="L1047" s="886">
        <v>0</v>
      </c>
      <c r="M1047" s="882"/>
    </row>
    <row r="1048" spans="1:13" ht="12.75">
      <c r="A1048" s="882"/>
      <c r="B1048" s="882"/>
      <c r="C1048" s="882"/>
      <c r="D1048" s="882"/>
      <c r="E1048" s="883" t="s">
        <v>159</v>
      </c>
      <c r="F1048" s="883" t="s">
        <v>157</v>
      </c>
      <c r="G1048" s="883" t="s">
        <v>121</v>
      </c>
      <c r="H1048" s="883" t="s">
        <v>2543</v>
      </c>
      <c r="I1048" s="883" t="s">
        <v>2564</v>
      </c>
      <c r="J1048" s="885">
        <v>0</v>
      </c>
      <c r="K1048" s="885">
        <v>9.588</v>
      </c>
      <c r="L1048" s="886">
        <v>0</v>
      </c>
      <c r="M1048" s="882"/>
    </row>
    <row r="1049" spans="1:13" ht="12.75">
      <c r="A1049" s="882"/>
      <c r="B1049" s="882"/>
      <c r="C1049" s="882"/>
      <c r="D1049" s="882"/>
      <c r="E1049" s="883" t="s">
        <v>159</v>
      </c>
      <c r="F1049" s="883" t="s">
        <v>157</v>
      </c>
      <c r="G1049" s="883" t="s">
        <v>121</v>
      </c>
      <c r="H1049" s="883" t="s">
        <v>2543</v>
      </c>
      <c r="I1049" s="883" t="s">
        <v>2538</v>
      </c>
      <c r="J1049" s="885">
        <v>0</v>
      </c>
      <c r="K1049" s="885">
        <v>1.692</v>
      </c>
      <c r="L1049" s="886">
        <v>0</v>
      </c>
      <c r="M1049" s="882"/>
    </row>
    <row r="1050" spans="1:13" ht="12.75">
      <c r="A1050" s="882"/>
      <c r="B1050" s="882"/>
      <c r="C1050" s="882"/>
      <c r="D1050" s="882"/>
      <c r="E1050" s="883" t="s">
        <v>160</v>
      </c>
      <c r="F1050" s="883" t="s">
        <v>157</v>
      </c>
      <c r="G1050" s="883" t="s">
        <v>121</v>
      </c>
      <c r="H1050" s="883" t="s">
        <v>2543</v>
      </c>
      <c r="I1050" s="883" t="s">
        <v>2538</v>
      </c>
      <c r="J1050" s="885">
        <v>0</v>
      </c>
      <c r="K1050" s="885">
        <v>1.199</v>
      </c>
      <c r="L1050" s="886">
        <v>0</v>
      </c>
      <c r="M1050" s="882"/>
    </row>
    <row r="1051" spans="1:13" ht="12.75">
      <c r="A1051" s="882"/>
      <c r="B1051" s="882"/>
      <c r="C1051" s="882"/>
      <c r="D1051" s="882"/>
      <c r="E1051" s="883" t="s">
        <v>160</v>
      </c>
      <c r="F1051" s="883" t="s">
        <v>157</v>
      </c>
      <c r="G1051" s="883" t="s">
        <v>121</v>
      </c>
      <c r="H1051" s="883" t="s">
        <v>2543</v>
      </c>
      <c r="I1051" s="883" t="s">
        <v>2564</v>
      </c>
      <c r="J1051" s="885">
        <v>0</v>
      </c>
      <c r="K1051" s="885">
        <v>6.791</v>
      </c>
      <c r="L1051" s="886">
        <v>0</v>
      </c>
      <c r="M1051" s="882"/>
    </row>
    <row r="1052" spans="1:13" ht="12.75">
      <c r="A1052" s="882"/>
      <c r="B1052" s="882"/>
      <c r="C1052" s="882"/>
      <c r="D1052" s="882"/>
      <c r="E1052" s="883" t="s">
        <v>160</v>
      </c>
      <c r="F1052" s="883" t="s">
        <v>157</v>
      </c>
      <c r="G1052" s="883" t="s">
        <v>121</v>
      </c>
      <c r="H1052" s="883" t="s">
        <v>2543</v>
      </c>
      <c r="I1052" s="883" t="s">
        <v>2841</v>
      </c>
      <c r="J1052" s="885">
        <v>0</v>
      </c>
      <c r="K1052" s="885">
        <v>0.413</v>
      </c>
      <c r="L1052" s="886">
        <v>0</v>
      </c>
      <c r="M1052" s="882"/>
    </row>
    <row r="1053" spans="1:13" ht="12.75">
      <c r="A1053" s="882"/>
      <c r="B1053" s="882"/>
      <c r="C1053" s="882"/>
      <c r="D1053" s="882"/>
      <c r="E1053" s="883" t="s">
        <v>160</v>
      </c>
      <c r="F1053" s="883" t="s">
        <v>157</v>
      </c>
      <c r="G1053" s="883" t="s">
        <v>121</v>
      </c>
      <c r="H1053" s="883" t="s">
        <v>2543</v>
      </c>
      <c r="I1053" s="883" t="s">
        <v>2842</v>
      </c>
      <c r="J1053" s="885">
        <v>0</v>
      </c>
      <c r="K1053" s="885">
        <v>4.146</v>
      </c>
      <c r="L1053" s="886">
        <v>0</v>
      </c>
      <c r="M1053" s="882"/>
    </row>
    <row r="1054" spans="1:13" ht="12.75">
      <c r="A1054" s="882"/>
      <c r="B1054" s="882"/>
      <c r="C1054" s="882"/>
      <c r="D1054" s="882"/>
      <c r="E1054" s="883" t="s">
        <v>161</v>
      </c>
      <c r="F1054" s="883" t="s">
        <v>157</v>
      </c>
      <c r="G1054" s="883" t="s">
        <v>95</v>
      </c>
      <c r="H1054" s="883" t="s">
        <v>2543</v>
      </c>
      <c r="I1054" s="883" t="s">
        <v>2564</v>
      </c>
      <c r="J1054" s="885">
        <v>0</v>
      </c>
      <c r="K1054" s="885">
        <v>9.588</v>
      </c>
      <c r="L1054" s="886">
        <v>0</v>
      </c>
      <c r="M1054" s="882"/>
    </row>
    <row r="1055" spans="1:13" ht="12.75">
      <c r="A1055" s="882"/>
      <c r="B1055" s="882"/>
      <c r="C1055" s="882"/>
      <c r="D1055" s="882"/>
      <c r="E1055" s="883" t="s">
        <v>161</v>
      </c>
      <c r="F1055" s="883" t="s">
        <v>157</v>
      </c>
      <c r="G1055" s="883" t="s">
        <v>95</v>
      </c>
      <c r="H1055" s="883" t="s">
        <v>2543</v>
      </c>
      <c r="I1055" s="883" t="s">
        <v>2841</v>
      </c>
      <c r="J1055" s="885">
        <v>0</v>
      </c>
      <c r="K1055" s="885">
        <v>1.882</v>
      </c>
      <c r="L1055" s="886">
        <v>0</v>
      </c>
      <c r="M1055" s="882"/>
    </row>
    <row r="1056" spans="1:13" ht="12.75">
      <c r="A1056" s="882"/>
      <c r="B1056" s="882"/>
      <c r="C1056" s="882"/>
      <c r="D1056" s="882"/>
      <c r="E1056" s="883" t="s">
        <v>161</v>
      </c>
      <c r="F1056" s="883" t="s">
        <v>157</v>
      </c>
      <c r="G1056" s="883" t="s">
        <v>95</v>
      </c>
      <c r="H1056" s="883" t="s">
        <v>2543</v>
      </c>
      <c r="I1056" s="883" t="s">
        <v>2538</v>
      </c>
      <c r="J1056" s="885">
        <v>0</v>
      </c>
      <c r="K1056" s="885">
        <v>1.692</v>
      </c>
      <c r="L1056" s="886">
        <v>0</v>
      </c>
      <c r="M1056" s="882"/>
    </row>
    <row r="1057" spans="1:13" ht="12.75">
      <c r="A1057" s="882"/>
      <c r="B1057" s="882"/>
      <c r="C1057" s="882"/>
      <c r="D1057" s="882"/>
      <c r="E1057" s="883" t="s">
        <v>161</v>
      </c>
      <c r="F1057" s="883" t="s">
        <v>157</v>
      </c>
      <c r="G1057" s="883" t="s">
        <v>95</v>
      </c>
      <c r="H1057" s="883" t="s">
        <v>2543</v>
      </c>
      <c r="I1057" s="883" t="s">
        <v>2842</v>
      </c>
      <c r="J1057" s="885">
        <v>0</v>
      </c>
      <c r="K1057" s="885">
        <v>10.659</v>
      </c>
      <c r="L1057" s="886">
        <v>0</v>
      </c>
      <c r="M1057" s="882"/>
    </row>
    <row r="1058" spans="1:13" ht="12.75">
      <c r="A1058" s="882"/>
      <c r="B1058" s="882"/>
      <c r="C1058" s="882"/>
      <c r="D1058" s="882"/>
      <c r="E1058" s="883" t="s">
        <v>162</v>
      </c>
      <c r="F1058" s="883" t="s">
        <v>157</v>
      </c>
      <c r="G1058" s="883" t="s">
        <v>91</v>
      </c>
      <c r="H1058" s="883" t="s">
        <v>2543</v>
      </c>
      <c r="I1058" s="883" t="s">
        <v>2841</v>
      </c>
      <c r="J1058" s="885">
        <v>0</v>
      </c>
      <c r="K1058" s="885">
        <v>2.885</v>
      </c>
      <c r="L1058" s="886">
        <v>0</v>
      </c>
      <c r="M1058" s="882"/>
    </row>
    <row r="1059" spans="1:13" ht="12.75">
      <c r="A1059" s="882"/>
      <c r="B1059" s="882"/>
      <c r="C1059" s="882"/>
      <c r="D1059" s="882"/>
      <c r="E1059" s="883" t="s">
        <v>162</v>
      </c>
      <c r="F1059" s="883" t="s">
        <v>157</v>
      </c>
      <c r="G1059" s="883" t="s">
        <v>91</v>
      </c>
      <c r="H1059" s="883" t="s">
        <v>2543</v>
      </c>
      <c r="I1059" s="883" t="s">
        <v>2842</v>
      </c>
      <c r="J1059" s="885">
        <v>0</v>
      </c>
      <c r="K1059" s="885">
        <v>16.351</v>
      </c>
      <c r="L1059" s="886">
        <v>0</v>
      </c>
      <c r="M1059" s="882"/>
    </row>
    <row r="1060" spans="1:13" ht="12.75">
      <c r="A1060" s="882"/>
      <c r="B1060" s="882"/>
      <c r="C1060" s="882"/>
      <c r="D1060" s="882"/>
      <c r="E1060" s="883" t="s">
        <v>162</v>
      </c>
      <c r="F1060" s="883" t="s">
        <v>157</v>
      </c>
      <c r="G1060" s="883" t="s">
        <v>91</v>
      </c>
      <c r="H1060" s="883" t="s">
        <v>2543</v>
      </c>
      <c r="I1060" s="883" t="s">
        <v>2538</v>
      </c>
      <c r="J1060" s="885">
        <v>0</v>
      </c>
      <c r="K1060" s="885">
        <v>2.609</v>
      </c>
      <c r="L1060" s="886">
        <v>0</v>
      </c>
      <c r="M1060" s="882"/>
    </row>
    <row r="1061" spans="1:13" ht="12.75">
      <c r="A1061" s="882"/>
      <c r="B1061" s="882"/>
      <c r="C1061" s="882"/>
      <c r="D1061" s="882"/>
      <c r="E1061" s="883" t="s">
        <v>162</v>
      </c>
      <c r="F1061" s="883" t="s">
        <v>157</v>
      </c>
      <c r="G1061" s="883" t="s">
        <v>91</v>
      </c>
      <c r="H1061" s="883" t="s">
        <v>2543</v>
      </c>
      <c r="I1061" s="883" t="s">
        <v>2564</v>
      </c>
      <c r="J1061" s="885">
        <v>0</v>
      </c>
      <c r="K1061" s="885">
        <v>14.781</v>
      </c>
      <c r="L1061" s="886">
        <v>0</v>
      </c>
      <c r="M1061" s="882"/>
    </row>
    <row r="1062" spans="1:13" ht="12.75">
      <c r="A1062" s="882"/>
      <c r="B1062" s="882"/>
      <c r="C1062" s="882"/>
      <c r="D1062" s="882"/>
      <c r="E1062" s="883" t="s">
        <v>163</v>
      </c>
      <c r="F1062" s="883" t="s">
        <v>157</v>
      </c>
      <c r="G1062" s="883" t="s">
        <v>132</v>
      </c>
      <c r="H1062" s="883" t="s">
        <v>2543</v>
      </c>
      <c r="I1062" s="883" t="s">
        <v>2842</v>
      </c>
      <c r="J1062" s="885">
        <v>0</v>
      </c>
      <c r="K1062" s="885">
        <v>10.222</v>
      </c>
      <c r="L1062" s="886">
        <v>0</v>
      </c>
      <c r="M1062" s="882"/>
    </row>
    <row r="1063" spans="1:13" ht="12.75">
      <c r="A1063" s="882"/>
      <c r="B1063" s="882"/>
      <c r="C1063" s="882"/>
      <c r="D1063" s="882"/>
      <c r="E1063" s="883" t="s">
        <v>163</v>
      </c>
      <c r="F1063" s="883" t="s">
        <v>157</v>
      </c>
      <c r="G1063" s="883" t="s">
        <v>132</v>
      </c>
      <c r="H1063" s="883" t="s">
        <v>2543</v>
      </c>
      <c r="I1063" s="883" t="s">
        <v>2841</v>
      </c>
      <c r="J1063" s="885">
        <v>0</v>
      </c>
      <c r="K1063" s="885">
        <v>1.804</v>
      </c>
      <c r="L1063" s="886">
        <v>0</v>
      </c>
      <c r="M1063" s="882"/>
    </row>
    <row r="1064" spans="1:13" ht="12.75">
      <c r="A1064" s="882"/>
      <c r="B1064" s="882"/>
      <c r="C1064" s="882"/>
      <c r="D1064" s="882"/>
      <c r="E1064" s="883" t="s">
        <v>163</v>
      </c>
      <c r="F1064" s="883" t="s">
        <v>157</v>
      </c>
      <c r="G1064" s="883" t="s">
        <v>132</v>
      </c>
      <c r="H1064" s="883" t="s">
        <v>2543</v>
      </c>
      <c r="I1064" s="883" t="s">
        <v>2538</v>
      </c>
      <c r="J1064" s="885">
        <v>0</v>
      </c>
      <c r="K1064" s="885">
        <v>1.622</v>
      </c>
      <c r="L1064" s="886">
        <v>0</v>
      </c>
      <c r="M1064" s="882"/>
    </row>
    <row r="1065" spans="1:13" ht="12.75">
      <c r="A1065" s="882"/>
      <c r="B1065" s="882"/>
      <c r="C1065" s="882"/>
      <c r="D1065" s="882"/>
      <c r="E1065" s="883" t="s">
        <v>163</v>
      </c>
      <c r="F1065" s="883" t="s">
        <v>157</v>
      </c>
      <c r="G1065" s="883" t="s">
        <v>132</v>
      </c>
      <c r="H1065" s="883" t="s">
        <v>2543</v>
      </c>
      <c r="I1065" s="883" t="s">
        <v>2564</v>
      </c>
      <c r="J1065" s="885">
        <v>0</v>
      </c>
      <c r="K1065" s="885">
        <v>9.188</v>
      </c>
      <c r="L1065" s="886">
        <v>0</v>
      </c>
      <c r="M1065" s="882"/>
    </row>
    <row r="1066" spans="1:13" ht="12.75">
      <c r="A1066" s="882"/>
      <c r="B1066" s="882"/>
      <c r="C1066" s="882"/>
      <c r="D1066" s="882"/>
      <c r="E1066" s="883" t="s">
        <v>164</v>
      </c>
      <c r="F1066" s="883" t="s">
        <v>157</v>
      </c>
      <c r="G1066" s="883" t="s">
        <v>145</v>
      </c>
      <c r="H1066" s="883" t="s">
        <v>2543</v>
      </c>
      <c r="I1066" s="883" t="s">
        <v>2564</v>
      </c>
      <c r="J1066" s="885">
        <v>0</v>
      </c>
      <c r="K1066" s="885">
        <v>9.987</v>
      </c>
      <c r="L1066" s="886">
        <v>0</v>
      </c>
      <c r="M1066" s="882"/>
    </row>
    <row r="1067" spans="1:13" ht="12.75">
      <c r="A1067" s="882"/>
      <c r="B1067" s="882"/>
      <c r="C1067" s="882"/>
      <c r="D1067" s="882"/>
      <c r="E1067" s="883" t="s">
        <v>164</v>
      </c>
      <c r="F1067" s="883" t="s">
        <v>157</v>
      </c>
      <c r="G1067" s="883" t="s">
        <v>145</v>
      </c>
      <c r="H1067" s="883" t="s">
        <v>2543</v>
      </c>
      <c r="I1067" s="883" t="s">
        <v>2841</v>
      </c>
      <c r="J1067" s="885">
        <v>0</v>
      </c>
      <c r="K1067" s="885">
        <v>1.958</v>
      </c>
      <c r="L1067" s="886">
        <v>0</v>
      </c>
      <c r="M1067" s="882"/>
    </row>
    <row r="1068" spans="1:13" ht="12.75">
      <c r="A1068" s="882"/>
      <c r="B1068" s="882"/>
      <c r="C1068" s="882"/>
      <c r="D1068" s="882"/>
      <c r="E1068" s="883" t="s">
        <v>164</v>
      </c>
      <c r="F1068" s="883" t="s">
        <v>157</v>
      </c>
      <c r="G1068" s="883" t="s">
        <v>145</v>
      </c>
      <c r="H1068" s="883" t="s">
        <v>2543</v>
      </c>
      <c r="I1068" s="883" t="s">
        <v>2842</v>
      </c>
      <c r="J1068" s="885">
        <v>0</v>
      </c>
      <c r="K1068" s="885">
        <v>11.098</v>
      </c>
      <c r="L1068" s="886">
        <v>0</v>
      </c>
      <c r="M1068" s="882"/>
    </row>
    <row r="1069" spans="1:13" ht="12.75">
      <c r="A1069" s="882"/>
      <c r="B1069" s="882"/>
      <c r="C1069" s="882"/>
      <c r="D1069" s="882"/>
      <c r="E1069" s="883" t="s">
        <v>164</v>
      </c>
      <c r="F1069" s="883" t="s">
        <v>157</v>
      </c>
      <c r="G1069" s="883" t="s">
        <v>145</v>
      </c>
      <c r="H1069" s="883" t="s">
        <v>2543</v>
      </c>
      <c r="I1069" s="883" t="s">
        <v>2538</v>
      </c>
      <c r="J1069" s="885">
        <v>0</v>
      </c>
      <c r="K1069" s="885">
        <v>1.763</v>
      </c>
      <c r="L1069" s="886">
        <v>0</v>
      </c>
      <c r="M1069" s="882"/>
    </row>
    <row r="1070" spans="1:13" ht="12.75">
      <c r="A1070" s="882"/>
      <c r="B1070" s="882"/>
      <c r="C1070" s="882"/>
      <c r="D1070" s="882"/>
      <c r="E1070" s="883" t="s">
        <v>165</v>
      </c>
      <c r="F1070" s="883" t="s">
        <v>157</v>
      </c>
      <c r="G1070" s="883" t="s">
        <v>110</v>
      </c>
      <c r="H1070" s="883" t="s">
        <v>2543</v>
      </c>
      <c r="I1070" s="883" t="s">
        <v>2842</v>
      </c>
      <c r="J1070" s="885">
        <v>0</v>
      </c>
      <c r="K1070" s="885">
        <v>12.41</v>
      </c>
      <c r="L1070" s="886">
        <v>0</v>
      </c>
      <c r="M1070" s="882"/>
    </row>
    <row r="1071" spans="1:13" ht="12.75">
      <c r="A1071" s="882"/>
      <c r="B1071" s="882"/>
      <c r="C1071" s="882"/>
      <c r="D1071" s="882"/>
      <c r="E1071" s="883" t="s">
        <v>165</v>
      </c>
      <c r="F1071" s="883" t="s">
        <v>157</v>
      </c>
      <c r="G1071" s="883" t="s">
        <v>110</v>
      </c>
      <c r="H1071" s="883" t="s">
        <v>2543</v>
      </c>
      <c r="I1071" s="883" t="s">
        <v>2538</v>
      </c>
      <c r="J1071" s="885">
        <v>0</v>
      </c>
      <c r="K1071" s="885">
        <v>1.974</v>
      </c>
      <c r="L1071" s="886">
        <v>0</v>
      </c>
      <c r="M1071" s="882"/>
    </row>
    <row r="1072" spans="1:13" ht="12.75">
      <c r="A1072" s="882"/>
      <c r="B1072" s="882"/>
      <c r="C1072" s="882"/>
      <c r="D1072" s="882"/>
      <c r="E1072" s="883" t="s">
        <v>165</v>
      </c>
      <c r="F1072" s="883" t="s">
        <v>157</v>
      </c>
      <c r="G1072" s="883" t="s">
        <v>110</v>
      </c>
      <c r="H1072" s="883" t="s">
        <v>2543</v>
      </c>
      <c r="I1072" s="883" t="s">
        <v>2564</v>
      </c>
      <c r="J1072" s="885">
        <v>0</v>
      </c>
      <c r="K1072" s="885">
        <v>11.186</v>
      </c>
      <c r="L1072" s="886">
        <v>0</v>
      </c>
      <c r="M1072" s="882"/>
    </row>
    <row r="1073" spans="1:13" ht="12.75">
      <c r="A1073" s="882"/>
      <c r="B1073" s="882"/>
      <c r="C1073" s="882"/>
      <c r="D1073" s="882"/>
      <c r="E1073" s="883" t="s">
        <v>165</v>
      </c>
      <c r="F1073" s="883" t="s">
        <v>157</v>
      </c>
      <c r="G1073" s="883" t="s">
        <v>110</v>
      </c>
      <c r="H1073" s="883" t="s">
        <v>2543</v>
      </c>
      <c r="I1073" s="883" t="s">
        <v>2841</v>
      </c>
      <c r="J1073" s="885">
        <v>0</v>
      </c>
      <c r="K1073" s="885">
        <v>2.191</v>
      </c>
      <c r="L1073" s="886">
        <v>0</v>
      </c>
      <c r="M1073" s="882"/>
    </row>
    <row r="1074" spans="1:13" ht="12.75">
      <c r="A1074" s="882"/>
      <c r="B1074" s="882"/>
      <c r="C1074" s="882"/>
      <c r="D1074" s="882"/>
      <c r="E1074" s="883" t="s">
        <v>166</v>
      </c>
      <c r="F1074" s="883" t="s">
        <v>167</v>
      </c>
      <c r="G1074" s="883" t="s">
        <v>93</v>
      </c>
      <c r="H1074" s="883" t="s">
        <v>2063</v>
      </c>
      <c r="I1074" s="883" t="s">
        <v>2538</v>
      </c>
      <c r="J1074" s="884">
        <v>24.285</v>
      </c>
      <c r="K1074" s="885">
        <v>29.885</v>
      </c>
      <c r="L1074" s="886">
        <v>29.884982</v>
      </c>
      <c r="M1074" s="882"/>
    </row>
    <row r="1075" spans="1:13" ht="12.75">
      <c r="A1075" s="882"/>
      <c r="B1075" s="882"/>
      <c r="C1075" s="882"/>
      <c r="D1075" s="882"/>
      <c r="E1075" s="883" t="s">
        <v>168</v>
      </c>
      <c r="F1075" s="883" t="s">
        <v>169</v>
      </c>
      <c r="G1075" s="883" t="s">
        <v>121</v>
      </c>
      <c r="H1075" s="883" t="s">
        <v>2063</v>
      </c>
      <c r="I1075" s="883" t="s">
        <v>2538</v>
      </c>
      <c r="J1075" s="885">
        <v>0</v>
      </c>
      <c r="K1075" s="885">
        <v>88</v>
      </c>
      <c r="L1075" s="886">
        <v>88</v>
      </c>
      <c r="M1075" s="882"/>
    </row>
    <row r="1076" spans="1:13" ht="12.75">
      <c r="A1076" s="882"/>
      <c r="B1076" s="882"/>
      <c r="C1076" s="882"/>
      <c r="D1076" s="882"/>
      <c r="E1076" s="883" t="s">
        <v>170</v>
      </c>
      <c r="F1076" s="883" t="s">
        <v>171</v>
      </c>
      <c r="G1076" s="883" t="s">
        <v>95</v>
      </c>
      <c r="H1076" s="883" t="s">
        <v>2063</v>
      </c>
      <c r="I1076" s="883" t="s">
        <v>2538</v>
      </c>
      <c r="J1076" s="885">
        <v>0</v>
      </c>
      <c r="K1076" s="885">
        <v>2.881</v>
      </c>
      <c r="L1076" s="886">
        <v>2.880049</v>
      </c>
      <c r="M1076" s="882"/>
    </row>
    <row r="1077" spans="1:13" ht="12.75">
      <c r="A1077" s="882"/>
      <c r="B1077" s="882"/>
      <c r="C1077" s="882"/>
      <c r="D1077" s="882"/>
      <c r="E1077" s="883" t="s">
        <v>172</v>
      </c>
      <c r="F1077" s="883" t="s">
        <v>173</v>
      </c>
      <c r="G1077" s="883" t="s">
        <v>121</v>
      </c>
      <c r="H1077" s="883" t="s">
        <v>2063</v>
      </c>
      <c r="I1077" s="883" t="s">
        <v>2538</v>
      </c>
      <c r="J1077" s="884">
        <v>16</v>
      </c>
      <c r="K1077" s="885">
        <v>0</v>
      </c>
      <c r="L1077" s="886">
        <v>0</v>
      </c>
      <c r="M1077" s="882"/>
    </row>
    <row r="1078" spans="1:13" ht="12.75">
      <c r="A1078" s="882"/>
      <c r="B1078" s="882"/>
      <c r="C1078" s="882"/>
      <c r="D1078" s="882"/>
      <c r="E1078" s="883" t="s">
        <v>174</v>
      </c>
      <c r="F1078" s="883" t="s">
        <v>175</v>
      </c>
      <c r="G1078" s="883" t="s">
        <v>2955</v>
      </c>
      <c r="H1078" s="883" t="s">
        <v>2543</v>
      </c>
      <c r="I1078" s="883" t="s">
        <v>2538</v>
      </c>
      <c r="J1078" s="884">
        <v>60</v>
      </c>
      <c r="K1078" s="885">
        <v>0</v>
      </c>
      <c r="L1078" s="886">
        <v>0</v>
      </c>
      <c r="M1078" s="882"/>
    </row>
    <row r="1079" spans="1:13" ht="12.75">
      <c r="A1079" s="882"/>
      <c r="B1079" s="882"/>
      <c r="C1079" s="882"/>
      <c r="D1079" s="882"/>
      <c r="E1079" s="883" t="s">
        <v>176</v>
      </c>
      <c r="F1079" s="883" t="s">
        <v>177</v>
      </c>
      <c r="G1079" s="883" t="s">
        <v>132</v>
      </c>
      <c r="H1079" s="883" t="s">
        <v>2063</v>
      </c>
      <c r="I1079" s="883" t="s">
        <v>2627</v>
      </c>
      <c r="J1079" s="885">
        <v>0</v>
      </c>
      <c r="K1079" s="885">
        <v>0</v>
      </c>
      <c r="L1079" s="886">
        <v>8.16244803</v>
      </c>
      <c r="M1079" s="882"/>
    </row>
    <row r="1080" spans="1:13" ht="12.75">
      <c r="A1080" s="882"/>
      <c r="B1080" s="882"/>
      <c r="C1080" s="882"/>
      <c r="D1080" s="882"/>
      <c r="E1080" s="883" t="s">
        <v>176</v>
      </c>
      <c r="F1080" s="883" t="s">
        <v>177</v>
      </c>
      <c r="G1080" s="883" t="s">
        <v>132</v>
      </c>
      <c r="H1080" s="883" t="s">
        <v>2063</v>
      </c>
      <c r="I1080" s="883" t="s">
        <v>1896</v>
      </c>
      <c r="J1080" s="885">
        <v>0</v>
      </c>
      <c r="K1080" s="885">
        <v>0</v>
      </c>
      <c r="L1080" s="886">
        <v>0.56072298</v>
      </c>
      <c r="M1080" s="882"/>
    </row>
    <row r="1081" spans="1:13" ht="12.75">
      <c r="A1081" s="882"/>
      <c r="B1081" s="882"/>
      <c r="C1081" s="882"/>
      <c r="D1081" s="882"/>
      <c r="E1081" s="883" t="s">
        <v>178</v>
      </c>
      <c r="F1081" s="883" t="s">
        <v>179</v>
      </c>
      <c r="G1081" s="883" t="s">
        <v>2955</v>
      </c>
      <c r="H1081" s="883" t="s">
        <v>2063</v>
      </c>
      <c r="I1081" s="883" t="s">
        <v>2627</v>
      </c>
      <c r="J1081" s="885">
        <v>0</v>
      </c>
      <c r="K1081" s="885">
        <v>0</v>
      </c>
      <c r="L1081" s="886">
        <v>0.582159</v>
      </c>
      <c r="M1081" s="882"/>
    </row>
    <row r="1082" spans="1:13" ht="12.75">
      <c r="A1082" s="882"/>
      <c r="B1082" s="882"/>
      <c r="C1082" s="882"/>
      <c r="D1082" s="882"/>
      <c r="E1082" s="883" t="s">
        <v>180</v>
      </c>
      <c r="F1082" s="883" t="s">
        <v>181</v>
      </c>
      <c r="G1082" s="883" t="s">
        <v>91</v>
      </c>
      <c r="H1082" s="883" t="s">
        <v>2063</v>
      </c>
      <c r="I1082" s="883" t="s">
        <v>2627</v>
      </c>
      <c r="J1082" s="884">
        <v>0</v>
      </c>
      <c r="K1082" s="885">
        <v>0</v>
      </c>
      <c r="L1082" s="886">
        <v>6.032665</v>
      </c>
      <c r="M1082" s="882"/>
    </row>
    <row r="1083" spans="1:13" ht="12.75">
      <c r="A1083" s="882"/>
      <c r="B1083" s="882"/>
      <c r="C1083" s="882"/>
      <c r="D1083" s="882"/>
      <c r="E1083" s="883" t="s">
        <v>182</v>
      </c>
      <c r="F1083" s="883" t="s">
        <v>183</v>
      </c>
      <c r="G1083" s="883" t="s">
        <v>91</v>
      </c>
      <c r="H1083" s="883" t="s">
        <v>2063</v>
      </c>
      <c r="I1083" s="883" t="s">
        <v>2538</v>
      </c>
      <c r="J1083" s="884">
        <v>7</v>
      </c>
      <c r="K1083" s="885">
        <v>0.514</v>
      </c>
      <c r="L1083" s="886">
        <v>0.51382901</v>
      </c>
      <c r="M1083" s="882"/>
    </row>
    <row r="1084" spans="1:13" ht="12.75">
      <c r="A1084" s="882"/>
      <c r="B1084" s="882"/>
      <c r="C1084" s="882"/>
      <c r="D1084" s="882"/>
      <c r="E1084" s="883" t="s">
        <v>184</v>
      </c>
      <c r="F1084" s="883" t="s">
        <v>185</v>
      </c>
      <c r="G1084" s="883" t="s">
        <v>91</v>
      </c>
      <c r="H1084" s="883" t="s">
        <v>2063</v>
      </c>
      <c r="I1084" s="883" t="s">
        <v>2564</v>
      </c>
      <c r="J1084" s="884">
        <v>1.964</v>
      </c>
      <c r="K1084" s="885">
        <v>1.964</v>
      </c>
      <c r="L1084" s="886">
        <v>0.12733</v>
      </c>
      <c r="M1084" s="882"/>
    </row>
    <row r="1085" spans="1:13" ht="12.75">
      <c r="A1085" s="882"/>
      <c r="B1085" s="882"/>
      <c r="C1085" s="882"/>
      <c r="D1085" s="882"/>
      <c r="E1085" s="883" t="s">
        <v>186</v>
      </c>
      <c r="F1085" s="883" t="s">
        <v>187</v>
      </c>
      <c r="G1085" s="883" t="s">
        <v>91</v>
      </c>
      <c r="H1085" s="883" t="s">
        <v>2063</v>
      </c>
      <c r="I1085" s="883" t="s">
        <v>2564</v>
      </c>
      <c r="J1085" s="884">
        <v>3.781</v>
      </c>
      <c r="K1085" s="885">
        <v>0</v>
      </c>
      <c r="L1085" s="886">
        <v>0</v>
      </c>
      <c r="M1085" s="882"/>
    </row>
    <row r="1086" spans="1:13" ht="12.75">
      <c r="A1086" s="882"/>
      <c r="B1086" s="882"/>
      <c r="C1086" s="882"/>
      <c r="D1086" s="882"/>
      <c r="E1086" s="883" t="s">
        <v>188</v>
      </c>
      <c r="F1086" s="883" t="s">
        <v>189</v>
      </c>
      <c r="G1086" s="883" t="s">
        <v>158</v>
      </c>
      <c r="H1086" s="883" t="s">
        <v>2063</v>
      </c>
      <c r="I1086" s="883" t="s">
        <v>2564</v>
      </c>
      <c r="J1086" s="884">
        <v>2.031</v>
      </c>
      <c r="K1086" s="885">
        <v>0</v>
      </c>
      <c r="L1086" s="886">
        <v>0</v>
      </c>
      <c r="M1086" s="882"/>
    </row>
    <row r="1087" spans="1:13" ht="12.75">
      <c r="A1087" s="882"/>
      <c r="B1087" s="882"/>
      <c r="C1087" s="882"/>
      <c r="D1087" s="882"/>
      <c r="E1087" s="883" t="s">
        <v>190</v>
      </c>
      <c r="F1087" s="883" t="s">
        <v>191</v>
      </c>
      <c r="G1087" s="883" t="s">
        <v>158</v>
      </c>
      <c r="H1087" s="883" t="s">
        <v>2063</v>
      </c>
      <c r="I1087" s="883" t="s">
        <v>2564</v>
      </c>
      <c r="J1087" s="884">
        <v>2.573</v>
      </c>
      <c r="K1087" s="885">
        <v>0</v>
      </c>
      <c r="L1087" s="886">
        <v>0</v>
      </c>
      <c r="M1087" s="882"/>
    </row>
    <row r="1088" spans="1:13" ht="12.75">
      <c r="A1088" s="882"/>
      <c r="B1088" s="882"/>
      <c r="C1088" s="882"/>
      <c r="D1088" s="882"/>
      <c r="E1088" s="883" t="s">
        <v>192</v>
      </c>
      <c r="F1088" s="883" t="s">
        <v>193</v>
      </c>
      <c r="G1088" s="883" t="s">
        <v>110</v>
      </c>
      <c r="H1088" s="883" t="s">
        <v>2063</v>
      </c>
      <c r="I1088" s="883" t="s">
        <v>2538</v>
      </c>
      <c r="J1088" s="885">
        <v>0</v>
      </c>
      <c r="K1088" s="885">
        <v>0.231</v>
      </c>
      <c r="L1088" s="886">
        <v>0.229729</v>
      </c>
      <c r="M1088" s="882"/>
    </row>
    <row r="1089" spans="1:13" ht="12.75">
      <c r="A1089" s="882"/>
      <c r="B1089" s="882"/>
      <c r="C1089" s="882"/>
      <c r="D1089" s="882"/>
      <c r="E1089" s="883" t="s">
        <v>192</v>
      </c>
      <c r="F1089" s="883" t="s">
        <v>193</v>
      </c>
      <c r="G1089" s="883" t="s">
        <v>110</v>
      </c>
      <c r="H1089" s="883" t="s">
        <v>2063</v>
      </c>
      <c r="I1089" s="883" t="s">
        <v>2564</v>
      </c>
      <c r="J1089" s="885">
        <v>0</v>
      </c>
      <c r="K1089" s="885">
        <v>3.601</v>
      </c>
      <c r="L1089" s="886">
        <v>3.249628</v>
      </c>
      <c r="M1089" s="882"/>
    </row>
    <row r="1090" spans="1:13" ht="12.75">
      <c r="A1090" s="882"/>
      <c r="B1090" s="882"/>
      <c r="C1090" s="882"/>
      <c r="D1090" s="882"/>
      <c r="E1090" s="883" t="s">
        <v>192</v>
      </c>
      <c r="F1090" s="883" t="s">
        <v>193</v>
      </c>
      <c r="G1090" s="883" t="s">
        <v>110</v>
      </c>
      <c r="H1090" s="883" t="s">
        <v>2063</v>
      </c>
      <c r="I1090" s="883" t="s">
        <v>2842</v>
      </c>
      <c r="J1090" s="885">
        <v>0</v>
      </c>
      <c r="K1090" s="885">
        <v>0.086</v>
      </c>
      <c r="L1090" s="886">
        <v>0.084948</v>
      </c>
      <c r="M1090" s="882"/>
    </row>
    <row r="1091" spans="1:13" ht="12.75">
      <c r="A1091" s="882"/>
      <c r="B1091" s="882"/>
      <c r="C1091" s="882"/>
      <c r="D1091" s="882"/>
      <c r="E1091" s="883" t="s">
        <v>194</v>
      </c>
      <c r="F1091" s="883" t="s">
        <v>195</v>
      </c>
      <c r="G1091" s="883" t="s">
        <v>110</v>
      </c>
      <c r="H1091" s="883" t="s">
        <v>2543</v>
      </c>
      <c r="I1091" s="883" t="s">
        <v>2564</v>
      </c>
      <c r="J1091" s="884">
        <v>3.654</v>
      </c>
      <c r="K1091" s="885">
        <v>0</v>
      </c>
      <c r="L1091" s="886">
        <v>0</v>
      </c>
      <c r="M1091" s="882"/>
    </row>
    <row r="1092" spans="1:13" ht="12.75">
      <c r="A1092" s="882"/>
      <c r="B1092" s="882"/>
      <c r="C1092" s="882"/>
      <c r="D1092" s="882"/>
      <c r="E1092" s="883" t="s">
        <v>196</v>
      </c>
      <c r="F1092" s="883" t="s">
        <v>197</v>
      </c>
      <c r="G1092" s="883" t="s">
        <v>110</v>
      </c>
      <c r="H1092" s="883" t="s">
        <v>2063</v>
      </c>
      <c r="I1092" s="883" t="s">
        <v>2564</v>
      </c>
      <c r="J1092" s="884">
        <v>3.356</v>
      </c>
      <c r="K1092" s="885">
        <v>0</v>
      </c>
      <c r="L1092" s="886">
        <v>0</v>
      </c>
      <c r="M1092" s="882"/>
    </row>
    <row r="1093" spans="1:13" ht="12.75">
      <c r="A1093" s="882"/>
      <c r="B1093" s="882"/>
      <c r="C1093" s="882"/>
      <c r="D1093" s="882"/>
      <c r="E1093" s="883" t="s">
        <v>198</v>
      </c>
      <c r="F1093" s="883" t="s">
        <v>199</v>
      </c>
      <c r="G1093" s="883" t="s">
        <v>110</v>
      </c>
      <c r="H1093" s="883" t="s">
        <v>2063</v>
      </c>
      <c r="I1093" s="883" t="s">
        <v>2564</v>
      </c>
      <c r="J1093" s="884">
        <v>3.534</v>
      </c>
      <c r="K1093" s="885">
        <v>2.266</v>
      </c>
      <c r="L1093" s="886">
        <v>2.2651983</v>
      </c>
      <c r="M1093" s="882"/>
    </row>
    <row r="1094" spans="1:13" ht="12.75">
      <c r="A1094" s="882"/>
      <c r="B1094" s="882"/>
      <c r="C1094" s="882"/>
      <c r="D1094" s="882"/>
      <c r="E1094" s="883" t="s">
        <v>198</v>
      </c>
      <c r="F1094" s="883" t="s">
        <v>199</v>
      </c>
      <c r="G1094" s="883" t="s">
        <v>110</v>
      </c>
      <c r="H1094" s="883" t="s">
        <v>2063</v>
      </c>
      <c r="I1094" s="883" t="s">
        <v>2538</v>
      </c>
      <c r="J1094" s="885">
        <v>0</v>
      </c>
      <c r="K1094" s="885">
        <v>0.312</v>
      </c>
      <c r="L1094" s="886">
        <v>0.311477</v>
      </c>
      <c r="M1094" s="882"/>
    </row>
    <row r="1095" spans="1:13" ht="12.75">
      <c r="A1095" s="882"/>
      <c r="B1095" s="882"/>
      <c r="C1095" s="882"/>
      <c r="D1095" s="882"/>
      <c r="E1095" s="883" t="s">
        <v>198</v>
      </c>
      <c r="F1095" s="883" t="s">
        <v>199</v>
      </c>
      <c r="G1095" s="883" t="s">
        <v>110</v>
      </c>
      <c r="H1095" s="883" t="s">
        <v>2063</v>
      </c>
      <c r="I1095" s="883" t="s">
        <v>2842</v>
      </c>
      <c r="J1095" s="885">
        <v>0</v>
      </c>
      <c r="K1095" s="885">
        <v>0.131</v>
      </c>
      <c r="L1095" s="886">
        <v>0.129729</v>
      </c>
      <c r="M1095" s="882"/>
    </row>
    <row r="1096" spans="1:13" ht="12.75">
      <c r="A1096" s="882"/>
      <c r="B1096" s="882"/>
      <c r="C1096" s="882"/>
      <c r="D1096" s="882"/>
      <c r="E1096" s="883" t="s">
        <v>200</v>
      </c>
      <c r="F1096" s="883" t="s">
        <v>201</v>
      </c>
      <c r="G1096" s="883" t="s">
        <v>110</v>
      </c>
      <c r="H1096" s="883" t="s">
        <v>2063</v>
      </c>
      <c r="I1096" s="883" t="s">
        <v>2538</v>
      </c>
      <c r="J1096" s="885">
        <v>0</v>
      </c>
      <c r="K1096" s="885">
        <v>0.631</v>
      </c>
      <c r="L1096" s="886">
        <v>0.630685</v>
      </c>
      <c r="M1096" s="882"/>
    </row>
    <row r="1097" spans="1:13" ht="12.75">
      <c r="A1097" s="882"/>
      <c r="B1097" s="882"/>
      <c r="C1097" s="882"/>
      <c r="D1097" s="882"/>
      <c r="E1097" s="883" t="s">
        <v>200</v>
      </c>
      <c r="F1097" s="883" t="s">
        <v>201</v>
      </c>
      <c r="G1097" s="883" t="s">
        <v>110</v>
      </c>
      <c r="H1097" s="883" t="s">
        <v>2063</v>
      </c>
      <c r="I1097" s="883" t="s">
        <v>2564</v>
      </c>
      <c r="J1097" s="884">
        <v>3.714</v>
      </c>
      <c r="K1097" s="885">
        <v>2.281</v>
      </c>
      <c r="L1097" s="886">
        <v>2.280422</v>
      </c>
      <c r="M1097" s="882"/>
    </row>
    <row r="1098" spans="1:13" ht="12.75">
      <c r="A1098" s="882"/>
      <c r="B1098" s="882"/>
      <c r="C1098" s="882"/>
      <c r="D1098" s="882"/>
      <c r="E1098" s="883" t="s">
        <v>200</v>
      </c>
      <c r="F1098" s="883" t="s">
        <v>201</v>
      </c>
      <c r="G1098" s="883" t="s">
        <v>110</v>
      </c>
      <c r="H1098" s="883" t="s">
        <v>2063</v>
      </c>
      <c r="I1098" s="883" t="s">
        <v>2842</v>
      </c>
      <c r="J1098" s="885">
        <v>0</v>
      </c>
      <c r="K1098" s="885">
        <v>0.097</v>
      </c>
      <c r="L1098" s="886">
        <v>0.095778</v>
      </c>
      <c r="M1098" s="882"/>
    </row>
    <row r="1099" spans="1:13" ht="12.75">
      <c r="A1099" s="882"/>
      <c r="B1099" s="882"/>
      <c r="C1099" s="882"/>
      <c r="D1099" s="882"/>
      <c r="E1099" s="883" t="s">
        <v>202</v>
      </c>
      <c r="F1099" s="883" t="s">
        <v>203</v>
      </c>
      <c r="G1099" s="883" t="s">
        <v>110</v>
      </c>
      <c r="H1099" s="883" t="s">
        <v>2063</v>
      </c>
      <c r="I1099" s="883" t="s">
        <v>1079</v>
      </c>
      <c r="J1099" s="885">
        <v>0</v>
      </c>
      <c r="K1099" s="885">
        <v>0</v>
      </c>
      <c r="L1099" s="886">
        <v>2.254932</v>
      </c>
      <c r="M1099" s="882"/>
    </row>
    <row r="1100" spans="1:13" ht="12.75">
      <c r="A1100" s="882"/>
      <c r="B1100" s="882"/>
      <c r="C1100" s="882"/>
      <c r="D1100" s="882"/>
      <c r="E1100" s="883" t="s">
        <v>202</v>
      </c>
      <c r="F1100" s="883" t="s">
        <v>203</v>
      </c>
      <c r="G1100" s="883" t="s">
        <v>110</v>
      </c>
      <c r="H1100" s="883" t="s">
        <v>2063</v>
      </c>
      <c r="I1100" s="883" t="s">
        <v>1079</v>
      </c>
      <c r="J1100" s="885">
        <v>0</v>
      </c>
      <c r="K1100" s="885">
        <v>0</v>
      </c>
      <c r="L1100" s="886">
        <v>0.00538464</v>
      </c>
      <c r="M1100" s="882"/>
    </row>
    <row r="1101" spans="1:13" ht="12.75">
      <c r="A1101" s="882"/>
      <c r="B1101" s="882"/>
      <c r="C1101" s="882"/>
      <c r="D1101" s="882"/>
      <c r="E1101" s="883" t="s">
        <v>202</v>
      </c>
      <c r="F1101" s="883" t="s">
        <v>203</v>
      </c>
      <c r="G1101" s="883" t="s">
        <v>110</v>
      </c>
      <c r="H1101" s="883" t="s">
        <v>2063</v>
      </c>
      <c r="I1101" s="883" t="s">
        <v>2564</v>
      </c>
      <c r="J1101" s="884">
        <v>3.463</v>
      </c>
      <c r="K1101" s="885">
        <v>0.346</v>
      </c>
      <c r="L1101" s="886">
        <v>0.34513236</v>
      </c>
      <c r="M1101" s="882"/>
    </row>
    <row r="1102" spans="1:13" ht="12.75">
      <c r="A1102" s="882"/>
      <c r="B1102" s="882"/>
      <c r="C1102" s="882"/>
      <c r="D1102" s="882"/>
      <c r="E1102" s="883" t="s">
        <v>202</v>
      </c>
      <c r="F1102" s="883" t="s">
        <v>203</v>
      </c>
      <c r="G1102" s="883" t="s">
        <v>110</v>
      </c>
      <c r="H1102" s="883" t="s">
        <v>2063</v>
      </c>
      <c r="I1102" s="883" t="s">
        <v>2538</v>
      </c>
      <c r="J1102" s="885">
        <v>0</v>
      </c>
      <c r="K1102" s="885">
        <v>0.594</v>
      </c>
      <c r="L1102" s="886">
        <v>0.577884</v>
      </c>
      <c r="M1102" s="882"/>
    </row>
    <row r="1103" spans="1:13" ht="12.75">
      <c r="A1103" s="882"/>
      <c r="B1103" s="882"/>
      <c r="C1103" s="882"/>
      <c r="D1103" s="882"/>
      <c r="E1103" s="883" t="s">
        <v>202</v>
      </c>
      <c r="F1103" s="883" t="s">
        <v>203</v>
      </c>
      <c r="G1103" s="883" t="s">
        <v>110</v>
      </c>
      <c r="H1103" s="883" t="s">
        <v>2063</v>
      </c>
      <c r="I1103" s="883" t="s">
        <v>2842</v>
      </c>
      <c r="J1103" s="885">
        <v>0</v>
      </c>
      <c r="K1103" s="885">
        <v>0.091</v>
      </c>
      <c r="L1103" s="886">
        <v>0.090488</v>
      </c>
      <c r="M1103" s="882"/>
    </row>
    <row r="1104" spans="1:13" ht="12.75">
      <c r="A1104" s="882"/>
      <c r="B1104" s="882"/>
      <c r="C1104" s="882"/>
      <c r="D1104" s="882"/>
      <c r="E1104" s="883" t="s">
        <v>204</v>
      </c>
      <c r="F1104" s="883" t="s">
        <v>205</v>
      </c>
      <c r="G1104" s="883" t="s">
        <v>110</v>
      </c>
      <c r="H1104" s="883" t="s">
        <v>2063</v>
      </c>
      <c r="I1104" s="883" t="s">
        <v>2564</v>
      </c>
      <c r="J1104" s="884">
        <v>3.225</v>
      </c>
      <c r="K1104" s="885">
        <v>2.041</v>
      </c>
      <c r="L1104" s="886">
        <v>2.039947</v>
      </c>
      <c r="M1104" s="882"/>
    </row>
    <row r="1105" spans="1:13" ht="12.75">
      <c r="A1105" s="882"/>
      <c r="B1105" s="882"/>
      <c r="C1105" s="882"/>
      <c r="D1105" s="882"/>
      <c r="E1105" s="883" t="s">
        <v>204</v>
      </c>
      <c r="F1105" s="883" t="s">
        <v>205</v>
      </c>
      <c r="G1105" s="883" t="s">
        <v>110</v>
      </c>
      <c r="H1105" s="883" t="s">
        <v>2063</v>
      </c>
      <c r="I1105" s="883" t="s">
        <v>2842</v>
      </c>
      <c r="J1105" s="885">
        <v>0</v>
      </c>
      <c r="K1105" s="885">
        <v>0.086</v>
      </c>
      <c r="L1105" s="886">
        <v>0.061955</v>
      </c>
      <c r="M1105" s="882"/>
    </row>
    <row r="1106" spans="1:13" ht="12.75">
      <c r="A1106" s="882"/>
      <c r="B1106" s="882"/>
      <c r="C1106" s="882"/>
      <c r="D1106" s="882"/>
      <c r="E1106" s="883" t="s">
        <v>204</v>
      </c>
      <c r="F1106" s="883" t="s">
        <v>205</v>
      </c>
      <c r="G1106" s="883" t="s">
        <v>110</v>
      </c>
      <c r="H1106" s="883" t="s">
        <v>2063</v>
      </c>
      <c r="I1106" s="883" t="s">
        <v>2538</v>
      </c>
      <c r="J1106" s="885">
        <v>0</v>
      </c>
      <c r="K1106" s="885">
        <v>0.447</v>
      </c>
      <c r="L1106" s="886">
        <v>0.446796</v>
      </c>
      <c r="M1106" s="882"/>
    </row>
    <row r="1107" spans="1:13" ht="12.75">
      <c r="A1107" s="882"/>
      <c r="B1107" s="882"/>
      <c r="C1107" s="882"/>
      <c r="D1107" s="882"/>
      <c r="E1107" s="883" t="s">
        <v>204</v>
      </c>
      <c r="F1107" s="883" t="s">
        <v>205</v>
      </c>
      <c r="G1107" s="883" t="s">
        <v>110</v>
      </c>
      <c r="H1107" s="883" t="s">
        <v>2063</v>
      </c>
      <c r="I1107" s="883" t="s">
        <v>2841</v>
      </c>
      <c r="J1107" s="885">
        <v>0</v>
      </c>
      <c r="K1107" s="885">
        <v>0.024</v>
      </c>
      <c r="L1107" s="886">
        <v>0.023473</v>
      </c>
      <c r="M1107" s="882"/>
    </row>
    <row r="1108" spans="1:13" ht="12.75">
      <c r="A1108" s="882"/>
      <c r="B1108" s="882"/>
      <c r="C1108" s="882"/>
      <c r="D1108" s="882"/>
      <c r="E1108" s="883" t="s">
        <v>206</v>
      </c>
      <c r="F1108" s="883" t="s">
        <v>207</v>
      </c>
      <c r="G1108" s="883" t="s">
        <v>95</v>
      </c>
      <c r="H1108" s="883" t="s">
        <v>2063</v>
      </c>
      <c r="I1108" s="883" t="s">
        <v>2538</v>
      </c>
      <c r="J1108" s="884">
        <v>24.949</v>
      </c>
      <c r="K1108" s="885">
        <v>4.318</v>
      </c>
      <c r="L1108" s="886">
        <v>4.317677</v>
      </c>
      <c r="M1108" s="882"/>
    </row>
    <row r="1109" spans="1:13" ht="12.75">
      <c r="A1109" s="882"/>
      <c r="B1109" s="882"/>
      <c r="C1109" s="882"/>
      <c r="D1109" s="882"/>
      <c r="E1109" s="883" t="s">
        <v>208</v>
      </c>
      <c r="F1109" s="883" t="s">
        <v>209</v>
      </c>
      <c r="G1109" s="883" t="s">
        <v>95</v>
      </c>
      <c r="H1109" s="883" t="s">
        <v>2063</v>
      </c>
      <c r="I1109" s="883" t="s">
        <v>2627</v>
      </c>
      <c r="J1109" s="885">
        <v>0</v>
      </c>
      <c r="K1109" s="885">
        <v>0</v>
      </c>
      <c r="L1109" s="886">
        <v>1.498393</v>
      </c>
      <c r="M1109" s="882"/>
    </row>
    <row r="1110" spans="1:13" ht="12.75">
      <c r="A1110" s="882"/>
      <c r="B1110" s="882"/>
      <c r="C1110" s="882"/>
      <c r="D1110" s="882"/>
      <c r="E1110" s="883" t="s">
        <v>210</v>
      </c>
      <c r="F1110" s="883" t="s">
        <v>211</v>
      </c>
      <c r="G1110" s="883" t="s">
        <v>95</v>
      </c>
      <c r="H1110" s="883" t="s">
        <v>2063</v>
      </c>
      <c r="I1110" s="883" t="s">
        <v>2627</v>
      </c>
      <c r="J1110" s="885">
        <v>0</v>
      </c>
      <c r="K1110" s="885">
        <v>0</v>
      </c>
      <c r="L1110" s="886">
        <v>0.99999999</v>
      </c>
      <c r="M1110" s="882"/>
    </row>
    <row r="1111" spans="1:13" ht="12.75">
      <c r="A1111" s="882"/>
      <c r="B1111" s="882"/>
      <c r="C1111" s="882"/>
      <c r="D1111" s="882"/>
      <c r="E1111" s="883" t="s">
        <v>212</v>
      </c>
      <c r="F1111" s="883" t="s">
        <v>213</v>
      </c>
      <c r="G1111" s="883" t="s">
        <v>95</v>
      </c>
      <c r="H1111" s="883" t="s">
        <v>2063</v>
      </c>
      <c r="I1111" s="883" t="s">
        <v>2897</v>
      </c>
      <c r="J1111" s="885">
        <v>0</v>
      </c>
      <c r="K1111" s="885">
        <v>0</v>
      </c>
      <c r="L1111" s="886">
        <v>2.149672</v>
      </c>
      <c r="M1111" s="882"/>
    </row>
    <row r="1112" spans="1:13" ht="12.75">
      <c r="A1112" s="882"/>
      <c r="B1112" s="882"/>
      <c r="C1112" s="882"/>
      <c r="D1112" s="882"/>
      <c r="E1112" s="883" t="s">
        <v>214</v>
      </c>
      <c r="F1112" s="883" t="s">
        <v>215</v>
      </c>
      <c r="G1112" s="883" t="s">
        <v>2955</v>
      </c>
      <c r="H1112" s="883" t="s">
        <v>2063</v>
      </c>
      <c r="I1112" s="883" t="s">
        <v>2538</v>
      </c>
      <c r="J1112" s="885">
        <v>0</v>
      </c>
      <c r="K1112" s="885">
        <v>3</v>
      </c>
      <c r="L1112" s="886">
        <v>2.9993776</v>
      </c>
      <c r="M1112" s="882"/>
    </row>
    <row r="1113" spans="1:13" ht="12.75">
      <c r="A1113" s="882"/>
      <c r="B1113" s="882"/>
      <c r="C1113" s="882"/>
      <c r="D1113" s="882"/>
      <c r="E1113" s="883" t="s">
        <v>216</v>
      </c>
      <c r="F1113" s="883" t="s">
        <v>217</v>
      </c>
      <c r="G1113" s="883" t="s">
        <v>2955</v>
      </c>
      <c r="H1113" s="883" t="s">
        <v>2063</v>
      </c>
      <c r="I1113" s="883" t="s">
        <v>2538</v>
      </c>
      <c r="J1113" s="885">
        <v>0</v>
      </c>
      <c r="K1113" s="885">
        <v>0.5</v>
      </c>
      <c r="L1113" s="886">
        <v>0.49912527</v>
      </c>
      <c r="M1113" s="882"/>
    </row>
    <row r="1114" spans="1:13" ht="12.75">
      <c r="A1114" s="882"/>
      <c r="B1114" s="882"/>
      <c r="C1114" s="882"/>
      <c r="D1114" s="882"/>
      <c r="E1114" s="883" t="s">
        <v>218</v>
      </c>
      <c r="F1114" s="883" t="s">
        <v>219</v>
      </c>
      <c r="G1114" s="883" t="s">
        <v>95</v>
      </c>
      <c r="H1114" s="883" t="s">
        <v>2063</v>
      </c>
      <c r="I1114" s="883" t="s">
        <v>2538</v>
      </c>
      <c r="J1114" s="885">
        <v>0</v>
      </c>
      <c r="K1114" s="885">
        <v>0.2</v>
      </c>
      <c r="L1114" s="886">
        <v>0.19999965</v>
      </c>
      <c r="M1114" s="882"/>
    </row>
    <row r="1115" spans="1:13" ht="12.75">
      <c r="A1115" s="882"/>
      <c r="B1115" s="882"/>
      <c r="C1115" s="882"/>
      <c r="D1115" s="882"/>
      <c r="E1115" s="883" t="s">
        <v>220</v>
      </c>
      <c r="F1115" s="883" t="s">
        <v>221</v>
      </c>
      <c r="G1115" s="883" t="s">
        <v>158</v>
      </c>
      <c r="H1115" s="883" t="s">
        <v>2063</v>
      </c>
      <c r="I1115" s="883" t="s">
        <v>2538</v>
      </c>
      <c r="J1115" s="885">
        <v>0</v>
      </c>
      <c r="K1115" s="885">
        <v>0.112</v>
      </c>
      <c r="L1115" s="886">
        <v>0.111266</v>
      </c>
      <c r="M1115" s="882"/>
    </row>
    <row r="1116" spans="1:13" ht="12.75">
      <c r="A1116" s="882"/>
      <c r="B1116" s="882"/>
      <c r="C1116" s="882"/>
      <c r="D1116" s="882"/>
      <c r="E1116" s="883" t="s">
        <v>220</v>
      </c>
      <c r="F1116" s="883" t="s">
        <v>221</v>
      </c>
      <c r="G1116" s="883" t="s">
        <v>158</v>
      </c>
      <c r="H1116" s="883" t="s">
        <v>2063</v>
      </c>
      <c r="I1116" s="883" t="s">
        <v>2841</v>
      </c>
      <c r="J1116" s="885">
        <v>0</v>
      </c>
      <c r="K1116" s="885">
        <v>0.18</v>
      </c>
      <c r="L1116" s="886">
        <v>0.179334</v>
      </c>
      <c r="M1116" s="882"/>
    </row>
    <row r="1117" spans="1:13" ht="12.75">
      <c r="A1117" s="882"/>
      <c r="B1117" s="882"/>
      <c r="C1117" s="882"/>
      <c r="D1117" s="882"/>
      <c r="E1117" s="883" t="s">
        <v>222</v>
      </c>
      <c r="F1117" s="883" t="s">
        <v>223</v>
      </c>
      <c r="G1117" s="883" t="s">
        <v>145</v>
      </c>
      <c r="H1117" s="883" t="s">
        <v>2063</v>
      </c>
      <c r="I1117" s="883" t="s">
        <v>2564</v>
      </c>
      <c r="J1117" s="884">
        <v>1.832</v>
      </c>
      <c r="K1117" s="885">
        <v>0</v>
      </c>
      <c r="L1117" s="886">
        <v>0</v>
      </c>
      <c r="M1117" s="882"/>
    </row>
    <row r="1118" spans="1:13" ht="12.75">
      <c r="A1118" s="882"/>
      <c r="B1118" s="882"/>
      <c r="C1118" s="882"/>
      <c r="D1118" s="882"/>
      <c r="E1118" s="883" t="s">
        <v>224</v>
      </c>
      <c r="F1118" s="883" t="s">
        <v>225</v>
      </c>
      <c r="G1118" s="883" t="s">
        <v>91</v>
      </c>
      <c r="H1118" s="883" t="s">
        <v>2063</v>
      </c>
      <c r="I1118" s="883" t="s">
        <v>1079</v>
      </c>
      <c r="J1118" s="885">
        <v>0</v>
      </c>
      <c r="K1118" s="885">
        <v>0</v>
      </c>
      <c r="L1118" s="886">
        <v>0.07973</v>
      </c>
      <c r="M1118" s="882"/>
    </row>
    <row r="1119" spans="1:13" ht="12.75">
      <c r="A1119" s="882"/>
      <c r="B1119" s="882"/>
      <c r="C1119" s="882"/>
      <c r="D1119" s="882"/>
      <c r="E1119" s="883" t="s">
        <v>226</v>
      </c>
      <c r="F1119" s="883" t="s">
        <v>227</v>
      </c>
      <c r="G1119" s="883" t="s">
        <v>91</v>
      </c>
      <c r="H1119" s="883" t="s">
        <v>2063</v>
      </c>
      <c r="I1119" s="883" t="s">
        <v>1079</v>
      </c>
      <c r="J1119" s="885">
        <v>0</v>
      </c>
      <c r="K1119" s="885">
        <v>0</v>
      </c>
      <c r="L1119" s="886">
        <v>1.22302085</v>
      </c>
      <c r="M1119" s="882"/>
    </row>
    <row r="1120" spans="1:13" ht="12.75">
      <c r="A1120" s="882"/>
      <c r="B1120" s="882"/>
      <c r="C1120" s="882"/>
      <c r="D1120" s="882"/>
      <c r="E1120" s="883" t="s">
        <v>228</v>
      </c>
      <c r="F1120" s="883" t="s">
        <v>229</v>
      </c>
      <c r="G1120" s="883" t="s">
        <v>110</v>
      </c>
      <c r="H1120" s="883" t="s">
        <v>2063</v>
      </c>
      <c r="I1120" s="883" t="s">
        <v>2538</v>
      </c>
      <c r="J1120" s="884">
        <v>10.5</v>
      </c>
      <c r="K1120" s="885">
        <v>0.618</v>
      </c>
      <c r="L1120" s="886">
        <v>0.617837</v>
      </c>
      <c r="M1120" s="882"/>
    </row>
    <row r="1121" spans="1:13" ht="12.75">
      <c r="A1121" s="882"/>
      <c r="B1121" s="882"/>
      <c r="C1121" s="882"/>
      <c r="D1121" s="882"/>
      <c r="E1121" s="883" t="s">
        <v>230</v>
      </c>
      <c r="F1121" s="883" t="s">
        <v>231</v>
      </c>
      <c r="G1121" s="883" t="s">
        <v>2955</v>
      </c>
      <c r="H1121" s="883" t="s">
        <v>2063</v>
      </c>
      <c r="I1121" s="883" t="s">
        <v>2538</v>
      </c>
      <c r="J1121" s="885">
        <v>0</v>
      </c>
      <c r="K1121" s="885">
        <v>0.836</v>
      </c>
      <c r="L1121" s="886">
        <v>0.8357109</v>
      </c>
      <c r="M1121" s="882"/>
    </row>
    <row r="1122" spans="1:13" ht="12.75">
      <c r="A1122" s="882"/>
      <c r="B1122" s="882"/>
      <c r="C1122" s="882"/>
      <c r="D1122" s="882"/>
      <c r="E1122" s="883" t="s">
        <v>232</v>
      </c>
      <c r="F1122" s="883" t="s">
        <v>233</v>
      </c>
      <c r="G1122" s="883" t="s">
        <v>158</v>
      </c>
      <c r="H1122" s="883" t="s">
        <v>2063</v>
      </c>
      <c r="I1122" s="883" t="s">
        <v>2627</v>
      </c>
      <c r="J1122" s="884">
        <v>0</v>
      </c>
      <c r="K1122" s="885">
        <v>0</v>
      </c>
      <c r="L1122" s="886">
        <v>0</v>
      </c>
      <c r="M1122" s="882"/>
    </row>
    <row r="1123" spans="1:13" ht="12.75">
      <c r="A1123" s="882"/>
      <c r="B1123" s="882"/>
      <c r="C1123" s="882"/>
      <c r="D1123" s="882"/>
      <c r="E1123" s="883" t="s">
        <v>234</v>
      </c>
      <c r="F1123" s="883" t="s">
        <v>235</v>
      </c>
      <c r="G1123" s="883" t="s">
        <v>158</v>
      </c>
      <c r="H1123" s="883" t="s">
        <v>2063</v>
      </c>
      <c r="I1123" s="883" t="s">
        <v>2627</v>
      </c>
      <c r="J1123" s="885">
        <v>0</v>
      </c>
      <c r="K1123" s="885">
        <v>0</v>
      </c>
      <c r="L1123" s="886">
        <v>2.229735</v>
      </c>
      <c r="M1123" s="882"/>
    </row>
    <row r="1124" spans="1:13" ht="12.75">
      <c r="A1124" s="882"/>
      <c r="B1124" s="882"/>
      <c r="C1124" s="882"/>
      <c r="D1124" s="882"/>
      <c r="E1124" s="883" t="s">
        <v>234</v>
      </c>
      <c r="F1124" s="883" t="s">
        <v>235</v>
      </c>
      <c r="G1124" s="883" t="s">
        <v>158</v>
      </c>
      <c r="H1124" s="883" t="s">
        <v>2063</v>
      </c>
      <c r="I1124" s="883" t="s">
        <v>2841</v>
      </c>
      <c r="J1124" s="884">
        <v>0.3</v>
      </c>
      <c r="K1124" s="885">
        <v>0.287</v>
      </c>
      <c r="L1124" s="886">
        <v>0.2869</v>
      </c>
      <c r="M1124" s="882"/>
    </row>
    <row r="1125" spans="1:13" ht="12.75">
      <c r="A1125" s="882"/>
      <c r="B1125" s="882"/>
      <c r="C1125" s="882"/>
      <c r="D1125" s="882"/>
      <c r="E1125" s="883" t="s">
        <v>234</v>
      </c>
      <c r="F1125" s="883" t="s">
        <v>235</v>
      </c>
      <c r="G1125" s="883" t="s">
        <v>158</v>
      </c>
      <c r="H1125" s="883" t="s">
        <v>2063</v>
      </c>
      <c r="I1125" s="883" t="s">
        <v>2538</v>
      </c>
      <c r="J1125" s="884">
        <v>2.53</v>
      </c>
      <c r="K1125" s="885">
        <v>2.697</v>
      </c>
      <c r="L1125" s="886">
        <v>2.696265</v>
      </c>
      <c r="M1125" s="882"/>
    </row>
    <row r="1126" spans="1:13" ht="12.75">
      <c r="A1126" s="882"/>
      <c r="B1126" s="882"/>
      <c r="C1126" s="882"/>
      <c r="D1126" s="882"/>
      <c r="E1126" s="883" t="s">
        <v>236</v>
      </c>
      <c r="F1126" s="883" t="s">
        <v>237</v>
      </c>
      <c r="G1126" s="883" t="s">
        <v>145</v>
      </c>
      <c r="H1126" s="883" t="s">
        <v>2063</v>
      </c>
      <c r="I1126" s="883" t="s">
        <v>2538</v>
      </c>
      <c r="J1126" s="885">
        <v>0</v>
      </c>
      <c r="K1126" s="885">
        <v>0.429</v>
      </c>
      <c r="L1126" s="886">
        <v>0.4284</v>
      </c>
      <c r="M1126" s="882"/>
    </row>
    <row r="1127" spans="1:13" ht="12.75">
      <c r="A1127" s="882"/>
      <c r="B1127" s="882"/>
      <c r="C1127" s="882"/>
      <c r="D1127" s="882"/>
      <c r="E1127" s="883" t="s">
        <v>238</v>
      </c>
      <c r="F1127" s="883" t="s">
        <v>239</v>
      </c>
      <c r="G1127" s="883" t="s">
        <v>93</v>
      </c>
      <c r="H1127" s="883" t="s">
        <v>2063</v>
      </c>
      <c r="I1127" s="883" t="s">
        <v>2538</v>
      </c>
      <c r="J1127" s="884">
        <v>0.685</v>
      </c>
      <c r="K1127" s="885">
        <v>0.673</v>
      </c>
      <c r="L1127" s="886">
        <v>0.672707</v>
      </c>
      <c r="M1127" s="882"/>
    </row>
    <row r="1128" spans="1:13" ht="12.75">
      <c r="A1128" s="882"/>
      <c r="B1128" s="882"/>
      <c r="C1128" s="882"/>
      <c r="D1128" s="882"/>
      <c r="E1128" s="883" t="s">
        <v>240</v>
      </c>
      <c r="F1128" s="883" t="s">
        <v>241</v>
      </c>
      <c r="G1128" s="883" t="s">
        <v>132</v>
      </c>
      <c r="H1128" s="883" t="s">
        <v>2063</v>
      </c>
      <c r="I1128" s="883" t="s">
        <v>2538</v>
      </c>
      <c r="J1128" s="885">
        <v>0</v>
      </c>
      <c r="K1128" s="885">
        <v>1.013</v>
      </c>
      <c r="L1128" s="886">
        <v>1.012663</v>
      </c>
      <c r="M1128" s="882"/>
    </row>
    <row r="1129" spans="1:13" ht="12.75">
      <c r="A1129" s="882"/>
      <c r="B1129" s="882"/>
      <c r="C1129" s="882"/>
      <c r="D1129" s="882"/>
      <c r="E1129" s="883" t="s">
        <v>242</v>
      </c>
      <c r="F1129" s="883" t="s">
        <v>243</v>
      </c>
      <c r="G1129" s="883" t="s">
        <v>93</v>
      </c>
      <c r="H1129" s="883" t="s">
        <v>2543</v>
      </c>
      <c r="I1129" s="883" t="s">
        <v>2538</v>
      </c>
      <c r="J1129" s="884">
        <v>3.71</v>
      </c>
      <c r="K1129" s="885">
        <v>3.717</v>
      </c>
      <c r="L1129" s="886">
        <v>0</v>
      </c>
      <c r="M1129" s="882"/>
    </row>
    <row r="1130" spans="1:13" ht="12.75">
      <c r="A1130" s="882"/>
      <c r="B1130" s="882"/>
      <c r="C1130" s="882"/>
      <c r="D1130" s="882"/>
      <c r="E1130" s="883" t="s">
        <v>242</v>
      </c>
      <c r="F1130" s="883" t="s">
        <v>243</v>
      </c>
      <c r="G1130" s="883" t="s">
        <v>93</v>
      </c>
      <c r="H1130" s="883" t="s">
        <v>2543</v>
      </c>
      <c r="I1130" s="883" t="s">
        <v>72</v>
      </c>
      <c r="J1130" s="884">
        <v>10.821</v>
      </c>
      <c r="K1130" s="885">
        <v>10.555</v>
      </c>
      <c r="L1130" s="886">
        <v>0</v>
      </c>
      <c r="M1130" s="882"/>
    </row>
    <row r="1131" spans="1:13" ht="12.75">
      <c r="A1131" s="882"/>
      <c r="B1131" s="882"/>
      <c r="C1131" s="882"/>
      <c r="D1131" s="882"/>
      <c r="E1131" s="883" t="s">
        <v>244</v>
      </c>
      <c r="F1131" s="883" t="s">
        <v>245</v>
      </c>
      <c r="G1131" s="883" t="s">
        <v>93</v>
      </c>
      <c r="H1131" s="883" t="s">
        <v>2063</v>
      </c>
      <c r="I1131" s="883" t="s">
        <v>2538</v>
      </c>
      <c r="J1131" s="884">
        <v>3.525</v>
      </c>
      <c r="K1131" s="885">
        <v>6.375</v>
      </c>
      <c r="L1131" s="886">
        <v>6.374162</v>
      </c>
      <c r="M1131" s="882"/>
    </row>
    <row r="1132" spans="1:13" ht="12.75">
      <c r="A1132" s="882"/>
      <c r="B1132" s="882"/>
      <c r="C1132" s="882"/>
      <c r="D1132" s="882"/>
      <c r="E1132" s="883" t="s">
        <v>246</v>
      </c>
      <c r="F1132" s="883" t="s">
        <v>247</v>
      </c>
      <c r="G1132" s="883" t="s">
        <v>93</v>
      </c>
      <c r="H1132" s="883" t="s">
        <v>2543</v>
      </c>
      <c r="I1132" s="883" t="s">
        <v>2538</v>
      </c>
      <c r="J1132" s="884">
        <v>1.045</v>
      </c>
      <c r="K1132" s="885">
        <v>0</v>
      </c>
      <c r="L1132" s="886">
        <v>0</v>
      </c>
      <c r="M1132" s="882"/>
    </row>
    <row r="1133" spans="1:13" ht="12.75">
      <c r="A1133" s="882"/>
      <c r="B1133" s="882"/>
      <c r="C1133" s="882"/>
      <c r="D1133" s="882"/>
      <c r="E1133" s="883" t="s">
        <v>248</v>
      </c>
      <c r="F1133" s="883" t="s">
        <v>249</v>
      </c>
      <c r="G1133" s="883" t="s">
        <v>145</v>
      </c>
      <c r="H1133" s="883" t="s">
        <v>2063</v>
      </c>
      <c r="I1133" s="883" t="s">
        <v>2538</v>
      </c>
      <c r="J1133" s="884">
        <v>9.1</v>
      </c>
      <c r="K1133" s="885">
        <v>0.98</v>
      </c>
      <c r="L1133" s="886">
        <v>0.98</v>
      </c>
      <c r="M1133" s="882"/>
    </row>
    <row r="1134" spans="1:13" ht="12.75">
      <c r="A1134" s="882"/>
      <c r="B1134" s="882"/>
      <c r="C1134" s="882"/>
      <c r="D1134" s="882"/>
      <c r="E1134" s="883" t="s">
        <v>248</v>
      </c>
      <c r="F1134" s="883" t="s">
        <v>249</v>
      </c>
      <c r="G1134" s="883" t="s">
        <v>145</v>
      </c>
      <c r="H1134" s="883" t="s">
        <v>2063</v>
      </c>
      <c r="I1134" s="883" t="s">
        <v>2841</v>
      </c>
      <c r="J1134" s="885">
        <v>0</v>
      </c>
      <c r="K1134" s="885">
        <v>0.095</v>
      </c>
      <c r="L1134" s="886">
        <v>0.09432673</v>
      </c>
      <c r="M1134" s="882"/>
    </row>
    <row r="1135" spans="1:13" ht="12.75">
      <c r="A1135" s="882"/>
      <c r="B1135" s="882"/>
      <c r="C1135" s="882"/>
      <c r="D1135" s="882"/>
      <c r="E1135" s="883" t="s">
        <v>250</v>
      </c>
      <c r="F1135" s="883" t="s">
        <v>251</v>
      </c>
      <c r="G1135" s="883" t="s">
        <v>91</v>
      </c>
      <c r="H1135" s="883" t="s">
        <v>2543</v>
      </c>
      <c r="I1135" s="883" t="s">
        <v>2842</v>
      </c>
      <c r="J1135" s="884">
        <v>25.737</v>
      </c>
      <c r="K1135" s="885">
        <v>3.393</v>
      </c>
      <c r="L1135" s="886">
        <v>0</v>
      </c>
      <c r="M1135" s="882"/>
    </row>
    <row r="1136" spans="1:13" ht="12.75">
      <c r="A1136" s="882"/>
      <c r="B1136" s="882"/>
      <c r="C1136" s="882"/>
      <c r="D1136" s="882"/>
      <c r="E1136" s="883" t="s">
        <v>252</v>
      </c>
      <c r="F1136" s="883" t="s">
        <v>253</v>
      </c>
      <c r="G1136" s="883" t="s">
        <v>121</v>
      </c>
      <c r="H1136" s="883" t="s">
        <v>2063</v>
      </c>
      <c r="I1136" s="883" t="s">
        <v>2627</v>
      </c>
      <c r="J1136" s="885">
        <v>0</v>
      </c>
      <c r="K1136" s="885">
        <v>0</v>
      </c>
      <c r="L1136" s="886">
        <v>20</v>
      </c>
      <c r="M1136" s="882"/>
    </row>
    <row r="1137" spans="1:13" ht="12.75">
      <c r="A1137" s="882"/>
      <c r="B1137" s="882"/>
      <c r="C1137" s="882"/>
      <c r="D1137" s="882"/>
      <c r="E1137" s="883" t="s">
        <v>252</v>
      </c>
      <c r="F1137" s="883" t="s">
        <v>253</v>
      </c>
      <c r="G1137" s="883" t="s">
        <v>121</v>
      </c>
      <c r="H1137" s="883" t="s">
        <v>2063</v>
      </c>
      <c r="I1137" s="883" t="s">
        <v>2538</v>
      </c>
      <c r="J1137" s="885">
        <v>0</v>
      </c>
      <c r="K1137" s="885">
        <v>10.867</v>
      </c>
      <c r="L1137" s="886">
        <v>10.8662</v>
      </c>
      <c r="M1137" s="882"/>
    </row>
    <row r="1138" spans="1:13" ht="12.75">
      <c r="A1138" s="882"/>
      <c r="B1138" s="882"/>
      <c r="C1138" s="882"/>
      <c r="D1138" s="882"/>
      <c r="E1138" s="883" t="s">
        <v>252</v>
      </c>
      <c r="F1138" s="883" t="s">
        <v>253</v>
      </c>
      <c r="G1138" s="883" t="s">
        <v>121</v>
      </c>
      <c r="H1138" s="883" t="s">
        <v>2063</v>
      </c>
      <c r="I1138" s="883" t="s">
        <v>2564</v>
      </c>
      <c r="J1138" s="884">
        <v>20</v>
      </c>
      <c r="K1138" s="885">
        <v>0</v>
      </c>
      <c r="L1138" s="886">
        <v>0</v>
      </c>
      <c r="M1138" s="882"/>
    </row>
    <row r="1139" spans="1:13" ht="12.75">
      <c r="A1139" s="882"/>
      <c r="B1139" s="882"/>
      <c r="C1139" s="882"/>
      <c r="D1139" s="882"/>
      <c r="E1139" s="883" t="s">
        <v>254</v>
      </c>
      <c r="F1139" s="883" t="s">
        <v>255</v>
      </c>
      <c r="G1139" s="883" t="s">
        <v>91</v>
      </c>
      <c r="H1139" s="883" t="s">
        <v>2063</v>
      </c>
      <c r="I1139" s="883" t="s">
        <v>2564</v>
      </c>
      <c r="J1139" s="884">
        <v>2.664</v>
      </c>
      <c r="K1139" s="885">
        <v>3.21</v>
      </c>
      <c r="L1139" s="886">
        <v>0.22848</v>
      </c>
      <c r="M1139" s="882"/>
    </row>
    <row r="1140" spans="1:13" ht="12.75">
      <c r="A1140" s="882"/>
      <c r="B1140" s="882"/>
      <c r="C1140" s="882"/>
      <c r="D1140" s="882"/>
      <c r="E1140" s="883" t="s">
        <v>256</v>
      </c>
      <c r="F1140" s="883" t="s">
        <v>257</v>
      </c>
      <c r="G1140" s="883" t="s">
        <v>91</v>
      </c>
      <c r="H1140" s="883" t="s">
        <v>2063</v>
      </c>
      <c r="I1140" s="883" t="s">
        <v>2564</v>
      </c>
      <c r="J1140" s="884">
        <v>2.464</v>
      </c>
      <c r="K1140" s="885">
        <v>0</v>
      </c>
      <c r="L1140" s="886">
        <v>0</v>
      </c>
      <c r="M1140" s="882"/>
    </row>
    <row r="1141" spans="1:13" ht="12.75">
      <c r="A1141" s="882"/>
      <c r="B1141" s="882"/>
      <c r="C1141" s="882"/>
      <c r="D1141" s="882"/>
      <c r="E1141" s="883" t="s">
        <v>258</v>
      </c>
      <c r="F1141" s="883" t="s">
        <v>259</v>
      </c>
      <c r="G1141" s="883" t="s">
        <v>91</v>
      </c>
      <c r="H1141" s="883" t="s">
        <v>2063</v>
      </c>
      <c r="I1141" s="883" t="s">
        <v>2564</v>
      </c>
      <c r="J1141" s="884">
        <v>3.264</v>
      </c>
      <c r="K1141" s="885">
        <v>1.469</v>
      </c>
      <c r="L1141" s="886">
        <v>0.13923</v>
      </c>
      <c r="M1141" s="882"/>
    </row>
    <row r="1142" spans="1:13" ht="12.75">
      <c r="A1142" s="882"/>
      <c r="B1142" s="882"/>
      <c r="C1142" s="882"/>
      <c r="D1142" s="882"/>
      <c r="E1142" s="883" t="s">
        <v>260</v>
      </c>
      <c r="F1142" s="883" t="s">
        <v>261</v>
      </c>
      <c r="G1142" s="883" t="s">
        <v>91</v>
      </c>
      <c r="H1142" s="883" t="s">
        <v>2063</v>
      </c>
      <c r="I1142" s="883" t="s">
        <v>2564</v>
      </c>
      <c r="J1142" s="884">
        <v>0.02</v>
      </c>
      <c r="K1142" s="885">
        <v>0.393</v>
      </c>
      <c r="L1142" s="886">
        <v>0.3922574</v>
      </c>
      <c r="M1142" s="882"/>
    </row>
    <row r="1143" spans="1:13" ht="12.75">
      <c r="A1143" s="882"/>
      <c r="B1143" s="882"/>
      <c r="C1143" s="882"/>
      <c r="D1143" s="882"/>
      <c r="E1143" s="883" t="s">
        <v>262</v>
      </c>
      <c r="F1143" s="883" t="s">
        <v>263</v>
      </c>
      <c r="G1143" s="883" t="s">
        <v>91</v>
      </c>
      <c r="H1143" s="883" t="s">
        <v>2063</v>
      </c>
      <c r="I1143" s="883" t="s">
        <v>2564</v>
      </c>
      <c r="J1143" s="884">
        <v>0.937</v>
      </c>
      <c r="K1143" s="885">
        <v>0.525</v>
      </c>
      <c r="L1143" s="886">
        <v>0.3247391</v>
      </c>
      <c r="M1143" s="882"/>
    </row>
    <row r="1144" spans="1:13" ht="12.75">
      <c r="A1144" s="882"/>
      <c r="B1144" s="882"/>
      <c r="C1144" s="882"/>
      <c r="D1144" s="882"/>
      <c r="E1144" s="883" t="s">
        <v>264</v>
      </c>
      <c r="F1144" s="883" t="s">
        <v>265</v>
      </c>
      <c r="G1144" s="883" t="s">
        <v>91</v>
      </c>
      <c r="H1144" s="883" t="s">
        <v>2063</v>
      </c>
      <c r="I1144" s="883" t="s">
        <v>2564</v>
      </c>
      <c r="J1144" s="884">
        <v>1.294</v>
      </c>
      <c r="K1144" s="885">
        <v>2.077</v>
      </c>
      <c r="L1144" s="886">
        <v>2.06794759</v>
      </c>
      <c r="M1144" s="882"/>
    </row>
    <row r="1145" spans="1:13" ht="12.75">
      <c r="A1145" s="882"/>
      <c r="B1145" s="882"/>
      <c r="C1145" s="882"/>
      <c r="D1145" s="882"/>
      <c r="E1145" s="883" t="s">
        <v>264</v>
      </c>
      <c r="F1145" s="883" t="s">
        <v>265</v>
      </c>
      <c r="G1145" s="883" t="s">
        <v>91</v>
      </c>
      <c r="H1145" s="883" t="s">
        <v>2063</v>
      </c>
      <c r="I1145" s="883" t="s">
        <v>2842</v>
      </c>
      <c r="J1145" s="885">
        <v>0</v>
      </c>
      <c r="K1145" s="885">
        <v>0.074</v>
      </c>
      <c r="L1145" s="886">
        <v>0.073381</v>
      </c>
      <c r="M1145" s="882"/>
    </row>
    <row r="1146" spans="1:13" ht="12.75">
      <c r="A1146" s="882"/>
      <c r="B1146" s="882"/>
      <c r="C1146" s="882"/>
      <c r="D1146" s="882"/>
      <c r="E1146" s="883" t="s">
        <v>266</v>
      </c>
      <c r="F1146" s="883" t="s">
        <v>267</v>
      </c>
      <c r="G1146" s="883" t="s">
        <v>91</v>
      </c>
      <c r="H1146" s="883" t="s">
        <v>2543</v>
      </c>
      <c r="I1146" s="883" t="s">
        <v>2564</v>
      </c>
      <c r="J1146" s="884">
        <v>4.764</v>
      </c>
      <c r="K1146" s="885">
        <v>0</v>
      </c>
      <c r="L1146" s="886">
        <v>0</v>
      </c>
      <c r="M1146" s="882"/>
    </row>
    <row r="1147" spans="1:13" ht="12.75">
      <c r="A1147" s="882"/>
      <c r="B1147" s="882"/>
      <c r="C1147" s="882"/>
      <c r="D1147" s="882"/>
      <c r="E1147" s="883" t="s">
        <v>268</v>
      </c>
      <c r="F1147" s="883" t="s">
        <v>269</v>
      </c>
      <c r="G1147" s="883" t="s">
        <v>91</v>
      </c>
      <c r="H1147" s="883" t="s">
        <v>2063</v>
      </c>
      <c r="I1147" s="883" t="s">
        <v>2564</v>
      </c>
      <c r="J1147" s="884">
        <v>1.764</v>
      </c>
      <c r="K1147" s="885">
        <v>1.764</v>
      </c>
      <c r="L1147" s="886">
        <v>0.099841</v>
      </c>
      <c r="M1147" s="882"/>
    </row>
    <row r="1148" spans="1:13" ht="12.75">
      <c r="A1148" s="882"/>
      <c r="B1148" s="882"/>
      <c r="C1148" s="882"/>
      <c r="D1148" s="882"/>
      <c r="E1148" s="883" t="s">
        <v>270</v>
      </c>
      <c r="F1148" s="883" t="s">
        <v>271</v>
      </c>
      <c r="G1148" s="883" t="s">
        <v>91</v>
      </c>
      <c r="H1148" s="883" t="s">
        <v>2543</v>
      </c>
      <c r="I1148" s="883" t="s">
        <v>2564</v>
      </c>
      <c r="J1148" s="884">
        <v>2.664</v>
      </c>
      <c r="K1148" s="885">
        <v>0</v>
      </c>
      <c r="L1148" s="886">
        <v>0</v>
      </c>
      <c r="M1148" s="882"/>
    </row>
    <row r="1149" spans="1:13" ht="12.75">
      <c r="A1149" s="882"/>
      <c r="B1149" s="882"/>
      <c r="C1149" s="882"/>
      <c r="D1149" s="882"/>
      <c r="E1149" s="883" t="s">
        <v>272</v>
      </c>
      <c r="F1149" s="883" t="s">
        <v>273</v>
      </c>
      <c r="G1149" s="883" t="s">
        <v>91</v>
      </c>
      <c r="H1149" s="883" t="s">
        <v>2063</v>
      </c>
      <c r="I1149" s="883" t="s">
        <v>2564</v>
      </c>
      <c r="J1149" s="884">
        <v>2.764</v>
      </c>
      <c r="K1149" s="885">
        <v>2.764</v>
      </c>
      <c r="L1149" s="886">
        <v>0.17612</v>
      </c>
      <c r="M1149" s="882"/>
    </row>
    <row r="1150" spans="1:13" ht="12.75">
      <c r="A1150" s="882"/>
      <c r="B1150" s="882"/>
      <c r="C1150" s="882"/>
      <c r="D1150" s="882"/>
      <c r="E1150" s="883" t="s">
        <v>274</v>
      </c>
      <c r="F1150" s="883" t="s">
        <v>275</v>
      </c>
      <c r="G1150" s="883" t="s">
        <v>158</v>
      </c>
      <c r="H1150" s="883" t="s">
        <v>2063</v>
      </c>
      <c r="I1150" s="883" t="s">
        <v>2564</v>
      </c>
      <c r="J1150" s="884">
        <v>1.975</v>
      </c>
      <c r="K1150" s="885">
        <v>1.975</v>
      </c>
      <c r="L1150" s="886">
        <v>0.00952</v>
      </c>
      <c r="M1150" s="882"/>
    </row>
    <row r="1151" spans="1:13" ht="12.75">
      <c r="A1151" s="882"/>
      <c r="B1151" s="882"/>
      <c r="C1151" s="882"/>
      <c r="D1151" s="882"/>
      <c r="E1151" s="883" t="s">
        <v>276</v>
      </c>
      <c r="F1151" s="883" t="s">
        <v>277</v>
      </c>
      <c r="G1151" s="883" t="s">
        <v>158</v>
      </c>
      <c r="H1151" s="883" t="s">
        <v>2063</v>
      </c>
      <c r="I1151" s="883" t="s">
        <v>2564</v>
      </c>
      <c r="J1151" s="884">
        <v>1.202</v>
      </c>
      <c r="K1151" s="885">
        <v>0.011</v>
      </c>
      <c r="L1151" s="886">
        <v>0</v>
      </c>
      <c r="M1151" s="882"/>
    </row>
    <row r="1152" spans="1:13" ht="12.75">
      <c r="A1152" s="882"/>
      <c r="B1152" s="882"/>
      <c r="C1152" s="882"/>
      <c r="D1152" s="882"/>
      <c r="E1152" s="883" t="s">
        <v>278</v>
      </c>
      <c r="F1152" s="883" t="s">
        <v>279</v>
      </c>
      <c r="G1152" s="883" t="s">
        <v>158</v>
      </c>
      <c r="H1152" s="883" t="s">
        <v>2063</v>
      </c>
      <c r="I1152" s="883" t="s">
        <v>2564</v>
      </c>
      <c r="J1152" s="884">
        <v>1.026</v>
      </c>
      <c r="K1152" s="885">
        <v>1.026</v>
      </c>
      <c r="L1152" s="886">
        <v>0.03927</v>
      </c>
      <c r="M1152" s="882"/>
    </row>
    <row r="1153" spans="1:13" ht="12.75">
      <c r="A1153" s="882"/>
      <c r="B1153" s="882"/>
      <c r="C1153" s="882"/>
      <c r="D1153" s="882"/>
      <c r="E1153" s="883" t="s">
        <v>280</v>
      </c>
      <c r="F1153" s="883" t="s">
        <v>281</v>
      </c>
      <c r="G1153" s="883" t="s">
        <v>158</v>
      </c>
      <c r="H1153" s="883" t="s">
        <v>2063</v>
      </c>
      <c r="I1153" s="883" t="s">
        <v>2564</v>
      </c>
      <c r="J1153" s="884">
        <v>2.356</v>
      </c>
      <c r="K1153" s="885">
        <v>2.356</v>
      </c>
      <c r="L1153" s="886">
        <v>0.02142</v>
      </c>
      <c r="M1153" s="882"/>
    </row>
    <row r="1154" spans="1:13" ht="12.75">
      <c r="A1154" s="882"/>
      <c r="B1154" s="882"/>
      <c r="C1154" s="882"/>
      <c r="D1154" s="882"/>
      <c r="E1154" s="883" t="s">
        <v>282</v>
      </c>
      <c r="F1154" s="883" t="s">
        <v>283</v>
      </c>
      <c r="G1154" s="883" t="s">
        <v>158</v>
      </c>
      <c r="H1154" s="883" t="s">
        <v>2063</v>
      </c>
      <c r="I1154" s="883" t="s">
        <v>2564</v>
      </c>
      <c r="J1154" s="884">
        <v>1.646</v>
      </c>
      <c r="K1154" s="885">
        <v>2.914</v>
      </c>
      <c r="L1154" s="886">
        <v>0.100555</v>
      </c>
      <c r="M1154" s="882"/>
    </row>
    <row r="1155" spans="1:13" ht="12.75">
      <c r="A1155" s="882"/>
      <c r="B1155" s="882"/>
      <c r="C1155" s="882"/>
      <c r="D1155" s="882"/>
      <c r="E1155" s="883" t="s">
        <v>284</v>
      </c>
      <c r="F1155" s="883" t="s">
        <v>285</v>
      </c>
      <c r="G1155" s="883" t="s">
        <v>158</v>
      </c>
      <c r="H1155" s="883" t="s">
        <v>2063</v>
      </c>
      <c r="I1155" s="883" t="s">
        <v>2564</v>
      </c>
      <c r="J1155" s="884">
        <v>0.975</v>
      </c>
      <c r="K1155" s="885">
        <v>0.905</v>
      </c>
      <c r="L1155" s="886">
        <v>0.02142</v>
      </c>
      <c r="M1155" s="882"/>
    </row>
    <row r="1156" spans="1:13" ht="12.75">
      <c r="A1156" s="882"/>
      <c r="B1156" s="882"/>
      <c r="C1156" s="882"/>
      <c r="D1156" s="882"/>
      <c r="E1156" s="883" t="s">
        <v>286</v>
      </c>
      <c r="F1156" s="883" t="s">
        <v>287</v>
      </c>
      <c r="G1156" s="883" t="s">
        <v>145</v>
      </c>
      <c r="H1156" s="883" t="s">
        <v>2063</v>
      </c>
      <c r="I1156" s="883" t="s">
        <v>2564</v>
      </c>
      <c r="J1156" s="884">
        <v>2.712</v>
      </c>
      <c r="K1156" s="885">
        <v>1.859</v>
      </c>
      <c r="L1156" s="886">
        <v>0.11662</v>
      </c>
      <c r="M1156" s="882"/>
    </row>
    <row r="1157" spans="1:13" ht="12.75">
      <c r="A1157" s="882"/>
      <c r="B1157" s="882"/>
      <c r="C1157" s="882"/>
      <c r="D1157" s="882"/>
      <c r="E1157" s="883" t="s">
        <v>288</v>
      </c>
      <c r="F1157" s="883" t="s">
        <v>289</v>
      </c>
      <c r="G1157" s="883" t="s">
        <v>145</v>
      </c>
      <c r="H1157" s="883" t="s">
        <v>2543</v>
      </c>
      <c r="I1157" s="883" t="s">
        <v>2564</v>
      </c>
      <c r="J1157" s="884">
        <v>2.038</v>
      </c>
      <c r="K1157" s="885">
        <v>0</v>
      </c>
      <c r="L1157" s="886">
        <v>0</v>
      </c>
      <c r="M1157" s="882"/>
    </row>
    <row r="1158" spans="1:13" ht="12.75">
      <c r="A1158" s="882"/>
      <c r="B1158" s="882"/>
      <c r="C1158" s="882"/>
      <c r="D1158" s="882"/>
      <c r="E1158" s="883" t="s">
        <v>290</v>
      </c>
      <c r="F1158" s="883" t="s">
        <v>291</v>
      </c>
      <c r="G1158" s="883" t="s">
        <v>145</v>
      </c>
      <c r="H1158" s="883" t="s">
        <v>2063</v>
      </c>
      <c r="I1158" s="883" t="s">
        <v>2564</v>
      </c>
      <c r="J1158" s="884">
        <v>2.342</v>
      </c>
      <c r="K1158" s="885">
        <v>0</v>
      </c>
      <c r="L1158" s="886">
        <v>0</v>
      </c>
      <c r="M1158" s="882"/>
    </row>
    <row r="1159" spans="1:13" ht="12.75">
      <c r="A1159" s="882"/>
      <c r="B1159" s="882"/>
      <c r="C1159" s="882"/>
      <c r="D1159" s="882"/>
      <c r="E1159" s="883" t="s">
        <v>292</v>
      </c>
      <c r="F1159" s="883" t="s">
        <v>293</v>
      </c>
      <c r="G1159" s="883" t="s">
        <v>145</v>
      </c>
      <c r="H1159" s="883" t="s">
        <v>2063</v>
      </c>
      <c r="I1159" s="883" t="s">
        <v>2564</v>
      </c>
      <c r="J1159" s="884">
        <v>0.12</v>
      </c>
      <c r="K1159" s="885">
        <v>0</v>
      </c>
      <c r="L1159" s="886">
        <v>0</v>
      </c>
      <c r="M1159" s="882"/>
    </row>
    <row r="1160" spans="1:13" ht="12.75">
      <c r="A1160" s="882"/>
      <c r="B1160" s="882"/>
      <c r="C1160" s="882"/>
      <c r="D1160" s="882"/>
      <c r="E1160" s="883" t="s">
        <v>294</v>
      </c>
      <c r="F1160" s="883" t="s">
        <v>295</v>
      </c>
      <c r="G1160" s="883" t="s">
        <v>145</v>
      </c>
      <c r="H1160" s="883" t="s">
        <v>2063</v>
      </c>
      <c r="I1160" s="883" t="s">
        <v>2564</v>
      </c>
      <c r="J1160" s="884">
        <v>4.736</v>
      </c>
      <c r="K1160" s="885">
        <v>1.717</v>
      </c>
      <c r="L1160" s="886">
        <v>1.71638102</v>
      </c>
      <c r="M1160" s="882"/>
    </row>
    <row r="1161" spans="1:13" ht="12.75">
      <c r="A1161" s="882"/>
      <c r="B1161" s="882"/>
      <c r="C1161" s="882"/>
      <c r="D1161" s="882"/>
      <c r="E1161" s="883" t="s">
        <v>294</v>
      </c>
      <c r="F1161" s="883" t="s">
        <v>295</v>
      </c>
      <c r="G1161" s="883" t="s">
        <v>145</v>
      </c>
      <c r="H1161" s="883" t="s">
        <v>2063</v>
      </c>
      <c r="I1161" s="883" t="s">
        <v>2842</v>
      </c>
      <c r="J1161" s="885">
        <v>0</v>
      </c>
      <c r="K1161" s="885">
        <v>0.437</v>
      </c>
      <c r="L1161" s="886">
        <v>0.43557699</v>
      </c>
      <c r="M1161" s="882"/>
    </row>
    <row r="1162" spans="1:13" ht="12.75">
      <c r="A1162" s="882"/>
      <c r="B1162" s="882"/>
      <c r="C1162" s="882"/>
      <c r="D1162" s="882"/>
      <c r="E1162" s="883" t="s">
        <v>296</v>
      </c>
      <c r="F1162" s="883" t="s">
        <v>297</v>
      </c>
      <c r="G1162" s="883" t="s">
        <v>145</v>
      </c>
      <c r="H1162" s="883" t="s">
        <v>2063</v>
      </c>
      <c r="I1162" s="883" t="s">
        <v>2564</v>
      </c>
      <c r="J1162" s="884">
        <v>1.742</v>
      </c>
      <c r="K1162" s="885">
        <v>1.77</v>
      </c>
      <c r="L1162" s="886">
        <v>1.76832909</v>
      </c>
      <c r="M1162" s="882"/>
    </row>
    <row r="1163" spans="1:13" ht="12.75">
      <c r="A1163" s="882"/>
      <c r="B1163" s="882"/>
      <c r="C1163" s="882"/>
      <c r="D1163" s="882"/>
      <c r="E1163" s="883" t="s">
        <v>296</v>
      </c>
      <c r="F1163" s="883" t="s">
        <v>297</v>
      </c>
      <c r="G1163" s="883" t="s">
        <v>145</v>
      </c>
      <c r="H1163" s="883" t="s">
        <v>2063</v>
      </c>
      <c r="I1163" s="883" t="s">
        <v>2842</v>
      </c>
      <c r="J1163" s="885">
        <v>0</v>
      </c>
      <c r="K1163" s="885">
        <v>0.408</v>
      </c>
      <c r="L1163" s="886">
        <v>0.40607569</v>
      </c>
      <c r="M1163" s="882"/>
    </row>
    <row r="1164" spans="1:13" ht="12.75">
      <c r="A1164" s="882"/>
      <c r="B1164" s="882"/>
      <c r="C1164" s="882"/>
      <c r="D1164" s="882"/>
      <c r="E1164" s="883" t="s">
        <v>298</v>
      </c>
      <c r="F1164" s="883" t="s">
        <v>299</v>
      </c>
      <c r="G1164" s="883" t="s">
        <v>145</v>
      </c>
      <c r="H1164" s="883" t="s">
        <v>2063</v>
      </c>
      <c r="I1164" s="883" t="s">
        <v>2564</v>
      </c>
      <c r="J1164" s="884">
        <v>3.212</v>
      </c>
      <c r="K1164" s="885">
        <v>2.172</v>
      </c>
      <c r="L1164" s="886">
        <v>1.9662866</v>
      </c>
      <c r="M1164" s="882"/>
    </row>
    <row r="1165" spans="1:13" ht="12.75">
      <c r="A1165" s="882"/>
      <c r="B1165" s="882"/>
      <c r="C1165" s="882"/>
      <c r="D1165" s="882"/>
      <c r="E1165" s="883" t="s">
        <v>298</v>
      </c>
      <c r="F1165" s="883" t="s">
        <v>299</v>
      </c>
      <c r="G1165" s="883" t="s">
        <v>145</v>
      </c>
      <c r="H1165" s="883" t="s">
        <v>2063</v>
      </c>
      <c r="I1165" s="883" t="s">
        <v>2842</v>
      </c>
      <c r="J1165" s="885">
        <v>0</v>
      </c>
      <c r="K1165" s="885">
        <v>0.545</v>
      </c>
      <c r="L1165" s="886">
        <v>0.53783679</v>
      </c>
      <c r="M1165" s="882"/>
    </row>
    <row r="1166" spans="1:13" ht="12.75">
      <c r="A1166" s="882"/>
      <c r="B1166" s="882"/>
      <c r="C1166" s="882"/>
      <c r="D1166" s="882"/>
      <c r="E1166" s="883" t="s">
        <v>300</v>
      </c>
      <c r="F1166" s="883" t="s">
        <v>301</v>
      </c>
      <c r="G1166" s="883" t="s">
        <v>145</v>
      </c>
      <c r="H1166" s="883" t="s">
        <v>2063</v>
      </c>
      <c r="I1166" s="883" t="s">
        <v>2564</v>
      </c>
      <c r="J1166" s="884">
        <v>5.227</v>
      </c>
      <c r="K1166" s="885">
        <v>4.8</v>
      </c>
      <c r="L1166" s="886">
        <v>0.14875</v>
      </c>
      <c r="M1166" s="882"/>
    </row>
    <row r="1167" spans="1:13" ht="12.75">
      <c r="A1167" s="882"/>
      <c r="B1167" s="882"/>
      <c r="C1167" s="882"/>
      <c r="D1167" s="882"/>
      <c r="E1167" s="883" t="s">
        <v>302</v>
      </c>
      <c r="F1167" s="883" t="s">
        <v>303</v>
      </c>
      <c r="G1167" s="883" t="s">
        <v>145</v>
      </c>
      <c r="H1167" s="883" t="s">
        <v>2063</v>
      </c>
      <c r="I1167" s="883" t="s">
        <v>2564</v>
      </c>
      <c r="J1167" s="884">
        <v>2.253</v>
      </c>
      <c r="K1167" s="885">
        <v>1.607</v>
      </c>
      <c r="L1167" s="886">
        <v>1.6069994</v>
      </c>
      <c r="M1167" s="882"/>
    </row>
    <row r="1168" spans="1:13" ht="12.75">
      <c r="A1168" s="882"/>
      <c r="B1168" s="882"/>
      <c r="C1168" s="882"/>
      <c r="D1168" s="882"/>
      <c r="E1168" s="883" t="s">
        <v>302</v>
      </c>
      <c r="F1168" s="883" t="s">
        <v>303</v>
      </c>
      <c r="G1168" s="883" t="s">
        <v>145</v>
      </c>
      <c r="H1168" s="883" t="s">
        <v>2063</v>
      </c>
      <c r="I1168" s="883" t="s">
        <v>2842</v>
      </c>
      <c r="J1168" s="885">
        <v>0</v>
      </c>
      <c r="K1168" s="885">
        <v>0.513</v>
      </c>
      <c r="L1168" s="886">
        <v>0.5109323</v>
      </c>
      <c r="M1168" s="882"/>
    </row>
    <row r="1169" spans="1:13" ht="12.75">
      <c r="A1169" s="882"/>
      <c r="B1169" s="882"/>
      <c r="C1169" s="882"/>
      <c r="D1169" s="882"/>
      <c r="E1169" s="883" t="s">
        <v>304</v>
      </c>
      <c r="F1169" s="883" t="s">
        <v>305</v>
      </c>
      <c r="G1169" s="883" t="s">
        <v>145</v>
      </c>
      <c r="H1169" s="883" t="s">
        <v>2063</v>
      </c>
      <c r="I1169" s="883" t="s">
        <v>2564</v>
      </c>
      <c r="J1169" s="884">
        <v>2.242</v>
      </c>
      <c r="K1169" s="885">
        <v>2.918</v>
      </c>
      <c r="L1169" s="886">
        <v>2.85637882</v>
      </c>
      <c r="M1169" s="882"/>
    </row>
    <row r="1170" spans="1:13" ht="12.75">
      <c r="A1170" s="882"/>
      <c r="B1170" s="882"/>
      <c r="C1170" s="882"/>
      <c r="D1170" s="882"/>
      <c r="E1170" s="883" t="s">
        <v>304</v>
      </c>
      <c r="F1170" s="883" t="s">
        <v>305</v>
      </c>
      <c r="G1170" s="883" t="s">
        <v>145</v>
      </c>
      <c r="H1170" s="883" t="s">
        <v>2063</v>
      </c>
      <c r="I1170" s="883" t="s">
        <v>2842</v>
      </c>
      <c r="J1170" s="885">
        <v>0</v>
      </c>
      <c r="K1170" s="885">
        <v>0.442</v>
      </c>
      <c r="L1170" s="886">
        <v>0.43048211</v>
      </c>
      <c r="M1170" s="882"/>
    </row>
    <row r="1171" spans="1:13" ht="12.75">
      <c r="A1171" s="882"/>
      <c r="B1171" s="882"/>
      <c r="C1171" s="882"/>
      <c r="D1171" s="882"/>
      <c r="E1171" s="883" t="s">
        <v>306</v>
      </c>
      <c r="F1171" s="883" t="s">
        <v>307</v>
      </c>
      <c r="G1171" s="883" t="s">
        <v>145</v>
      </c>
      <c r="H1171" s="883" t="s">
        <v>2063</v>
      </c>
      <c r="I1171" s="883" t="s">
        <v>2842</v>
      </c>
      <c r="J1171" s="885">
        <v>0</v>
      </c>
      <c r="K1171" s="885">
        <v>0.461</v>
      </c>
      <c r="L1171" s="886">
        <v>0.45975669</v>
      </c>
      <c r="M1171" s="882"/>
    </row>
    <row r="1172" spans="1:13" ht="12.75">
      <c r="A1172" s="882"/>
      <c r="B1172" s="882"/>
      <c r="C1172" s="882"/>
      <c r="D1172" s="882"/>
      <c r="E1172" s="883" t="s">
        <v>306</v>
      </c>
      <c r="F1172" s="883" t="s">
        <v>307</v>
      </c>
      <c r="G1172" s="883" t="s">
        <v>145</v>
      </c>
      <c r="H1172" s="883" t="s">
        <v>2063</v>
      </c>
      <c r="I1172" s="883" t="s">
        <v>2564</v>
      </c>
      <c r="J1172" s="884">
        <v>2.076</v>
      </c>
      <c r="K1172" s="885">
        <v>3.463</v>
      </c>
      <c r="L1172" s="886">
        <v>3.16635533</v>
      </c>
      <c r="M1172" s="882"/>
    </row>
    <row r="1173" spans="1:13" ht="12.75">
      <c r="A1173" s="882"/>
      <c r="B1173" s="882"/>
      <c r="C1173" s="882"/>
      <c r="D1173" s="882"/>
      <c r="E1173" s="883" t="s">
        <v>308</v>
      </c>
      <c r="F1173" s="883" t="s">
        <v>309</v>
      </c>
      <c r="G1173" s="883" t="s">
        <v>145</v>
      </c>
      <c r="H1173" s="883" t="s">
        <v>2063</v>
      </c>
      <c r="I1173" s="883" t="s">
        <v>2564</v>
      </c>
      <c r="J1173" s="884">
        <v>2.242</v>
      </c>
      <c r="K1173" s="885">
        <v>3.469</v>
      </c>
      <c r="L1173" s="886">
        <v>2.96325067</v>
      </c>
      <c r="M1173" s="882"/>
    </row>
    <row r="1174" spans="1:13" ht="12.75">
      <c r="A1174" s="882"/>
      <c r="B1174" s="882"/>
      <c r="C1174" s="882"/>
      <c r="D1174" s="882"/>
      <c r="E1174" s="883" t="s">
        <v>308</v>
      </c>
      <c r="F1174" s="883" t="s">
        <v>309</v>
      </c>
      <c r="G1174" s="883" t="s">
        <v>145</v>
      </c>
      <c r="H1174" s="883" t="s">
        <v>2063</v>
      </c>
      <c r="I1174" s="883" t="s">
        <v>2842</v>
      </c>
      <c r="J1174" s="885">
        <v>0</v>
      </c>
      <c r="K1174" s="885">
        <v>0.756</v>
      </c>
      <c r="L1174" s="886">
        <v>0.72431586</v>
      </c>
      <c r="M1174" s="882"/>
    </row>
    <row r="1175" spans="1:13" ht="12.75">
      <c r="A1175" s="882"/>
      <c r="B1175" s="882"/>
      <c r="C1175" s="882"/>
      <c r="D1175" s="882"/>
      <c r="E1175" s="883" t="s">
        <v>310</v>
      </c>
      <c r="F1175" s="883" t="s">
        <v>311</v>
      </c>
      <c r="G1175" s="883" t="s">
        <v>132</v>
      </c>
      <c r="H1175" s="883" t="s">
        <v>2063</v>
      </c>
      <c r="I1175" s="883" t="s">
        <v>2564</v>
      </c>
      <c r="J1175" s="884">
        <v>5.429</v>
      </c>
      <c r="K1175" s="885">
        <v>4.929</v>
      </c>
      <c r="L1175" s="886">
        <v>0.474734</v>
      </c>
      <c r="M1175" s="882"/>
    </row>
    <row r="1176" spans="1:13" ht="12.75">
      <c r="A1176" s="882"/>
      <c r="B1176" s="882"/>
      <c r="C1176" s="882"/>
      <c r="D1176" s="882"/>
      <c r="E1176" s="883" t="s">
        <v>310</v>
      </c>
      <c r="F1176" s="883" t="s">
        <v>311</v>
      </c>
      <c r="G1176" s="883" t="s">
        <v>132</v>
      </c>
      <c r="H1176" s="883" t="s">
        <v>2063</v>
      </c>
      <c r="I1176" s="883" t="s">
        <v>2842</v>
      </c>
      <c r="J1176" s="885">
        <v>0</v>
      </c>
      <c r="K1176" s="885">
        <v>0.421</v>
      </c>
      <c r="L1176" s="886">
        <v>0</v>
      </c>
      <c r="M1176" s="882"/>
    </row>
    <row r="1177" spans="1:13" ht="12.75">
      <c r="A1177" s="882"/>
      <c r="B1177" s="882"/>
      <c r="C1177" s="882"/>
      <c r="D1177" s="882"/>
      <c r="E1177" s="883" t="s">
        <v>312</v>
      </c>
      <c r="F1177" s="883" t="s">
        <v>313</v>
      </c>
      <c r="G1177" s="883" t="s">
        <v>132</v>
      </c>
      <c r="H1177" s="883" t="s">
        <v>2543</v>
      </c>
      <c r="I1177" s="883" t="s">
        <v>2564</v>
      </c>
      <c r="J1177" s="884">
        <v>3.088</v>
      </c>
      <c r="K1177" s="885">
        <v>0</v>
      </c>
      <c r="L1177" s="886">
        <v>0</v>
      </c>
      <c r="M1177" s="882"/>
    </row>
    <row r="1178" spans="1:13" ht="12.75">
      <c r="A1178" s="882"/>
      <c r="B1178" s="882"/>
      <c r="C1178" s="882"/>
      <c r="D1178" s="882"/>
      <c r="E1178" s="883" t="s">
        <v>314</v>
      </c>
      <c r="F1178" s="883" t="s">
        <v>315</v>
      </c>
      <c r="G1178" s="883" t="s">
        <v>132</v>
      </c>
      <c r="H1178" s="883" t="s">
        <v>2543</v>
      </c>
      <c r="I1178" s="883" t="s">
        <v>2564</v>
      </c>
      <c r="J1178" s="884">
        <v>3.485</v>
      </c>
      <c r="K1178" s="885">
        <v>0</v>
      </c>
      <c r="L1178" s="886">
        <v>0</v>
      </c>
      <c r="M1178" s="882"/>
    </row>
    <row r="1179" spans="1:13" ht="12.75">
      <c r="A1179" s="882"/>
      <c r="B1179" s="882"/>
      <c r="C1179" s="882"/>
      <c r="D1179" s="882"/>
      <c r="E1179" s="883" t="s">
        <v>316</v>
      </c>
      <c r="F1179" s="883" t="s">
        <v>317</v>
      </c>
      <c r="G1179" s="883" t="s">
        <v>132</v>
      </c>
      <c r="H1179" s="883" t="s">
        <v>2543</v>
      </c>
      <c r="I1179" s="883" t="s">
        <v>2564</v>
      </c>
      <c r="J1179" s="884">
        <v>2.957</v>
      </c>
      <c r="K1179" s="885">
        <v>0</v>
      </c>
      <c r="L1179" s="886">
        <v>0</v>
      </c>
      <c r="M1179" s="882"/>
    </row>
    <row r="1180" spans="1:13" ht="12.75">
      <c r="A1180" s="882"/>
      <c r="B1180" s="882"/>
      <c r="C1180" s="882"/>
      <c r="D1180" s="882"/>
      <c r="E1180" s="883" t="s">
        <v>318</v>
      </c>
      <c r="F1180" s="883" t="s">
        <v>319</v>
      </c>
      <c r="G1180" s="883" t="s">
        <v>132</v>
      </c>
      <c r="H1180" s="883" t="s">
        <v>2063</v>
      </c>
      <c r="I1180" s="883" t="s">
        <v>2564</v>
      </c>
      <c r="J1180" s="884">
        <v>1.967</v>
      </c>
      <c r="K1180" s="885">
        <v>1.761</v>
      </c>
      <c r="L1180" s="886">
        <v>0.37021</v>
      </c>
      <c r="M1180" s="882"/>
    </row>
    <row r="1181" spans="1:13" ht="12.75">
      <c r="A1181" s="882"/>
      <c r="B1181" s="882"/>
      <c r="C1181" s="882"/>
      <c r="D1181" s="882"/>
      <c r="E1181" s="883" t="s">
        <v>318</v>
      </c>
      <c r="F1181" s="883" t="s">
        <v>319</v>
      </c>
      <c r="G1181" s="883" t="s">
        <v>132</v>
      </c>
      <c r="H1181" s="883" t="s">
        <v>2063</v>
      </c>
      <c r="I1181" s="883" t="s">
        <v>2842</v>
      </c>
      <c r="J1181" s="885">
        <v>0</v>
      </c>
      <c r="K1181" s="885">
        <v>0.206</v>
      </c>
      <c r="L1181" s="886">
        <v>0</v>
      </c>
      <c r="M1181" s="882"/>
    </row>
    <row r="1182" spans="1:13" ht="12.75">
      <c r="A1182" s="882"/>
      <c r="B1182" s="882"/>
      <c r="C1182" s="882"/>
      <c r="D1182" s="882"/>
      <c r="E1182" s="883" t="s">
        <v>320</v>
      </c>
      <c r="F1182" s="883" t="s">
        <v>321</v>
      </c>
      <c r="G1182" s="883" t="s">
        <v>132</v>
      </c>
      <c r="H1182" s="883" t="s">
        <v>2543</v>
      </c>
      <c r="I1182" s="883" t="s">
        <v>2564</v>
      </c>
      <c r="J1182" s="884">
        <v>2.315</v>
      </c>
      <c r="K1182" s="885">
        <v>0</v>
      </c>
      <c r="L1182" s="886">
        <v>0</v>
      </c>
      <c r="M1182" s="882"/>
    </row>
    <row r="1183" spans="1:13" ht="12.75">
      <c r="A1183" s="882"/>
      <c r="B1183" s="882"/>
      <c r="C1183" s="882"/>
      <c r="D1183" s="882"/>
      <c r="E1183" s="883" t="s">
        <v>322</v>
      </c>
      <c r="F1183" s="883" t="s">
        <v>323</v>
      </c>
      <c r="G1183" s="883" t="s">
        <v>132</v>
      </c>
      <c r="H1183" s="883" t="s">
        <v>2543</v>
      </c>
      <c r="I1183" s="883" t="s">
        <v>2564</v>
      </c>
      <c r="J1183" s="884">
        <v>2.345</v>
      </c>
      <c r="K1183" s="885">
        <v>0</v>
      </c>
      <c r="L1183" s="886">
        <v>0</v>
      </c>
      <c r="M1183" s="882"/>
    </row>
    <row r="1184" spans="1:13" ht="12.75">
      <c r="A1184" s="882"/>
      <c r="B1184" s="882"/>
      <c r="C1184" s="882"/>
      <c r="D1184" s="882"/>
      <c r="E1184" s="883" t="s">
        <v>324</v>
      </c>
      <c r="F1184" s="883" t="s">
        <v>325</v>
      </c>
      <c r="G1184" s="883" t="s">
        <v>132</v>
      </c>
      <c r="H1184" s="883" t="s">
        <v>2063</v>
      </c>
      <c r="I1184" s="883" t="s">
        <v>2564</v>
      </c>
      <c r="J1184" s="884">
        <v>2.245</v>
      </c>
      <c r="K1184" s="885">
        <v>0</v>
      </c>
      <c r="L1184" s="886">
        <v>0</v>
      </c>
      <c r="M1184" s="882"/>
    </row>
    <row r="1185" spans="1:13" ht="12.75">
      <c r="A1185" s="882"/>
      <c r="B1185" s="882"/>
      <c r="C1185" s="882"/>
      <c r="D1185" s="882"/>
      <c r="E1185" s="883" t="s">
        <v>326</v>
      </c>
      <c r="F1185" s="883" t="s">
        <v>327</v>
      </c>
      <c r="G1185" s="883" t="s">
        <v>132</v>
      </c>
      <c r="H1185" s="883" t="s">
        <v>2063</v>
      </c>
      <c r="I1185" s="883" t="s">
        <v>2564</v>
      </c>
      <c r="J1185" s="884">
        <v>3.82</v>
      </c>
      <c r="K1185" s="885">
        <v>0</v>
      </c>
      <c r="L1185" s="886">
        <v>0</v>
      </c>
      <c r="M1185" s="882"/>
    </row>
    <row r="1186" spans="1:13" ht="12.75">
      <c r="A1186" s="882"/>
      <c r="B1186" s="882"/>
      <c r="C1186" s="882"/>
      <c r="D1186" s="882"/>
      <c r="E1186" s="883" t="s">
        <v>328</v>
      </c>
      <c r="F1186" s="883" t="s">
        <v>329</v>
      </c>
      <c r="G1186" s="883" t="s">
        <v>132</v>
      </c>
      <c r="H1186" s="883" t="s">
        <v>2063</v>
      </c>
      <c r="I1186" s="883" t="s">
        <v>2564</v>
      </c>
      <c r="J1186" s="884">
        <v>4.655</v>
      </c>
      <c r="K1186" s="885">
        <v>4.349</v>
      </c>
      <c r="L1186" s="886">
        <v>0.27136</v>
      </c>
      <c r="M1186" s="882"/>
    </row>
    <row r="1187" spans="1:13" ht="12.75">
      <c r="A1187" s="882"/>
      <c r="B1187" s="882"/>
      <c r="C1187" s="882"/>
      <c r="D1187" s="882"/>
      <c r="E1187" s="883" t="s">
        <v>328</v>
      </c>
      <c r="F1187" s="883" t="s">
        <v>329</v>
      </c>
      <c r="G1187" s="883" t="s">
        <v>132</v>
      </c>
      <c r="H1187" s="883" t="s">
        <v>2063</v>
      </c>
      <c r="I1187" s="883" t="s">
        <v>2842</v>
      </c>
      <c r="J1187" s="885">
        <v>0</v>
      </c>
      <c r="K1187" s="885">
        <v>0.306</v>
      </c>
      <c r="L1187" s="886">
        <v>0</v>
      </c>
      <c r="M1187" s="882"/>
    </row>
    <row r="1188" spans="1:13" ht="12.75">
      <c r="A1188" s="882"/>
      <c r="B1188" s="882"/>
      <c r="C1188" s="882"/>
      <c r="D1188" s="882"/>
      <c r="E1188" s="883" t="s">
        <v>330</v>
      </c>
      <c r="F1188" s="883" t="s">
        <v>331</v>
      </c>
      <c r="G1188" s="883" t="s">
        <v>132</v>
      </c>
      <c r="H1188" s="883" t="s">
        <v>2543</v>
      </c>
      <c r="I1188" s="883" t="s">
        <v>2564</v>
      </c>
      <c r="J1188" s="884">
        <v>2.345</v>
      </c>
      <c r="K1188" s="885">
        <v>0</v>
      </c>
      <c r="L1188" s="886">
        <v>0</v>
      </c>
      <c r="M1188" s="882"/>
    </row>
    <row r="1189" spans="1:13" ht="12.75">
      <c r="A1189" s="882"/>
      <c r="B1189" s="882"/>
      <c r="C1189" s="882"/>
      <c r="D1189" s="882"/>
      <c r="E1189" s="883" t="s">
        <v>332</v>
      </c>
      <c r="F1189" s="883" t="s">
        <v>333</v>
      </c>
      <c r="G1189" s="883" t="s">
        <v>121</v>
      </c>
      <c r="H1189" s="883" t="s">
        <v>2543</v>
      </c>
      <c r="I1189" s="883" t="s">
        <v>2564</v>
      </c>
      <c r="J1189" s="884">
        <v>8.687</v>
      </c>
      <c r="K1189" s="885">
        <v>8.687</v>
      </c>
      <c r="L1189" s="886">
        <v>0</v>
      </c>
      <c r="M1189" s="882"/>
    </row>
    <row r="1190" spans="1:13" ht="12.75">
      <c r="A1190" s="882"/>
      <c r="B1190" s="882"/>
      <c r="C1190" s="882"/>
      <c r="D1190" s="882"/>
      <c r="E1190" s="883" t="s">
        <v>334</v>
      </c>
      <c r="F1190" s="883" t="s">
        <v>335</v>
      </c>
      <c r="G1190" s="883" t="s">
        <v>121</v>
      </c>
      <c r="H1190" s="883" t="s">
        <v>2063</v>
      </c>
      <c r="I1190" s="883" t="s">
        <v>2564</v>
      </c>
      <c r="J1190" s="884">
        <v>5.956</v>
      </c>
      <c r="K1190" s="885">
        <v>5.956</v>
      </c>
      <c r="L1190" s="886">
        <v>0.15232</v>
      </c>
      <c r="M1190" s="882"/>
    </row>
    <row r="1191" spans="1:13" ht="12.75">
      <c r="A1191" s="882"/>
      <c r="B1191" s="882"/>
      <c r="C1191" s="882"/>
      <c r="D1191" s="882"/>
      <c r="E1191" s="883" t="s">
        <v>336</v>
      </c>
      <c r="F1191" s="883" t="s">
        <v>337</v>
      </c>
      <c r="G1191" s="883" t="s">
        <v>121</v>
      </c>
      <c r="H1191" s="883" t="s">
        <v>2063</v>
      </c>
      <c r="I1191" s="883" t="s">
        <v>2564</v>
      </c>
      <c r="J1191" s="884">
        <v>3.534</v>
      </c>
      <c r="K1191" s="885">
        <v>0</v>
      </c>
      <c r="L1191" s="886">
        <v>0</v>
      </c>
      <c r="M1191" s="882"/>
    </row>
    <row r="1192" spans="1:13" ht="12.75">
      <c r="A1192" s="882"/>
      <c r="B1192" s="882"/>
      <c r="C1192" s="882"/>
      <c r="D1192" s="882"/>
      <c r="E1192" s="883" t="s">
        <v>338</v>
      </c>
      <c r="F1192" s="883" t="s">
        <v>339</v>
      </c>
      <c r="G1192" s="883" t="s">
        <v>121</v>
      </c>
      <c r="H1192" s="883" t="s">
        <v>2543</v>
      </c>
      <c r="I1192" s="883" t="s">
        <v>2564</v>
      </c>
      <c r="J1192" s="884">
        <v>4.984</v>
      </c>
      <c r="K1192" s="885">
        <v>4.984</v>
      </c>
      <c r="L1192" s="886">
        <v>0</v>
      </c>
      <c r="M1192" s="882"/>
    </row>
    <row r="1193" spans="1:13" ht="12.75">
      <c r="A1193" s="882"/>
      <c r="B1193" s="882"/>
      <c r="C1193" s="882"/>
      <c r="D1193" s="882"/>
      <c r="E1193" s="883" t="s">
        <v>340</v>
      </c>
      <c r="F1193" s="883" t="s">
        <v>341</v>
      </c>
      <c r="G1193" s="883" t="s">
        <v>121</v>
      </c>
      <c r="H1193" s="883" t="s">
        <v>2543</v>
      </c>
      <c r="I1193" s="883" t="s">
        <v>2564</v>
      </c>
      <c r="J1193" s="884">
        <v>4.451</v>
      </c>
      <c r="K1193" s="885">
        <v>4.451</v>
      </c>
      <c r="L1193" s="886">
        <v>0</v>
      </c>
      <c r="M1193" s="882"/>
    </row>
    <row r="1194" spans="1:13" ht="12.75">
      <c r="A1194" s="882"/>
      <c r="B1194" s="882"/>
      <c r="C1194" s="882"/>
      <c r="D1194" s="882"/>
      <c r="E1194" s="883" t="s">
        <v>342</v>
      </c>
      <c r="F1194" s="883" t="s">
        <v>343</v>
      </c>
      <c r="G1194" s="883" t="s">
        <v>121</v>
      </c>
      <c r="H1194" s="883" t="s">
        <v>2063</v>
      </c>
      <c r="I1194" s="883" t="s">
        <v>2564</v>
      </c>
      <c r="J1194" s="884">
        <v>4.16</v>
      </c>
      <c r="K1194" s="885">
        <v>7.515</v>
      </c>
      <c r="L1194" s="886">
        <v>0.00758731</v>
      </c>
      <c r="M1194" s="882"/>
    </row>
    <row r="1195" spans="1:13" ht="12.75">
      <c r="A1195" s="882"/>
      <c r="B1195" s="882"/>
      <c r="C1195" s="882"/>
      <c r="D1195" s="882"/>
      <c r="E1195" s="883" t="s">
        <v>342</v>
      </c>
      <c r="F1195" s="883" t="s">
        <v>343</v>
      </c>
      <c r="G1195" s="883" t="s">
        <v>121</v>
      </c>
      <c r="H1195" s="883" t="s">
        <v>2063</v>
      </c>
      <c r="I1195" s="883" t="s">
        <v>1079</v>
      </c>
      <c r="J1195" s="885">
        <v>0</v>
      </c>
      <c r="K1195" s="885">
        <v>0</v>
      </c>
      <c r="L1195" s="886">
        <v>0.16496269</v>
      </c>
      <c r="M1195" s="882"/>
    </row>
    <row r="1196" spans="1:13" ht="12.75">
      <c r="A1196" s="882"/>
      <c r="B1196" s="882"/>
      <c r="C1196" s="882"/>
      <c r="D1196" s="882"/>
      <c r="E1196" s="883" t="s">
        <v>344</v>
      </c>
      <c r="F1196" s="883" t="s">
        <v>345</v>
      </c>
      <c r="G1196" s="883" t="s">
        <v>121</v>
      </c>
      <c r="H1196" s="883" t="s">
        <v>2543</v>
      </c>
      <c r="I1196" s="883" t="s">
        <v>2564</v>
      </c>
      <c r="J1196" s="884">
        <v>6.331</v>
      </c>
      <c r="K1196" s="885">
        <v>0</v>
      </c>
      <c r="L1196" s="886">
        <v>0</v>
      </c>
      <c r="M1196" s="882"/>
    </row>
    <row r="1197" spans="1:13" ht="12.75">
      <c r="A1197" s="882"/>
      <c r="B1197" s="882"/>
      <c r="C1197" s="882"/>
      <c r="D1197" s="882"/>
      <c r="E1197" s="883" t="s">
        <v>346</v>
      </c>
      <c r="F1197" s="883" t="s">
        <v>347</v>
      </c>
      <c r="G1197" s="883" t="s">
        <v>121</v>
      </c>
      <c r="H1197" s="883" t="s">
        <v>2063</v>
      </c>
      <c r="I1197" s="883" t="s">
        <v>2842</v>
      </c>
      <c r="J1197" s="885">
        <v>0</v>
      </c>
      <c r="K1197" s="885">
        <v>0.259</v>
      </c>
      <c r="L1197" s="886">
        <v>0.2265972</v>
      </c>
      <c r="M1197" s="882"/>
    </row>
    <row r="1198" spans="1:13" ht="12.75">
      <c r="A1198" s="882"/>
      <c r="B1198" s="882"/>
      <c r="C1198" s="882"/>
      <c r="D1198" s="882"/>
      <c r="E1198" s="883" t="s">
        <v>346</v>
      </c>
      <c r="F1198" s="883" t="s">
        <v>347</v>
      </c>
      <c r="G1198" s="883" t="s">
        <v>121</v>
      </c>
      <c r="H1198" s="883" t="s">
        <v>2063</v>
      </c>
      <c r="I1198" s="883" t="s">
        <v>2841</v>
      </c>
      <c r="J1198" s="885">
        <v>0</v>
      </c>
      <c r="K1198" s="885">
        <v>0.279</v>
      </c>
      <c r="L1198" s="886">
        <v>0.277391</v>
      </c>
      <c r="M1198" s="882"/>
    </row>
    <row r="1199" spans="1:13" ht="12.75">
      <c r="A1199" s="882"/>
      <c r="B1199" s="882"/>
      <c r="C1199" s="882"/>
      <c r="D1199" s="882"/>
      <c r="E1199" s="883" t="s">
        <v>346</v>
      </c>
      <c r="F1199" s="883" t="s">
        <v>347</v>
      </c>
      <c r="G1199" s="883" t="s">
        <v>121</v>
      </c>
      <c r="H1199" s="883" t="s">
        <v>2063</v>
      </c>
      <c r="I1199" s="883" t="s">
        <v>2564</v>
      </c>
      <c r="J1199" s="884">
        <v>5.891</v>
      </c>
      <c r="K1199" s="885">
        <v>5.632</v>
      </c>
      <c r="L1199" s="886">
        <v>3.0553618</v>
      </c>
      <c r="M1199" s="882"/>
    </row>
    <row r="1200" spans="1:13" ht="12.75">
      <c r="A1200" s="882"/>
      <c r="B1200" s="882"/>
      <c r="C1200" s="882"/>
      <c r="D1200" s="882"/>
      <c r="E1200" s="883" t="s">
        <v>346</v>
      </c>
      <c r="F1200" s="883" t="s">
        <v>347</v>
      </c>
      <c r="G1200" s="883" t="s">
        <v>121</v>
      </c>
      <c r="H1200" s="883" t="s">
        <v>2063</v>
      </c>
      <c r="I1200" s="883" t="s">
        <v>2538</v>
      </c>
      <c r="J1200" s="885">
        <v>0</v>
      </c>
      <c r="K1200" s="885">
        <v>1.277</v>
      </c>
      <c r="L1200" s="886">
        <v>1.275506</v>
      </c>
      <c r="M1200" s="882"/>
    </row>
    <row r="1201" spans="1:13" ht="12.75">
      <c r="A1201" s="882"/>
      <c r="B1201" s="882"/>
      <c r="C1201" s="882"/>
      <c r="D1201" s="882"/>
      <c r="E1201" s="883" t="s">
        <v>348</v>
      </c>
      <c r="F1201" s="883" t="s">
        <v>349</v>
      </c>
      <c r="G1201" s="883" t="s">
        <v>110</v>
      </c>
      <c r="H1201" s="883" t="s">
        <v>2063</v>
      </c>
      <c r="I1201" s="883" t="s">
        <v>2842</v>
      </c>
      <c r="J1201" s="885">
        <v>0</v>
      </c>
      <c r="K1201" s="885">
        <v>0.085</v>
      </c>
      <c r="L1201" s="886">
        <v>0.067928</v>
      </c>
      <c r="M1201" s="882"/>
    </row>
    <row r="1202" spans="1:13" ht="12.75">
      <c r="A1202" s="882"/>
      <c r="B1202" s="882"/>
      <c r="C1202" s="882"/>
      <c r="D1202" s="882"/>
      <c r="E1202" s="883" t="s">
        <v>348</v>
      </c>
      <c r="F1202" s="883" t="s">
        <v>349</v>
      </c>
      <c r="G1202" s="883" t="s">
        <v>110</v>
      </c>
      <c r="H1202" s="883" t="s">
        <v>2063</v>
      </c>
      <c r="I1202" s="883" t="s">
        <v>2538</v>
      </c>
      <c r="J1202" s="885">
        <v>0</v>
      </c>
      <c r="K1202" s="885">
        <v>0.043</v>
      </c>
      <c r="L1202" s="886">
        <v>0.042558</v>
      </c>
      <c r="M1202" s="882"/>
    </row>
    <row r="1203" spans="1:13" ht="12.75">
      <c r="A1203" s="882"/>
      <c r="B1203" s="882"/>
      <c r="C1203" s="882"/>
      <c r="D1203" s="882"/>
      <c r="E1203" s="883" t="s">
        <v>348</v>
      </c>
      <c r="F1203" s="883" t="s">
        <v>349</v>
      </c>
      <c r="G1203" s="883" t="s">
        <v>110</v>
      </c>
      <c r="H1203" s="883" t="s">
        <v>2063</v>
      </c>
      <c r="I1203" s="883" t="s">
        <v>2564</v>
      </c>
      <c r="J1203" s="884">
        <v>1.667</v>
      </c>
      <c r="K1203" s="885">
        <v>1.34</v>
      </c>
      <c r="L1203" s="886">
        <v>1.3004276</v>
      </c>
      <c r="M1203" s="882"/>
    </row>
    <row r="1204" spans="1:13" ht="12.75">
      <c r="A1204" s="882"/>
      <c r="B1204" s="882"/>
      <c r="C1204" s="882"/>
      <c r="D1204" s="882"/>
      <c r="E1204" s="883" t="s">
        <v>348</v>
      </c>
      <c r="F1204" s="883" t="s">
        <v>349</v>
      </c>
      <c r="G1204" s="883" t="s">
        <v>110</v>
      </c>
      <c r="H1204" s="883" t="s">
        <v>2063</v>
      </c>
      <c r="I1204" s="883" t="s">
        <v>2841</v>
      </c>
      <c r="J1204" s="885">
        <v>0</v>
      </c>
      <c r="K1204" s="885">
        <v>0.017</v>
      </c>
      <c r="L1204" s="886">
        <v>0.01675</v>
      </c>
      <c r="M1204" s="882"/>
    </row>
    <row r="1205" spans="1:13" ht="12.75">
      <c r="A1205" s="882"/>
      <c r="B1205" s="882"/>
      <c r="C1205" s="882"/>
      <c r="D1205" s="882"/>
      <c r="E1205" s="883" t="s">
        <v>350</v>
      </c>
      <c r="F1205" s="883" t="s">
        <v>351</v>
      </c>
      <c r="G1205" s="883" t="s">
        <v>110</v>
      </c>
      <c r="H1205" s="883" t="s">
        <v>2543</v>
      </c>
      <c r="I1205" s="883" t="s">
        <v>2564</v>
      </c>
      <c r="J1205" s="884">
        <v>1.237</v>
      </c>
      <c r="K1205" s="885">
        <v>0</v>
      </c>
      <c r="L1205" s="886">
        <v>0</v>
      </c>
      <c r="M1205" s="882"/>
    </row>
    <row r="1206" spans="1:13" ht="12.75">
      <c r="A1206" s="882"/>
      <c r="B1206" s="882"/>
      <c r="C1206" s="882"/>
      <c r="D1206" s="882"/>
      <c r="E1206" s="883" t="s">
        <v>352</v>
      </c>
      <c r="F1206" s="883" t="s">
        <v>353</v>
      </c>
      <c r="G1206" s="883" t="s">
        <v>110</v>
      </c>
      <c r="H1206" s="883" t="s">
        <v>2063</v>
      </c>
      <c r="I1206" s="883" t="s">
        <v>2538</v>
      </c>
      <c r="J1206" s="885">
        <v>0</v>
      </c>
      <c r="K1206" s="885">
        <v>0.579</v>
      </c>
      <c r="L1206" s="886">
        <v>0.458501</v>
      </c>
      <c r="M1206" s="882"/>
    </row>
    <row r="1207" spans="1:13" ht="12.75">
      <c r="A1207" s="882"/>
      <c r="B1207" s="882"/>
      <c r="C1207" s="882"/>
      <c r="D1207" s="882"/>
      <c r="E1207" s="883" t="s">
        <v>352</v>
      </c>
      <c r="F1207" s="883" t="s">
        <v>353</v>
      </c>
      <c r="G1207" s="883" t="s">
        <v>110</v>
      </c>
      <c r="H1207" s="883" t="s">
        <v>2063</v>
      </c>
      <c r="I1207" s="883" t="s">
        <v>2564</v>
      </c>
      <c r="J1207" s="884">
        <v>2.702</v>
      </c>
      <c r="K1207" s="885">
        <v>2.251</v>
      </c>
      <c r="L1207" s="886">
        <v>2.2501616</v>
      </c>
      <c r="M1207" s="882"/>
    </row>
    <row r="1208" spans="1:13" ht="12.75">
      <c r="A1208" s="882"/>
      <c r="B1208" s="882"/>
      <c r="C1208" s="882"/>
      <c r="D1208" s="882"/>
      <c r="E1208" s="883" t="s">
        <v>352</v>
      </c>
      <c r="F1208" s="883" t="s">
        <v>353</v>
      </c>
      <c r="G1208" s="883" t="s">
        <v>110</v>
      </c>
      <c r="H1208" s="883" t="s">
        <v>2063</v>
      </c>
      <c r="I1208" s="883" t="s">
        <v>2842</v>
      </c>
      <c r="J1208" s="885">
        <v>0</v>
      </c>
      <c r="K1208" s="885">
        <v>0.1</v>
      </c>
      <c r="L1208" s="886">
        <v>0.099113</v>
      </c>
      <c r="M1208" s="882"/>
    </row>
    <row r="1209" spans="1:13" ht="12.75">
      <c r="A1209" s="882"/>
      <c r="B1209" s="882"/>
      <c r="C1209" s="882"/>
      <c r="D1209" s="882"/>
      <c r="E1209" s="883" t="s">
        <v>354</v>
      </c>
      <c r="F1209" s="883" t="s">
        <v>355</v>
      </c>
      <c r="G1209" s="883" t="s">
        <v>110</v>
      </c>
      <c r="H1209" s="883" t="s">
        <v>2063</v>
      </c>
      <c r="I1209" s="883" t="s">
        <v>2841</v>
      </c>
      <c r="J1209" s="885">
        <v>0</v>
      </c>
      <c r="K1209" s="885">
        <v>0.023</v>
      </c>
      <c r="L1209" s="886">
        <v>0.022468</v>
      </c>
      <c r="M1209" s="882"/>
    </row>
    <row r="1210" spans="1:13" ht="12.75">
      <c r="A1210" s="882"/>
      <c r="B1210" s="882"/>
      <c r="C1210" s="882"/>
      <c r="D1210" s="882"/>
      <c r="E1210" s="883" t="s">
        <v>354</v>
      </c>
      <c r="F1210" s="883" t="s">
        <v>355</v>
      </c>
      <c r="G1210" s="883" t="s">
        <v>110</v>
      </c>
      <c r="H1210" s="883" t="s">
        <v>2063</v>
      </c>
      <c r="I1210" s="883" t="s">
        <v>2538</v>
      </c>
      <c r="J1210" s="885">
        <v>0</v>
      </c>
      <c r="K1210" s="885">
        <v>0.783</v>
      </c>
      <c r="L1210" s="886">
        <v>0.782361</v>
      </c>
      <c r="M1210" s="882"/>
    </row>
    <row r="1211" spans="1:13" ht="12.75">
      <c r="A1211" s="882"/>
      <c r="B1211" s="882"/>
      <c r="C1211" s="882"/>
      <c r="D1211" s="882"/>
      <c r="E1211" s="883" t="s">
        <v>354</v>
      </c>
      <c r="F1211" s="883" t="s">
        <v>355</v>
      </c>
      <c r="G1211" s="883" t="s">
        <v>110</v>
      </c>
      <c r="H1211" s="883" t="s">
        <v>2063</v>
      </c>
      <c r="I1211" s="883" t="s">
        <v>2842</v>
      </c>
      <c r="J1211" s="885">
        <v>0</v>
      </c>
      <c r="K1211" s="885">
        <v>0.152</v>
      </c>
      <c r="L1211" s="886">
        <v>0.128129</v>
      </c>
      <c r="M1211" s="882"/>
    </row>
    <row r="1212" spans="1:13" ht="12.75">
      <c r="A1212" s="882"/>
      <c r="B1212" s="882"/>
      <c r="C1212" s="882"/>
      <c r="D1212" s="882"/>
      <c r="E1212" s="883" t="s">
        <v>354</v>
      </c>
      <c r="F1212" s="883" t="s">
        <v>355</v>
      </c>
      <c r="G1212" s="883" t="s">
        <v>110</v>
      </c>
      <c r="H1212" s="883" t="s">
        <v>2063</v>
      </c>
      <c r="I1212" s="883" t="s">
        <v>2564</v>
      </c>
      <c r="J1212" s="884">
        <v>2.559</v>
      </c>
      <c r="K1212" s="885">
        <v>0.335</v>
      </c>
      <c r="L1212" s="886">
        <v>0.07919895</v>
      </c>
      <c r="M1212" s="882"/>
    </row>
    <row r="1213" spans="1:13" ht="12.75">
      <c r="A1213" s="882"/>
      <c r="B1213" s="882"/>
      <c r="C1213" s="882"/>
      <c r="D1213" s="882"/>
      <c r="E1213" s="883" t="s">
        <v>354</v>
      </c>
      <c r="F1213" s="883" t="s">
        <v>355</v>
      </c>
      <c r="G1213" s="883" t="s">
        <v>110</v>
      </c>
      <c r="H1213" s="883" t="s">
        <v>2063</v>
      </c>
      <c r="I1213" s="883" t="s">
        <v>1079</v>
      </c>
      <c r="J1213" s="885">
        <v>0</v>
      </c>
      <c r="K1213" s="885">
        <v>0</v>
      </c>
      <c r="L1213" s="886">
        <v>3.40511405</v>
      </c>
      <c r="M1213" s="882"/>
    </row>
    <row r="1214" spans="1:13" ht="12.75">
      <c r="A1214" s="882"/>
      <c r="B1214" s="882"/>
      <c r="C1214" s="882"/>
      <c r="D1214" s="882"/>
      <c r="E1214" s="883" t="s">
        <v>356</v>
      </c>
      <c r="F1214" s="883" t="s">
        <v>357</v>
      </c>
      <c r="G1214" s="883" t="s">
        <v>121</v>
      </c>
      <c r="H1214" s="883" t="s">
        <v>2063</v>
      </c>
      <c r="I1214" s="883" t="s">
        <v>2841</v>
      </c>
      <c r="J1214" s="885">
        <v>0</v>
      </c>
      <c r="K1214" s="885">
        <v>2.286</v>
      </c>
      <c r="L1214" s="886">
        <v>2.28358999</v>
      </c>
      <c r="M1214" s="882"/>
    </row>
    <row r="1215" spans="1:13" ht="12.75">
      <c r="A1215" s="882"/>
      <c r="B1215" s="882"/>
      <c r="C1215" s="882"/>
      <c r="D1215" s="882"/>
      <c r="E1215" s="883" t="s">
        <v>356</v>
      </c>
      <c r="F1215" s="883" t="s">
        <v>357</v>
      </c>
      <c r="G1215" s="883" t="s">
        <v>121</v>
      </c>
      <c r="H1215" s="883" t="s">
        <v>2063</v>
      </c>
      <c r="I1215" s="883" t="s">
        <v>2538</v>
      </c>
      <c r="J1215" s="885">
        <v>0</v>
      </c>
      <c r="K1215" s="885">
        <v>62.232</v>
      </c>
      <c r="L1215" s="886">
        <v>62.230502</v>
      </c>
      <c r="M1215" s="882"/>
    </row>
    <row r="1216" spans="1:13" ht="12.75">
      <c r="A1216" s="882"/>
      <c r="B1216" s="882"/>
      <c r="C1216" s="882"/>
      <c r="D1216" s="882"/>
      <c r="E1216" s="883" t="s">
        <v>358</v>
      </c>
      <c r="F1216" s="883" t="s">
        <v>359</v>
      </c>
      <c r="G1216" s="883" t="s">
        <v>145</v>
      </c>
      <c r="H1216" s="883" t="s">
        <v>2063</v>
      </c>
      <c r="I1216" s="883" t="s">
        <v>2538</v>
      </c>
      <c r="J1216" s="885">
        <v>0</v>
      </c>
      <c r="K1216" s="885">
        <v>6.503</v>
      </c>
      <c r="L1216" s="886">
        <v>6.50239205</v>
      </c>
      <c r="M1216" s="882"/>
    </row>
    <row r="1217" spans="1:13" ht="12.75">
      <c r="A1217" s="882"/>
      <c r="B1217" s="882"/>
      <c r="C1217" s="882"/>
      <c r="D1217" s="882"/>
      <c r="E1217" s="883" t="s">
        <v>360</v>
      </c>
      <c r="F1217" s="883" t="s">
        <v>361</v>
      </c>
      <c r="G1217" s="883" t="s">
        <v>110</v>
      </c>
      <c r="H1217" s="883" t="s">
        <v>2063</v>
      </c>
      <c r="I1217" s="883" t="s">
        <v>2841</v>
      </c>
      <c r="J1217" s="885">
        <v>0</v>
      </c>
      <c r="K1217" s="885">
        <v>0.017</v>
      </c>
      <c r="L1217" s="886">
        <v>0.015472</v>
      </c>
      <c r="M1217" s="882"/>
    </row>
    <row r="1218" spans="1:13" ht="12.75">
      <c r="A1218" s="882"/>
      <c r="B1218" s="882"/>
      <c r="C1218" s="882"/>
      <c r="D1218" s="882"/>
      <c r="E1218" s="883" t="s">
        <v>360</v>
      </c>
      <c r="F1218" s="883" t="s">
        <v>361</v>
      </c>
      <c r="G1218" s="883" t="s">
        <v>110</v>
      </c>
      <c r="H1218" s="883" t="s">
        <v>2063</v>
      </c>
      <c r="I1218" s="883" t="s">
        <v>2564</v>
      </c>
      <c r="J1218" s="884">
        <v>2.772</v>
      </c>
      <c r="K1218" s="885">
        <v>2.256</v>
      </c>
      <c r="L1218" s="886">
        <v>2.255193</v>
      </c>
      <c r="M1218" s="882"/>
    </row>
    <row r="1219" spans="1:13" ht="12.75">
      <c r="A1219" s="882"/>
      <c r="B1219" s="882"/>
      <c r="C1219" s="882"/>
      <c r="D1219" s="882"/>
      <c r="E1219" s="883" t="s">
        <v>360</v>
      </c>
      <c r="F1219" s="883" t="s">
        <v>361</v>
      </c>
      <c r="G1219" s="883" t="s">
        <v>110</v>
      </c>
      <c r="H1219" s="883" t="s">
        <v>2063</v>
      </c>
      <c r="I1219" s="883" t="s">
        <v>2538</v>
      </c>
      <c r="J1219" s="885">
        <v>0</v>
      </c>
      <c r="K1219" s="885">
        <v>0.46</v>
      </c>
      <c r="L1219" s="886">
        <v>0.459331</v>
      </c>
      <c r="M1219" s="882"/>
    </row>
    <row r="1220" spans="1:13" ht="12.75">
      <c r="A1220" s="882"/>
      <c r="B1220" s="882"/>
      <c r="C1220" s="882"/>
      <c r="D1220" s="882"/>
      <c r="E1220" s="883" t="s">
        <v>360</v>
      </c>
      <c r="F1220" s="883" t="s">
        <v>361</v>
      </c>
      <c r="G1220" s="883" t="s">
        <v>110</v>
      </c>
      <c r="H1220" s="883" t="s">
        <v>2063</v>
      </c>
      <c r="I1220" s="883" t="s">
        <v>2842</v>
      </c>
      <c r="J1220" s="885">
        <v>0</v>
      </c>
      <c r="K1220" s="885">
        <v>0.095</v>
      </c>
      <c r="L1220" s="886">
        <v>0.077307</v>
      </c>
      <c r="M1220" s="882"/>
    </row>
    <row r="1221" spans="1:13" ht="12.75">
      <c r="A1221" s="882"/>
      <c r="B1221" s="882"/>
      <c r="C1221" s="882"/>
      <c r="D1221" s="882"/>
      <c r="E1221" s="883" t="s">
        <v>362</v>
      </c>
      <c r="F1221" s="883" t="s">
        <v>363</v>
      </c>
      <c r="G1221" s="883" t="s">
        <v>110</v>
      </c>
      <c r="H1221" s="883" t="s">
        <v>2063</v>
      </c>
      <c r="I1221" s="883" t="s">
        <v>2538</v>
      </c>
      <c r="J1221" s="884">
        <v>20</v>
      </c>
      <c r="K1221" s="885">
        <v>0.817</v>
      </c>
      <c r="L1221" s="886">
        <v>0.81634</v>
      </c>
      <c r="M1221" s="882"/>
    </row>
    <row r="1222" spans="1:13" ht="12.75">
      <c r="A1222" s="882"/>
      <c r="B1222" s="882"/>
      <c r="C1222" s="882"/>
      <c r="D1222" s="882"/>
      <c r="E1222" s="883" t="s">
        <v>364</v>
      </c>
      <c r="F1222" s="883" t="s">
        <v>365</v>
      </c>
      <c r="G1222" s="883" t="s">
        <v>95</v>
      </c>
      <c r="H1222" s="883" t="s">
        <v>2063</v>
      </c>
      <c r="I1222" s="883" t="s">
        <v>2564</v>
      </c>
      <c r="J1222" s="884">
        <v>2.643</v>
      </c>
      <c r="K1222" s="885">
        <v>0.15</v>
      </c>
      <c r="L1222" s="886">
        <v>0</v>
      </c>
      <c r="M1222" s="882"/>
    </row>
    <row r="1223" spans="1:13" ht="12.75">
      <c r="A1223" s="882"/>
      <c r="B1223" s="882"/>
      <c r="C1223" s="882"/>
      <c r="D1223" s="882"/>
      <c r="E1223" s="883" t="s">
        <v>366</v>
      </c>
      <c r="F1223" s="883" t="s">
        <v>367</v>
      </c>
      <c r="G1223" s="883" t="s">
        <v>95</v>
      </c>
      <c r="H1223" s="883" t="s">
        <v>2063</v>
      </c>
      <c r="I1223" s="883" t="s">
        <v>2564</v>
      </c>
      <c r="J1223" s="884">
        <v>2.721</v>
      </c>
      <c r="K1223" s="885">
        <v>0.15</v>
      </c>
      <c r="L1223" s="886">
        <v>0.15</v>
      </c>
      <c r="M1223" s="882"/>
    </row>
    <row r="1224" spans="1:13" ht="12.75">
      <c r="A1224" s="882"/>
      <c r="B1224" s="882"/>
      <c r="C1224" s="882"/>
      <c r="D1224" s="882"/>
      <c r="E1224" s="883" t="s">
        <v>368</v>
      </c>
      <c r="F1224" s="883" t="s">
        <v>369</v>
      </c>
      <c r="G1224" s="883" t="s">
        <v>95</v>
      </c>
      <c r="H1224" s="883" t="s">
        <v>2063</v>
      </c>
      <c r="I1224" s="883" t="s">
        <v>2564</v>
      </c>
      <c r="J1224" s="884">
        <v>3.543</v>
      </c>
      <c r="K1224" s="885">
        <v>0</v>
      </c>
      <c r="L1224" s="886">
        <v>0</v>
      </c>
      <c r="M1224" s="882"/>
    </row>
    <row r="1225" spans="1:13" ht="12.75">
      <c r="A1225" s="882"/>
      <c r="B1225" s="882"/>
      <c r="C1225" s="882"/>
      <c r="D1225" s="882"/>
      <c r="E1225" s="883" t="s">
        <v>370</v>
      </c>
      <c r="F1225" s="883" t="s">
        <v>371</v>
      </c>
      <c r="G1225" s="883" t="s">
        <v>95</v>
      </c>
      <c r="H1225" s="883" t="s">
        <v>2063</v>
      </c>
      <c r="I1225" s="883" t="s">
        <v>2564</v>
      </c>
      <c r="J1225" s="884">
        <v>1.919</v>
      </c>
      <c r="K1225" s="885">
        <v>0.15</v>
      </c>
      <c r="L1225" s="886">
        <v>0.03451</v>
      </c>
      <c r="M1225" s="882"/>
    </row>
    <row r="1226" spans="1:13" ht="12.75">
      <c r="A1226" s="882"/>
      <c r="B1226" s="882"/>
      <c r="C1226" s="882"/>
      <c r="D1226" s="882"/>
      <c r="E1226" s="883" t="s">
        <v>372</v>
      </c>
      <c r="F1226" s="883" t="s">
        <v>373</v>
      </c>
      <c r="G1226" s="883" t="s">
        <v>95</v>
      </c>
      <c r="H1226" s="883" t="s">
        <v>2063</v>
      </c>
      <c r="I1226" s="883" t="s">
        <v>2564</v>
      </c>
      <c r="J1226" s="884">
        <v>2.089</v>
      </c>
      <c r="K1226" s="885">
        <v>0.15</v>
      </c>
      <c r="L1226" s="886">
        <v>0.02856</v>
      </c>
      <c r="M1226" s="882"/>
    </row>
    <row r="1227" spans="1:13" ht="12.75">
      <c r="A1227" s="882"/>
      <c r="B1227" s="882"/>
      <c r="C1227" s="882"/>
      <c r="D1227" s="882"/>
      <c r="E1227" s="883" t="s">
        <v>374</v>
      </c>
      <c r="F1227" s="883" t="s">
        <v>375</v>
      </c>
      <c r="G1227" s="883" t="s">
        <v>95</v>
      </c>
      <c r="H1227" s="883" t="s">
        <v>2063</v>
      </c>
      <c r="I1227" s="883" t="s">
        <v>2564</v>
      </c>
      <c r="J1227" s="884">
        <v>3.357</v>
      </c>
      <c r="K1227" s="885">
        <v>0.15</v>
      </c>
      <c r="L1227" s="886">
        <v>0</v>
      </c>
      <c r="M1227" s="882"/>
    </row>
    <row r="1228" spans="1:13" ht="12.75">
      <c r="A1228" s="882"/>
      <c r="B1228" s="882"/>
      <c r="C1228" s="882"/>
      <c r="D1228" s="882"/>
      <c r="E1228" s="883" t="s">
        <v>376</v>
      </c>
      <c r="F1228" s="883" t="s">
        <v>377</v>
      </c>
      <c r="G1228" s="883" t="s">
        <v>95</v>
      </c>
      <c r="H1228" s="883" t="s">
        <v>2063</v>
      </c>
      <c r="I1228" s="883" t="s">
        <v>2564</v>
      </c>
      <c r="J1228" s="884">
        <v>3.262</v>
      </c>
      <c r="K1228" s="885">
        <v>0.15</v>
      </c>
      <c r="L1228" s="886">
        <v>0.05593</v>
      </c>
      <c r="M1228" s="882"/>
    </row>
    <row r="1229" spans="1:13" ht="12.75">
      <c r="A1229" s="882"/>
      <c r="B1229" s="882"/>
      <c r="C1229" s="882"/>
      <c r="D1229" s="882"/>
      <c r="E1229" s="883" t="s">
        <v>378</v>
      </c>
      <c r="F1229" s="883" t="s">
        <v>379</v>
      </c>
      <c r="G1229" s="883" t="s">
        <v>95</v>
      </c>
      <c r="H1229" s="883" t="s">
        <v>2063</v>
      </c>
      <c r="I1229" s="883" t="s">
        <v>2564</v>
      </c>
      <c r="J1229" s="884">
        <v>2.621</v>
      </c>
      <c r="K1229" s="885">
        <v>0.15</v>
      </c>
      <c r="L1229" s="886">
        <v>0.05474</v>
      </c>
      <c r="M1229" s="882"/>
    </row>
    <row r="1230" spans="1:13" ht="12.75">
      <c r="A1230" s="882"/>
      <c r="B1230" s="882"/>
      <c r="C1230" s="882"/>
      <c r="D1230" s="882"/>
      <c r="E1230" s="883" t="s">
        <v>380</v>
      </c>
      <c r="F1230" s="883" t="s">
        <v>381</v>
      </c>
      <c r="G1230" s="883" t="s">
        <v>95</v>
      </c>
      <c r="H1230" s="883" t="s">
        <v>2063</v>
      </c>
      <c r="I1230" s="883" t="s">
        <v>2564</v>
      </c>
      <c r="J1230" s="884">
        <v>2.342</v>
      </c>
      <c r="K1230" s="885">
        <v>0.27</v>
      </c>
      <c r="L1230" s="886">
        <v>0.05712</v>
      </c>
      <c r="M1230" s="882"/>
    </row>
    <row r="1231" spans="1:13" ht="12.75">
      <c r="A1231" s="882"/>
      <c r="B1231" s="882"/>
      <c r="C1231" s="882"/>
      <c r="D1231" s="882"/>
      <c r="E1231" s="883" t="s">
        <v>382</v>
      </c>
      <c r="F1231" s="883" t="s">
        <v>383</v>
      </c>
      <c r="G1231" s="883" t="s">
        <v>145</v>
      </c>
      <c r="H1231" s="883" t="s">
        <v>2063</v>
      </c>
      <c r="I1231" s="883" t="s">
        <v>2897</v>
      </c>
      <c r="J1231" s="885">
        <v>0</v>
      </c>
      <c r="K1231" s="885">
        <v>0</v>
      </c>
      <c r="L1231" s="886">
        <v>0.606104</v>
      </c>
      <c r="M1231" s="882"/>
    </row>
    <row r="1232" spans="1:13" ht="12.75">
      <c r="A1232" s="882"/>
      <c r="B1232" s="882"/>
      <c r="C1232" s="882"/>
      <c r="D1232" s="882"/>
      <c r="E1232" s="883" t="s">
        <v>382</v>
      </c>
      <c r="F1232" s="883" t="s">
        <v>383</v>
      </c>
      <c r="G1232" s="883" t="s">
        <v>145</v>
      </c>
      <c r="H1232" s="883" t="s">
        <v>2063</v>
      </c>
      <c r="I1232" s="883" t="s">
        <v>2627</v>
      </c>
      <c r="J1232" s="885">
        <v>0</v>
      </c>
      <c r="K1232" s="885">
        <v>0</v>
      </c>
      <c r="L1232" s="886">
        <v>3.370143</v>
      </c>
      <c r="M1232" s="882"/>
    </row>
    <row r="1233" spans="1:13" ht="12.75">
      <c r="A1233" s="882"/>
      <c r="B1233" s="882"/>
      <c r="C1233" s="882"/>
      <c r="D1233" s="882"/>
      <c r="E1233" s="883" t="s">
        <v>384</v>
      </c>
      <c r="F1233" s="883" t="s">
        <v>385</v>
      </c>
      <c r="G1233" s="883" t="s">
        <v>121</v>
      </c>
      <c r="H1233" s="883" t="s">
        <v>2063</v>
      </c>
      <c r="I1233" s="883" t="s">
        <v>2538</v>
      </c>
      <c r="J1233" s="885">
        <v>0</v>
      </c>
      <c r="K1233" s="885">
        <v>0.139</v>
      </c>
      <c r="L1233" s="886">
        <v>0.138014</v>
      </c>
      <c r="M1233" s="882"/>
    </row>
    <row r="1234" spans="1:13" ht="12.75">
      <c r="A1234" s="882"/>
      <c r="B1234" s="882"/>
      <c r="C1234" s="882"/>
      <c r="D1234" s="882"/>
      <c r="E1234" s="883" t="s">
        <v>386</v>
      </c>
      <c r="F1234" s="883" t="s">
        <v>387</v>
      </c>
      <c r="G1234" s="883" t="s">
        <v>110</v>
      </c>
      <c r="H1234" s="883" t="s">
        <v>2063</v>
      </c>
      <c r="I1234" s="883" t="s">
        <v>2842</v>
      </c>
      <c r="J1234" s="885">
        <v>0</v>
      </c>
      <c r="K1234" s="885">
        <v>0.116</v>
      </c>
      <c r="L1234" s="886">
        <v>0.106922</v>
      </c>
      <c r="M1234" s="882"/>
    </row>
    <row r="1235" spans="1:13" ht="12.75">
      <c r="A1235" s="882"/>
      <c r="B1235" s="882"/>
      <c r="C1235" s="882"/>
      <c r="D1235" s="882"/>
      <c r="E1235" s="883" t="s">
        <v>386</v>
      </c>
      <c r="F1235" s="883" t="s">
        <v>387</v>
      </c>
      <c r="G1235" s="883" t="s">
        <v>110</v>
      </c>
      <c r="H1235" s="883" t="s">
        <v>2063</v>
      </c>
      <c r="I1235" s="883" t="s">
        <v>2841</v>
      </c>
      <c r="J1235" s="885">
        <v>0</v>
      </c>
      <c r="K1235" s="885">
        <v>0.009</v>
      </c>
      <c r="L1235" s="886">
        <v>0.007977</v>
      </c>
      <c r="M1235" s="882"/>
    </row>
    <row r="1236" spans="1:13" ht="12.75">
      <c r="A1236" s="882"/>
      <c r="B1236" s="882"/>
      <c r="C1236" s="882"/>
      <c r="D1236" s="882"/>
      <c r="E1236" s="883" t="s">
        <v>386</v>
      </c>
      <c r="F1236" s="883" t="s">
        <v>387</v>
      </c>
      <c r="G1236" s="883" t="s">
        <v>110</v>
      </c>
      <c r="H1236" s="883" t="s">
        <v>2063</v>
      </c>
      <c r="I1236" s="883" t="s">
        <v>2538</v>
      </c>
      <c r="J1236" s="885">
        <v>0</v>
      </c>
      <c r="K1236" s="885">
        <v>0.579</v>
      </c>
      <c r="L1236" s="886">
        <v>0.578527</v>
      </c>
      <c r="M1236" s="882"/>
    </row>
    <row r="1237" spans="1:13" ht="12.75">
      <c r="A1237" s="882"/>
      <c r="B1237" s="882"/>
      <c r="C1237" s="882"/>
      <c r="D1237" s="882"/>
      <c r="E1237" s="883" t="s">
        <v>386</v>
      </c>
      <c r="F1237" s="883" t="s">
        <v>387</v>
      </c>
      <c r="G1237" s="883" t="s">
        <v>110</v>
      </c>
      <c r="H1237" s="883" t="s">
        <v>2063</v>
      </c>
      <c r="I1237" s="883" t="s">
        <v>2564</v>
      </c>
      <c r="J1237" s="885">
        <v>0</v>
      </c>
      <c r="K1237" s="885">
        <v>2.297</v>
      </c>
      <c r="L1237" s="886">
        <v>2.29689</v>
      </c>
      <c r="M1237" s="882"/>
    </row>
    <row r="1238" spans="1:13" ht="12.75">
      <c r="A1238" s="882"/>
      <c r="B1238" s="882"/>
      <c r="C1238" s="882"/>
      <c r="D1238" s="882"/>
      <c r="E1238" s="883" t="s">
        <v>388</v>
      </c>
      <c r="F1238" s="883" t="s">
        <v>389</v>
      </c>
      <c r="G1238" s="883" t="s">
        <v>91</v>
      </c>
      <c r="H1238" s="883" t="s">
        <v>2063</v>
      </c>
      <c r="I1238" s="883" t="s">
        <v>2564</v>
      </c>
      <c r="J1238" s="885">
        <v>0</v>
      </c>
      <c r="K1238" s="885">
        <v>0.2</v>
      </c>
      <c r="L1238" s="886">
        <v>0.18326</v>
      </c>
      <c r="M1238" s="882"/>
    </row>
    <row r="1239" spans="1:13" ht="12.75">
      <c r="A1239" s="882"/>
      <c r="B1239" s="882"/>
      <c r="C1239" s="882"/>
      <c r="D1239" s="882"/>
      <c r="E1239" s="883" t="s">
        <v>390</v>
      </c>
      <c r="F1239" s="883" t="s">
        <v>391</v>
      </c>
      <c r="G1239" s="883" t="s">
        <v>91</v>
      </c>
      <c r="H1239" s="883" t="s">
        <v>2063</v>
      </c>
      <c r="I1239" s="883" t="s">
        <v>2564</v>
      </c>
      <c r="J1239" s="885">
        <v>0</v>
      </c>
      <c r="K1239" s="885">
        <v>0.145</v>
      </c>
      <c r="L1239" s="886">
        <v>0.145</v>
      </c>
      <c r="M1239" s="882"/>
    </row>
    <row r="1240" spans="1:13" ht="12.75">
      <c r="A1240" s="882"/>
      <c r="B1240" s="882"/>
      <c r="C1240" s="882"/>
      <c r="D1240" s="882"/>
      <c r="E1240" s="883" t="s">
        <v>392</v>
      </c>
      <c r="F1240" s="883" t="s">
        <v>393</v>
      </c>
      <c r="G1240" s="883" t="s">
        <v>110</v>
      </c>
      <c r="H1240" s="883" t="s">
        <v>2063</v>
      </c>
      <c r="I1240" s="883" t="s">
        <v>2538</v>
      </c>
      <c r="J1240" s="885">
        <v>0</v>
      </c>
      <c r="K1240" s="885">
        <v>1.472</v>
      </c>
      <c r="L1240" s="886">
        <v>1.4708027</v>
      </c>
      <c r="M1240" s="882"/>
    </row>
    <row r="1241" spans="1:13" ht="12.75">
      <c r="A1241" s="882"/>
      <c r="B1241" s="882"/>
      <c r="C1241" s="882"/>
      <c r="D1241" s="882"/>
      <c r="E1241" s="883" t="s">
        <v>394</v>
      </c>
      <c r="F1241" s="883" t="s">
        <v>395</v>
      </c>
      <c r="G1241" s="883" t="s">
        <v>2955</v>
      </c>
      <c r="H1241" s="883" t="s">
        <v>2063</v>
      </c>
      <c r="I1241" s="883" t="s">
        <v>2538</v>
      </c>
      <c r="J1241" s="885">
        <v>0</v>
      </c>
      <c r="K1241" s="885">
        <v>5.287</v>
      </c>
      <c r="L1241" s="886">
        <v>5.2829172</v>
      </c>
      <c r="M1241" s="882"/>
    </row>
    <row r="1242" spans="1:13" ht="12.75">
      <c r="A1242" s="882"/>
      <c r="B1242" s="882"/>
      <c r="C1242" s="882"/>
      <c r="D1242" s="882"/>
      <c r="E1242" s="883" t="s">
        <v>396</v>
      </c>
      <c r="F1242" s="883" t="s">
        <v>397</v>
      </c>
      <c r="G1242" s="883" t="s">
        <v>132</v>
      </c>
      <c r="H1242" s="883" t="s">
        <v>2063</v>
      </c>
      <c r="I1242" s="883" t="s">
        <v>2538</v>
      </c>
      <c r="J1242" s="885">
        <v>0</v>
      </c>
      <c r="K1242" s="885">
        <v>0.1</v>
      </c>
      <c r="L1242" s="886">
        <v>0.099508</v>
      </c>
      <c r="M1242" s="882"/>
    </row>
    <row r="1243" spans="1:13" ht="12.75">
      <c r="A1243" s="882"/>
      <c r="B1243" s="882"/>
      <c r="C1243" s="882"/>
      <c r="D1243" s="882"/>
      <c r="E1243" s="883" t="s">
        <v>398</v>
      </c>
      <c r="F1243" s="883" t="s">
        <v>399</v>
      </c>
      <c r="G1243" s="883" t="s">
        <v>132</v>
      </c>
      <c r="H1243" s="883" t="s">
        <v>2063</v>
      </c>
      <c r="I1243" s="883" t="s">
        <v>2538</v>
      </c>
      <c r="J1243" s="885">
        <v>0</v>
      </c>
      <c r="K1243" s="885">
        <v>0.15</v>
      </c>
      <c r="L1243" s="886">
        <v>0.15</v>
      </c>
      <c r="M1243" s="882"/>
    </row>
    <row r="1244" spans="1:13" ht="12.75">
      <c r="A1244" s="882"/>
      <c r="B1244" s="882"/>
      <c r="C1244" s="882"/>
      <c r="D1244" s="882"/>
      <c r="E1244" s="883" t="s">
        <v>400</v>
      </c>
      <c r="F1244" s="883" t="s">
        <v>401</v>
      </c>
      <c r="G1244" s="883" t="s">
        <v>132</v>
      </c>
      <c r="H1244" s="883" t="s">
        <v>2063</v>
      </c>
      <c r="I1244" s="883" t="s">
        <v>2538</v>
      </c>
      <c r="J1244" s="885">
        <v>0</v>
      </c>
      <c r="K1244" s="885">
        <v>0.047</v>
      </c>
      <c r="L1244" s="886">
        <v>0.04641</v>
      </c>
      <c r="M1244" s="882"/>
    </row>
    <row r="1245" spans="1:13" ht="12.75">
      <c r="A1245" s="882"/>
      <c r="B1245" s="882"/>
      <c r="C1245" s="882"/>
      <c r="D1245" s="882"/>
      <c r="E1245" s="883" t="s">
        <v>402</v>
      </c>
      <c r="F1245" s="883" t="s">
        <v>403</v>
      </c>
      <c r="G1245" s="883" t="s">
        <v>91</v>
      </c>
      <c r="H1245" s="883" t="s">
        <v>2063</v>
      </c>
      <c r="I1245" s="883" t="s">
        <v>2564</v>
      </c>
      <c r="J1245" s="885">
        <v>0</v>
      </c>
      <c r="K1245" s="885">
        <v>0.21</v>
      </c>
      <c r="L1245" s="886">
        <v>0.124882</v>
      </c>
      <c r="M1245" s="882"/>
    </row>
    <row r="1246" spans="1:13" ht="12.75">
      <c r="A1246" s="882"/>
      <c r="B1246" s="882"/>
      <c r="C1246" s="882"/>
      <c r="D1246" s="882"/>
      <c r="E1246" s="883" t="s">
        <v>404</v>
      </c>
      <c r="F1246" s="883" t="s">
        <v>405</v>
      </c>
      <c r="G1246" s="883" t="s">
        <v>91</v>
      </c>
      <c r="H1246" s="883" t="s">
        <v>2063</v>
      </c>
      <c r="I1246" s="883" t="s">
        <v>2564</v>
      </c>
      <c r="J1246" s="885">
        <v>0</v>
      </c>
      <c r="K1246" s="885">
        <v>0.182</v>
      </c>
      <c r="L1246" s="886">
        <v>0.091492</v>
      </c>
      <c r="M1246" s="882"/>
    </row>
    <row r="1247" spans="1:13" ht="12.75">
      <c r="A1247" s="882"/>
      <c r="B1247" s="882"/>
      <c r="C1247" s="882"/>
      <c r="D1247" s="882"/>
      <c r="E1247" s="883" t="s">
        <v>406</v>
      </c>
      <c r="F1247" s="883" t="s">
        <v>407</v>
      </c>
      <c r="G1247" s="883" t="s">
        <v>110</v>
      </c>
      <c r="H1247" s="883" t="s">
        <v>2063</v>
      </c>
      <c r="I1247" s="883" t="s">
        <v>2538</v>
      </c>
      <c r="J1247" s="885">
        <v>0</v>
      </c>
      <c r="K1247" s="885">
        <v>0.092</v>
      </c>
      <c r="L1247" s="886">
        <v>0.09163</v>
      </c>
      <c r="M1247" s="882"/>
    </row>
    <row r="1248" spans="1:13" ht="12.75">
      <c r="A1248" s="882"/>
      <c r="B1248" s="882"/>
      <c r="C1248" s="882"/>
      <c r="D1248" s="882"/>
      <c r="E1248" s="883" t="s">
        <v>408</v>
      </c>
      <c r="F1248" s="883" t="s">
        <v>409</v>
      </c>
      <c r="G1248" s="883" t="s">
        <v>91</v>
      </c>
      <c r="H1248" s="883" t="s">
        <v>2063</v>
      </c>
      <c r="I1248" s="883" t="s">
        <v>2538</v>
      </c>
      <c r="J1248" s="885">
        <v>0</v>
      </c>
      <c r="K1248" s="885">
        <v>1.591</v>
      </c>
      <c r="L1248" s="886">
        <v>1.59037364</v>
      </c>
      <c r="M1248" s="882"/>
    </row>
    <row r="1249" spans="1:13" ht="12.75">
      <c r="A1249" s="882"/>
      <c r="B1249" s="882"/>
      <c r="C1249" s="882"/>
      <c r="D1249" s="882"/>
      <c r="E1249" s="883" t="s">
        <v>410</v>
      </c>
      <c r="F1249" s="883" t="s">
        <v>411</v>
      </c>
      <c r="G1249" s="883" t="s">
        <v>2955</v>
      </c>
      <c r="H1249" s="883" t="s">
        <v>2063</v>
      </c>
      <c r="I1249" s="883" t="s">
        <v>2538</v>
      </c>
      <c r="J1249" s="885">
        <v>0</v>
      </c>
      <c r="K1249" s="885">
        <v>3.349</v>
      </c>
      <c r="L1249" s="886">
        <v>3.348636</v>
      </c>
      <c r="M1249" s="882"/>
    </row>
    <row r="1250" spans="1:13" ht="12.75">
      <c r="A1250" s="882"/>
      <c r="B1250" s="882"/>
      <c r="C1250" s="882"/>
      <c r="D1250" s="882"/>
      <c r="E1250" s="883" t="s">
        <v>412</v>
      </c>
      <c r="F1250" s="883" t="s">
        <v>413</v>
      </c>
      <c r="G1250" s="883" t="s">
        <v>145</v>
      </c>
      <c r="H1250" s="883" t="s">
        <v>2063</v>
      </c>
      <c r="I1250" s="883" t="s">
        <v>2538</v>
      </c>
      <c r="J1250" s="885">
        <v>0</v>
      </c>
      <c r="K1250" s="885">
        <v>0.72</v>
      </c>
      <c r="L1250" s="886">
        <v>0.72</v>
      </c>
      <c r="M1250" s="882"/>
    </row>
    <row r="1251" spans="1:13" ht="12.75">
      <c r="A1251" s="882"/>
      <c r="B1251" s="882"/>
      <c r="C1251" s="882"/>
      <c r="D1251" s="882"/>
      <c r="E1251" s="883" t="s">
        <v>414</v>
      </c>
      <c r="F1251" s="883" t="s">
        <v>415</v>
      </c>
      <c r="G1251" s="883" t="s">
        <v>91</v>
      </c>
      <c r="H1251" s="883" t="s">
        <v>2063</v>
      </c>
      <c r="I1251" s="883" t="s">
        <v>2564</v>
      </c>
      <c r="J1251" s="885">
        <v>0</v>
      </c>
      <c r="K1251" s="885">
        <v>0.273</v>
      </c>
      <c r="L1251" s="886">
        <v>0.2728908</v>
      </c>
      <c r="M1251" s="882"/>
    </row>
    <row r="1252" spans="1:13" ht="12.75">
      <c r="A1252" s="882"/>
      <c r="B1252" s="882"/>
      <c r="C1252" s="882"/>
      <c r="D1252" s="882"/>
      <c r="E1252" s="883" t="s">
        <v>416</v>
      </c>
      <c r="F1252" s="883" t="s">
        <v>417</v>
      </c>
      <c r="G1252" s="883" t="s">
        <v>110</v>
      </c>
      <c r="H1252" s="883" t="s">
        <v>2063</v>
      </c>
      <c r="I1252" s="883" t="s">
        <v>2627</v>
      </c>
      <c r="J1252" s="885">
        <v>0</v>
      </c>
      <c r="K1252" s="885">
        <v>0</v>
      </c>
      <c r="L1252" s="886">
        <v>0.3091213</v>
      </c>
      <c r="M1252" s="882"/>
    </row>
    <row r="1253" spans="1:13" ht="12.75">
      <c r="A1253" s="882"/>
      <c r="B1253" s="882"/>
      <c r="C1253" s="882"/>
      <c r="D1253" s="882"/>
      <c r="E1253" s="883" t="s">
        <v>418</v>
      </c>
      <c r="F1253" s="883" t="s">
        <v>419</v>
      </c>
      <c r="G1253" s="883" t="s">
        <v>145</v>
      </c>
      <c r="H1253" s="883" t="s">
        <v>2063</v>
      </c>
      <c r="I1253" s="883" t="s">
        <v>2538</v>
      </c>
      <c r="J1253" s="885">
        <v>0</v>
      </c>
      <c r="K1253" s="885">
        <v>1.183</v>
      </c>
      <c r="L1253" s="886">
        <v>1.181161</v>
      </c>
      <c r="M1253" s="882"/>
    </row>
    <row r="1254" spans="1:13" ht="12.75">
      <c r="A1254" s="882"/>
      <c r="B1254" s="882"/>
      <c r="C1254" s="882"/>
      <c r="D1254" s="882"/>
      <c r="E1254" s="883" t="s">
        <v>420</v>
      </c>
      <c r="F1254" s="883" t="s">
        <v>421</v>
      </c>
      <c r="G1254" s="883" t="s">
        <v>145</v>
      </c>
      <c r="H1254" s="883" t="s">
        <v>2063</v>
      </c>
      <c r="I1254" s="883" t="s">
        <v>2538</v>
      </c>
      <c r="J1254" s="885">
        <v>0</v>
      </c>
      <c r="K1254" s="885">
        <v>0.095</v>
      </c>
      <c r="L1254" s="886">
        <v>0.09495319</v>
      </c>
      <c r="M1254" s="882"/>
    </row>
    <row r="1255" spans="1:13" ht="12.75">
      <c r="A1255" s="882"/>
      <c r="B1255" s="882"/>
      <c r="C1255" s="882"/>
      <c r="D1255" s="882"/>
      <c r="E1255" s="883" t="s">
        <v>420</v>
      </c>
      <c r="F1255" s="883" t="s">
        <v>421</v>
      </c>
      <c r="G1255" s="883" t="s">
        <v>145</v>
      </c>
      <c r="H1255" s="883" t="s">
        <v>2063</v>
      </c>
      <c r="I1255" s="883" t="s">
        <v>2841</v>
      </c>
      <c r="J1255" s="885">
        <v>0</v>
      </c>
      <c r="K1255" s="885">
        <v>0.032</v>
      </c>
      <c r="L1255" s="886">
        <v>0.03088995</v>
      </c>
      <c r="M1255" s="882"/>
    </row>
    <row r="1256" spans="1:13" ht="12.75">
      <c r="A1256" s="882"/>
      <c r="B1256" s="882"/>
      <c r="C1256" s="882"/>
      <c r="D1256" s="882"/>
      <c r="E1256" s="883" t="s">
        <v>422</v>
      </c>
      <c r="F1256" s="883" t="s">
        <v>423</v>
      </c>
      <c r="G1256" s="883" t="s">
        <v>145</v>
      </c>
      <c r="H1256" s="883" t="s">
        <v>2063</v>
      </c>
      <c r="I1256" s="883" t="s">
        <v>2538</v>
      </c>
      <c r="J1256" s="885">
        <v>0</v>
      </c>
      <c r="K1256" s="885">
        <v>2.558</v>
      </c>
      <c r="L1256" s="886">
        <v>2.55795743</v>
      </c>
      <c r="M1256" s="882"/>
    </row>
    <row r="1257" spans="1:13" ht="12.75">
      <c r="A1257" s="882"/>
      <c r="B1257" s="882"/>
      <c r="C1257" s="882"/>
      <c r="D1257" s="882"/>
      <c r="E1257" s="883" t="s">
        <v>422</v>
      </c>
      <c r="F1257" s="883" t="s">
        <v>423</v>
      </c>
      <c r="G1257" s="883" t="s">
        <v>145</v>
      </c>
      <c r="H1257" s="883" t="s">
        <v>2063</v>
      </c>
      <c r="I1257" s="883" t="s">
        <v>2841</v>
      </c>
      <c r="J1257" s="885">
        <v>0</v>
      </c>
      <c r="K1257" s="885">
        <v>0.258</v>
      </c>
      <c r="L1257" s="886">
        <v>0.257762</v>
      </c>
      <c r="M1257" s="882"/>
    </row>
    <row r="1258" spans="1:13" ht="12.75">
      <c r="A1258" s="882"/>
      <c r="B1258" s="882"/>
      <c r="C1258" s="882"/>
      <c r="D1258" s="882"/>
      <c r="E1258" s="883" t="s">
        <v>424</v>
      </c>
      <c r="F1258" s="883" t="s">
        <v>425</v>
      </c>
      <c r="G1258" s="883" t="s">
        <v>145</v>
      </c>
      <c r="H1258" s="883" t="s">
        <v>2063</v>
      </c>
      <c r="I1258" s="883" t="s">
        <v>2538</v>
      </c>
      <c r="J1258" s="885">
        <v>0</v>
      </c>
      <c r="K1258" s="885">
        <v>4.378</v>
      </c>
      <c r="L1258" s="886">
        <v>4.3772997</v>
      </c>
      <c r="M1258" s="882"/>
    </row>
    <row r="1259" spans="1:13" ht="12.75">
      <c r="A1259" s="882"/>
      <c r="B1259" s="882"/>
      <c r="C1259" s="882"/>
      <c r="D1259" s="882"/>
      <c r="E1259" s="883" t="s">
        <v>426</v>
      </c>
      <c r="F1259" s="883" t="s">
        <v>427</v>
      </c>
      <c r="G1259" s="883" t="s">
        <v>145</v>
      </c>
      <c r="H1259" s="883" t="s">
        <v>2063</v>
      </c>
      <c r="I1259" s="883" t="s">
        <v>2538</v>
      </c>
      <c r="J1259" s="885">
        <v>0</v>
      </c>
      <c r="K1259" s="885">
        <v>0.343</v>
      </c>
      <c r="L1259" s="886">
        <v>0.34259373</v>
      </c>
      <c r="M1259" s="882"/>
    </row>
    <row r="1260" spans="1:13" ht="12.75">
      <c r="A1260" s="882"/>
      <c r="B1260" s="882"/>
      <c r="C1260" s="882"/>
      <c r="D1260" s="882"/>
      <c r="E1260" s="883" t="s">
        <v>428</v>
      </c>
      <c r="F1260" s="883" t="s">
        <v>429</v>
      </c>
      <c r="G1260" s="883" t="s">
        <v>145</v>
      </c>
      <c r="H1260" s="883" t="s">
        <v>2063</v>
      </c>
      <c r="I1260" s="883" t="s">
        <v>2538</v>
      </c>
      <c r="J1260" s="885">
        <v>0</v>
      </c>
      <c r="K1260" s="885">
        <v>0.34</v>
      </c>
      <c r="L1260" s="886">
        <v>0.339925</v>
      </c>
      <c r="M1260" s="882"/>
    </row>
    <row r="1261" spans="1:13" ht="12.75">
      <c r="A1261" s="882"/>
      <c r="B1261" s="882"/>
      <c r="C1261" s="882"/>
      <c r="D1261" s="882"/>
      <c r="E1261" s="883" t="s">
        <v>430</v>
      </c>
      <c r="F1261" s="883" t="s">
        <v>431</v>
      </c>
      <c r="G1261" s="883" t="s">
        <v>145</v>
      </c>
      <c r="H1261" s="883" t="s">
        <v>2063</v>
      </c>
      <c r="I1261" s="883" t="s">
        <v>2538</v>
      </c>
      <c r="J1261" s="885">
        <v>0</v>
      </c>
      <c r="K1261" s="885">
        <v>0.8</v>
      </c>
      <c r="L1261" s="886">
        <v>0.79950598</v>
      </c>
      <c r="M1261" s="882"/>
    </row>
    <row r="1262" spans="1:13" ht="12.75">
      <c r="A1262" s="882"/>
      <c r="B1262" s="882"/>
      <c r="C1262" s="882"/>
      <c r="D1262" s="882"/>
      <c r="E1262" s="883" t="s">
        <v>430</v>
      </c>
      <c r="F1262" s="883" t="s">
        <v>431</v>
      </c>
      <c r="G1262" s="883" t="s">
        <v>145</v>
      </c>
      <c r="H1262" s="883" t="s">
        <v>2063</v>
      </c>
      <c r="I1262" s="883" t="s">
        <v>2841</v>
      </c>
      <c r="J1262" s="885">
        <v>0</v>
      </c>
      <c r="K1262" s="885">
        <v>0.14</v>
      </c>
      <c r="L1262" s="886">
        <v>0.13920402</v>
      </c>
      <c r="M1262" s="882"/>
    </row>
    <row r="1263" spans="1:13" ht="12.75">
      <c r="A1263" s="882"/>
      <c r="B1263" s="882"/>
      <c r="C1263" s="882"/>
      <c r="D1263" s="882"/>
      <c r="E1263" s="883" t="s">
        <v>432</v>
      </c>
      <c r="F1263" s="883" t="s">
        <v>433</v>
      </c>
      <c r="G1263" s="883" t="s">
        <v>145</v>
      </c>
      <c r="H1263" s="883" t="s">
        <v>2063</v>
      </c>
      <c r="I1263" s="883" t="s">
        <v>2538</v>
      </c>
      <c r="J1263" s="885">
        <v>0</v>
      </c>
      <c r="K1263" s="885">
        <v>1.891</v>
      </c>
      <c r="L1263" s="886">
        <v>1.8905294</v>
      </c>
      <c r="M1263" s="882"/>
    </row>
    <row r="1264" spans="1:13" ht="12.75">
      <c r="A1264" s="882"/>
      <c r="B1264" s="882"/>
      <c r="C1264" s="882"/>
      <c r="D1264" s="882"/>
      <c r="E1264" s="883" t="s">
        <v>434</v>
      </c>
      <c r="F1264" s="883" t="s">
        <v>435</v>
      </c>
      <c r="G1264" s="883" t="s">
        <v>145</v>
      </c>
      <c r="H1264" s="883" t="s">
        <v>2063</v>
      </c>
      <c r="I1264" s="883" t="s">
        <v>2538</v>
      </c>
      <c r="J1264" s="885">
        <v>0</v>
      </c>
      <c r="K1264" s="885">
        <v>0.646</v>
      </c>
      <c r="L1264" s="886">
        <v>0.645452</v>
      </c>
      <c r="M1264" s="882"/>
    </row>
    <row r="1265" spans="1:13" ht="12.75">
      <c r="A1265" s="882"/>
      <c r="B1265" s="882"/>
      <c r="C1265" s="882"/>
      <c r="D1265" s="882"/>
      <c r="E1265" s="883" t="s">
        <v>436</v>
      </c>
      <c r="F1265" s="883" t="s">
        <v>437</v>
      </c>
      <c r="G1265" s="883" t="s">
        <v>145</v>
      </c>
      <c r="H1265" s="883" t="s">
        <v>2063</v>
      </c>
      <c r="I1265" s="883" t="s">
        <v>2538</v>
      </c>
      <c r="J1265" s="885">
        <v>0</v>
      </c>
      <c r="K1265" s="885">
        <v>0.261</v>
      </c>
      <c r="L1265" s="886">
        <v>0.260188</v>
      </c>
      <c r="M1265" s="882"/>
    </row>
    <row r="1266" spans="1:13" ht="12.75">
      <c r="A1266" s="882"/>
      <c r="B1266" s="882"/>
      <c r="C1266" s="882"/>
      <c r="D1266" s="882"/>
      <c r="E1266" s="883" t="s">
        <v>438</v>
      </c>
      <c r="F1266" s="883" t="s">
        <v>439</v>
      </c>
      <c r="G1266" s="883" t="s">
        <v>145</v>
      </c>
      <c r="H1266" s="883" t="s">
        <v>2063</v>
      </c>
      <c r="I1266" s="883" t="s">
        <v>2538</v>
      </c>
      <c r="J1266" s="885">
        <v>0</v>
      </c>
      <c r="K1266" s="885">
        <v>3.212</v>
      </c>
      <c r="L1266" s="886">
        <v>3.21071724</v>
      </c>
      <c r="M1266" s="882"/>
    </row>
    <row r="1267" spans="1:13" ht="12.75">
      <c r="A1267" s="882"/>
      <c r="B1267" s="882"/>
      <c r="C1267" s="882"/>
      <c r="D1267" s="882"/>
      <c r="E1267" s="883" t="s">
        <v>438</v>
      </c>
      <c r="F1267" s="883" t="s">
        <v>439</v>
      </c>
      <c r="G1267" s="883" t="s">
        <v>145</v>
      </c>
      <c r="H1267" s="883" t="s">
        <v>2063</v>
      </c>
      <c r="I1267" s="883" t="s">
        <v>2841</v>
      </c>
      <c r="J1267" s="885">
        <v>0</v>
      </c>
      <c r="K1267" s="885">
        <v>0.021</v>
      </c>
      <c r="L1267" s="886">
        <v>0.0204323</v>
      </c>
      <c r="M1267" s="882"/>
    </row>
    <row r="1268" spans="1:13" ht="12.75">
      <c r="A1268" s="882"/>
      <c r="B1268" s="882"/>
      <c r="C1268" s="882"/>
      <c r="D1268" s="882"/>
      <c r="E1268" s="883" t="s">
        <v>440</v>
      </c>
      <c r="F1268" s="883" t="s">
        <v>441</v>
      </c>
      <c r="G1268" s="883" t="s">
        <v>121</v>
      </c>
      <c r="H1268" s="883" t="s">
        <v>2063</v>
      </c>
      <c r="I1268" s="883" t="s">
        <v>2842</v>
      </c>
      <c r="J1268" s="885">
        <v>0</v>
      </c>
      <c r="K1268" s="885">
        <v>0.176</v>
      </c>
      <c r="L1268" s="886">
        <v>0.16193865</v>
      </c>
      <c r="M1268" s="882"/>
    </row>
    <row r="1269" spans="1:13" ht="12.75">
      <c r="A1269" s="882"/>
      <c r="B1269" s="882"/>
      <c r="C1269" s="882"/>
      <c r="D1269" s="882"/>
      <c r="E1269" s="883" t="s">
        <v>440</v>
      </c>
      <c r="F1269" s="883" t="s">
        <v>441</v>
      </c>
      <c r="G1269" s="883" t="s">
        <v>121</v>
      </c>
      <c r="H1269" s="883" t="s">
        <v>2063</v>
      </c>
      <c r="I1269" s="883" t="s">
        <v>2538</v>
      </c>
      <c r="J1269" s="885">
        <v>0</v>
      </c>
      <c r="K1269" s="885">
        <v>0.3</v>
      </c>
      <c r="L1269" s="886">
        <v>0.299635</v>
      </c>
      <c r="M1269" s="882"/>
    </row>
    <row r="1270" spans="1:13" ht="12.75">
      <c r="A1270" s="882"/>
      <c r="B1270" s="882"/>
      <c r="C1270" s="882"/>
      <c r="D1270" s="882"/>
      <c r="E1270" s="883" t="s">
        <v>440</v>
      </c>
      <c r="F1270" s="883" t="s">
        <v>441</v>
      </c>
      <c r="G1270" s="883" t="s">
        <v>121</v>
      </c>
      <c r="H1270" s="883" t="s">
        <v>2063</v>
      </c>
      <c r="I1270" s="883" t="s">
        <v>2564</v>
      </c>
      <c r="J1270" s="885">
        <v>0</v>
      </c>
      <c r="K1270" s="885">
        <v>4.594</v>
      </c>
      <c r="L1270" s="886">
        <v>2.28126235</v>
      </c>
      <c r="M1270" s="882"/>
    </row>
    <row r="1271" spans="1:13" ht="12.75">
      <c r="A1271" s="882"/>
      <c r="B1271" s="882"/>
      <c r="C1271" s="882"/>
      <c r="D1271" s="882"/>
      <c r="E1271" s="883" t="s">
        <v>442</v>
      </c>
      <c r="F1271" s="883" t="s">
        <v>443</v>
      </c>
      <c r="G1271" s="883" t="s">
        <v>121</v>
      </c>
      <c r="H1271" s="883" t="s">
        <v>2063</v>
      </c>
      <c r="I1271" s="883" t="s">
        <v>2538</v>
      </c>
      <c r="J1271" s="885">
        <v>0</v>
      </c>
      <c r="K1271" s="885">
        <v>0.368</v>
      </c>
      <c r="L1271" s="886">
        <v>0.367761</v>
      </c>
      <c r="M1271" s="882"/>
    </row>
    <row r="1272" spans="1:13" ht="12.75">
      <c r="A1272" s="882"/>
      <c r="B1272" s="882"/>
      <c r="C1272" s="882"/>
      <c r="D1272" s="882"/>
      <c r="E1272" s="883" t="s">
        <v>444</v>
      </c>
      <c r="F1272" s="883" t="s">
        <v>445</v>
      </c>
      <c r="G1272" s="883" t="s">
        <v>121</v>
      </c>
      <c r="H1272" s="883" t="s">
        <v>2543</v>
      </c>
      <c r="I1272" s="883" t="s">
        <v>2564</v>
      </c>
      <c r="J1272" s="885">
        <v>0</v>
      </c>
      <c r="K1272" s="885">
        <v>20</v>
      </c>
      <c r="L1272" s="886">
        <v>0</v>
      </c>
      <c r="M1272" s="882"/>
    </row>
    <row r="1273" spans="1:13" ht="12.75">
      <c r="A1273" s="882"/>
      <c r="B1273" s="882"/>
      <c r="C1273" s="882"/>
      <c r="D1273" s="882"/>
      <c r="E1273" s="883" t="s">
        <v>446</v>
      </c>
      <c r="F1273" s="883" t="s">
        <v>447</v>
      </c>
      <c r="G1273" s="883" t="s">
        <v>158</v>
      </c>
      <c r="H1273" s="883" t="s">
        <v>2063</v>
      </c>
      <c r="I1273" s="883" t="s">
        <v>2538</v>
      </c>
      <c r="J1273" s="885">
        <v>0</v>
      </c>
      <c r="K1273" s="885">
        <v>0.061</v>
      </c>
      <c r="L1273" s="886">
        <v>0.060095</v>
      </c>
      <c r="M1273" s="882"/>
    </row>
    <row r="1274" spans="1:13" ht="12.75">
      <c r="A1274" s="882"/>
      <c r="B1274" s="882"/>
      <c r="C1274" s="882"/>
      <c r="D1274" s="882"/>
      <c r="E1274" s="883" t="s">
        <v>446</v>
      </c>
      <c r="F1274" s="883" t="s">
        <v>447</v>
      </c>
      <c r="G1274" s="883" t="s">
        <v>158</v>
      </c>
      <c r="H1274" s="883" t="s">
        <v>2063</v>
      </c>
      <c r="I1274" s="883" t="s">
        <v>2841</v>
      </c>
      <c r="J1274" s="885">
        <v>0</v>
      </c>
      <c r="K1274" s="885">
        <v>0.12</v>
      </c>
      <c r="L1274" s="886">
        <v>0.117808</v>
      </c>
      <c r="M1274" s="882"/>
    </row>
    <row r="1275" spans="1:13" ht="12.75">
      <c r="A1275" s="882"/>
      <c r="B1275" s="882"/>
      <c r="C1275" s="882"/>
      <c r="D1275" s="882"/>
      <c r="E1275" s="883" t="s">
        <v>448</v>
      </c>
      <c r="F1275" s="883" t="s">
        <v>449</v>
      </c>
      <c r="G1275" s="883" t="s">
        <v>158</v>
      </c>
      <c r="H1275" s="883" t="s">
        <v>2063</v>
      </c>
      <c r="I1275" s="883" t="s">
        <v>2538</v>
      </c>
      <c r="J1275" s="885">
        <v>0</v>
      </c>
      <c r="K1275" s="885">
        <v>0.052</v>
      </c>
      <c r="L1275" s="886">
        <v>0.051765</v>
      </c>
      <c r="M1275" s="882"/>
    </row>
    <row r="1276" spans="1:13" ht="12.75">
      <c r="A1276" s="882"/>
      <c r="B1276" s="882"/>
      <c r="C1276" s="882"/>
      <c r="D1276" s="882"/>
      <c r="E1276" s="883" t="s">
        <v>448</v>
      </c>
      <c r="F1276" s="883" t="s">
        <v>449</v>
      </c>
      <c r="G1276" s="883" t="s">
        <v>158</v>
      </c>
      <c r="H1276" s="883" t="s">
        <v>2063</v>
      </c>
      <c r="I1276" s="883" t="s">
        <v>2841</v>
      </c>
      <c r="J1276" s="885">
        <v>0</v>
      </c>
      <c r="K1276" s="885">
        <v>0.194</v>
      </c>
      <c r="L1276" s="886">
        <v>0.191217</v>
      </c>
      <c r="M1276" s="882"/>
    </row>
    <row r="1277" spans="1:13" ht="12.75">
      <c r="A1277" s="882"/>
      <c r="B1277" s="882"/>
      <c r="C1277" s="882"/>
      <c r="D1277" s="882"/>
      <c r="E1277" s="883" t="s">
        <v>450</v>
      </c>
      <c r="F1277" s="883" t="s">
        <v>451</v>
      </c>
      <c r="G1277" s="883" t="s">
        <v>158</v>
      </c>
      <c r="H1277" s="883" t="s">
        <v>2063</v>
      </c>
      <c r="I1277" s="883" t="s">
        <v>2841</v>
      </c>
      <c r="J1277" s="885">
        <v>0</v>
      </c>
      <c r="K1277" s="885">
        <v>0.22</v>
      </c>
      <c r="L1277" s="886">
        <v>0.215768</v>
      </c>
      <c r="M1277" s="882"/>
    </row>
    <row r="1278" spans="1:13" ht="12.75">
      <c r="A1278" s="882"/>
      <c r="B1278" s="882"/>
      <c r="C1278" s="882"/>
      <c r="D1278" s="882"/>
      <c r="E1278" s="883" t="s">
        <v>450</v>
      </c>
      <c r="F1278" s="883" t="s">
        <v>451</v>
      </c>
      <c r="G1278" s="883" t="s">
        <v>158</v>
      </c>
      <c r="H1278" s="883" t="s">
        <v>2063</v>
      </c>
      <c r="I1278" s="883" t="s">
        <v>2538</v>
      </c>
      <c r="J1278" s="885">
        <v>0</v>
      </c>
      <c r="K1278" s="885">
        <v>0.136</v>
      </c>
      <c r="L1278" s="886">
        <v>0.135065</v>
      </c>
      <c r="M1278" s="882"/>
    </row>
    <row r="1279" spans="1:13" ht="12.75">
      <c r="A1279" s="882"/>
      <c r="B1279" s="882"/>
      <c r="C1279" s="882"/>
      <c r="D1279" s="882"/>
      <c r="E1279" s="883" t="s">
        <v>452</v>
      </c>
      <c r="F1279" s="883" t="s">
        <v>453</v>
      </c>
      <c r="G1279" s="883" t="s">
        <v>158</v>
      </c>
      <c r="H1279" s="883" t="s">
        <v>2063</v>
      </c>
      <c r="I1279" s="883" t="s">
        <v>2538</v>
      </c>
      <c r="J1279" s="885">
        <v>0</v>
      </c>
      <c r="K1279" s="885">
        <v>0.137</v>
      </c>
      <c r="L1279" s="886">
        <v>0.13566</v>
      </c>
      <c r="M1279" s="882"/>
    </row>
    <row r="1280" spans="1:13" ht="12.75">
      <c r="A1280" s="882"/>
      <c r="B1280" s="882"/>
      <c r="C1280" s="882"/>
      <c r="D1280" s="882"/>
      <c r="E1280" s="883" t="s">
        <v>452</v>
      </c>
      <c r="F1280" s="883" t="s">
        <v>453</v>
      </c>
      <c r="G1280" s="883" t="s">
        <v>158</v>
      </c>
      <c r="H1280" s="883" t="s">
        <v>2063</v>
      </c>
      <c r="I1280" s="883" t="s">
        <v>2841</v>
      </c>
      <c r="J1280" s="885">
        <v>0</v>
      </c>
      <c r="K1280" s="885">
        <v>0.218</v>
      </c>
      <c r="L1280" s="886">
        <v>0.2170565</v>
      </c>
      <c r="M1280" s="882"/>
    </row>
    <row r="1281" spans="1:13" ht="12.75">
      <c r="A1281" s="882"/>
      <c r="B1281" s="882"/>
      <c r="C1281" s="882"/>
      <c r="D1281" s="882"/>
      <c r="E1281" s="883" t="s">
        <v>454</v>
      </c>
      <c r="F1281" s="883" t="s">
        <v>455</v>
      </c>
      <c r="G1281" s="883" t="s">
        <v>158</v>
      </c>
      <c r="H1281" s="883" t="s">
        <v>2063</v>
      </c>
      <c r="I1281" s="883" t="s">
        <v>2538</v>
      </c>
      <c r="J1281" s="885">
        <v>0</v>
      </c>
      <c r="K1281" s="885">
        <v>0.014</v>
      </c>
      <c r="L1281" s="886">
        <v>0.01309</v>
      </c>
      <c r="M1281" s="882"/>
    </row>
    <row r="1282" spans="1:13" ht="12.75">
      <c r="A1282" s="882"/>
      <c r="B1282" s="882"/>
      <c r="C1282" s="882"/>
      <c r="D1282" s="882"/>
      <c r="E1282" s="883" t="s">
        <v>456</v>
      </c>
      <c r="F1282" s="883" t="s">
        <v>457</v>
      </c>
      <c r="G1282" s="883" t="s">
        <v>158</v>
      </c>
      <c r="H1282" s="883" t="s">
        <v>2063</v>
      </c>
      <c r="I1282" s="883" t="s">
        <v>2538</v>
      </c>
      <c r="J1282" s="885">
        <v>0</v>
      </c>
      <c r="K1282" s="885">
        <v>0.332</v>
      </c>
      <c r="L1282" s="886">
        <v>0.33172835</v>
      </c>
      <c r="M1282" s="882"/>
    </row>
    <row r="1283" spans="1:13" ht="12.75">
      <c r="A1283" s="882"/>
      <c r="B1283" s="882"/>
      <c r="C1283" s="882"/>
      <c r="D1283" s="882"/>
      <c r="E1283" s="883" t="s">
        <v>458</v>
      </c>
      <c r="F1283" s="883" t="s">
        <v>459</v>
      </c>
      <c r="G1283" s="883" t="s">
        <v>121</v>
      </c>
      <c r="H1283" s="883" t="s">
        <v>2063</v>
      </c>
      <c r="I1283" s="883" t="s">
        <v>2538</v>
      </c>
      <c r="J1283" s="885">
        <v>0</v>
      </c>
      <c r="K1283" s="885">
        <v>0.061</v>
      </c>
      <c r="L1283" s="886">
        <v>0.0602</v>
      </c>
      <c r="M1283" s="882"/>
    </row>
    <row r="1284" spans="1:13" ht="12.75">
      <c r="A1284" s="882"/>
      <c r="B1284" s="882"/>
      <c r="C1284" s="882"/>
      <c r="D1284" s="882"/>
      <c r="E1284" s="883" t="s">
        <v>460</v>
      </c>
      <c r="F1284" s="883" t="s">
        <v>461</v>
      </c>
      <c r="G1284" s="883" t="s">
        <v>91</v>
      </c>
      <c r="H1284" s="883" t="s">
        <v>2063</v>
      </c>
      <c r="I1284" s="883" t="s">
        <v>2564</v>
      </c>
      <c r="J1284" s="885">
        <v>0</v>
      </c>
      <c r="K1284" s="885">
        <v>0.16</v>
      </c>
      <c r="L1284" s="886">
        <v>0.15987888</v>
      </c>
      <c r="M1284" s="882"/>
    </row>
    <row r="1285" spans="1:13" ht="12.75">
      <c r="A1285" s="882"/>
      <c r="B1285" s="882"/>
      <c r="C1285" s="882"/>
      <c r="D1285" s="882"/>
      <c r="E1285" s="883" t="s">
        <v>462</v>
      </c>
      <c r="F1285" s="883" t="s">
        <v>463</v>
      </c>
      <c r="G1285" s="883" t="s">
        <v>121</v>
      </c>
      <c r="H1285" s="883" t="s">
        <v>2063</v>
      </c>
      <c r="I1285" s="883" t="s">
        <v>2627</v>
      </c>
      <c r="J1285" s="885">
        <v>0</v>
      </c>
      <c r="K1285" s="885">
        <v>0</v>
      </c>
      <c r="L1285" s="886">
        <v>3.51861602</v>
      </c>
      <c r="M1285" s="882"/>
    </row>
    <row r="1286" spans="1:13" ht="12.75">
      <c r="A1286" s="882"/>
      <c r="B1286" s="882"/>
      <c r="C1286" s="882"/>
      <c r="D1286" s="882"/>
      <c r="E1286" s="883" t="s">
        <v>464</v>
      </c>
      <c r="F1286" s="883" t="s">
        <v>465</v>
      </c>
      <c r="G1286" s="883" t="s">
        <v>2955</v>
      </c>
      <c r="H1286" s="883" t="s">
        <v>2063</v>
      </c>
      <c r="I1286" s="883" t="s">
        <v>2538</v>
      </c>
      <c r="J1286" s="885">
        <v>0</v>
      </c>
      <c r="K1286" s="885">
        <v>2.131</v>
      </c>
      <c r="L1286" s="886">
        <v>2.130557</v>
      </c>
      <c r="M1286" s="882"/>
    </row>
    <row r="1287" spans="1:13" ht="12.75">
      <c r="A1287" s="882"/>
      <c r="B1287" s="882"/>
      <c r="C1287" s="882"/>
      <c r="D1287" s="882"/>
      <c r="E1287" s="883" t="s">
        <v>466</v>
      </c>
      <c r="F1287" s="883" t="s">
        <v>467</v>
      </c>
      <c r="G1287" s="883" t="s">
        <v>2955</v>
      </c>
      <c r="H1287" s="883" t="s">
        <v>2063</v>
      </c>
      <c r="I1287" s="883" t="s">
        <v>2538</v>
      </c>
      <c r="J1287" s="885">
        <v>0</v>
      </c>
      <c r="K1287" s="885">
        <v>2.358</v>
      </c>
      <c r="L1287" s="886">
        <v>2.3573734</v>
      </c>
      <c r="M1287" s="882"/>
    </row>
    <row r="1288" spans="1:13" ht="12.75">
      <c r="A1288" s="882"/>
      <c r="B1288" s="882"/>
      <c r="C1288" s="882"/>
      <c r="D1288" s="882"/>
      <c r="E1288" s="883" t="s">
        <v>468</v>
      </c>
      <c r="F1288" s="883" t="s">
        <v>469</v>
      </c>
      <c r="G1288" s="883" t="s">
        <v>145</v>
      </c>
      <c r="H1288" s="883" t="s">
        <v>2063</v>
      </c>
      <c r="I1288" s="883" t="s">
        <v>2538</v>
      </c>
      <c r="J1288" s="885">
        <v>0</v>
      </c>
      <c r="K1288" s="885">
        <v>0.22</v>
      </c>
      <c r="L1288" s="886">
        <v>0.21954074</v>
      </c>
      <c r="M1288" s="882"/>
    </row>
    <row r="1289" spans="1:13" ht="12.75">
      <c r="A1289" s="882"/>
      <c r="B1289" s="882"/>
      <c r="C1289" s="882"/>
      <c r="D1289" s="882"/>
      <c r="E1289" s="883" t="s">
        <v>470</v>
      </c>
      <c r="F1289" s="883" t="s">
        <v>471</v>
      </c>
      <c r="G1289" s="883" t="s">
        <v>2955</v>
      </c>
      <c r="H1289" s="883" t="s">
        <v>2063</v>
      </c>
      <c r="I1289" s="883" t="s">
        <v>2538</v>
      </c>
      <c r="J1289" s="885">
        <v>0</v>
      </c>
      <c r="K1289" s="885">
        <v>2.326</v>
      </c>
      <c r="L1289" s="886">
        <v>2.324994</v>
      </c>
      <c r="M1289" s="882"/>
    </row>
    <row r="1290" spans="1:13" ht="12.75">
      <c r="A1290" s="882"/>
      <c r="B1290" s="882"/>
      <c r="C1290" s="882"/>
      <c r="D1290" s="882"/>
      <c r="E1290" s="883" t="s">
        <v>472</v>
      </c>
      <c r="F1290" s="883" t="s">
        <v>473</v>
      </c>
      <c r="G1290" s="883" t="s">
        <v>132</v>
      </c>
      <c r="H1290" s="883" t="s">
        <v>2063</v>
      </c>
      <c r="I1290" s="883" t="s">
        <v>2538</v>
      </c>
      <c r="J1290" s="885">
        <v>0</v>
      </c>
      <c r="K1290" s="885">
        <v>0.017</v>
      </c>
      <c r="L1290" s="886">
        <v>0.0169</v>
      </c>
      <c r="M1290" s="882"/>
    </row>
    <row r="1291" spans="1:13" ht="12.75">
      <c r="A1291" s="882"/>
      <c r="B1291" s="882"/>
      <c r="C1291" s="882"/>
      <c r="D1291" s="882"/>
      <c r="E1291" s="883" t="s">
        <v>474</v>
      </c>
      <c r="F1291" s="883" t="s">
        <v>475</v>
      </c>
      <c r="G1291" s="883" t="s">
        <v>121</v>
      </c>
      <c r="H1291" s="883" t="s">
        <v>2063</v>
      </c>
      <c r="I1291" s="883" t="s">
        <v>2538</v>
      </c>
      <c r="J1291" s="885">
        <v>0</v>
      </c>
      <c r="K1291" s="885">
        <v>0.84</v>
      </c>
      <c r="L1291" s="886">
        <v>0.839165</v>
      </c>
      <c r="M1291" s="882"/>
    </row>
    <row r="1292" spans="1:13" ht="12.75">
      <c r="A1292" s="882"/>
      <c r="B1292" s="882"/>
      <c r="C1292" s="882"/>
      <c r="D1292" s="882"/>
      <c r="E1292" s="883" t="s">
        <v>476</v>
      </c>
      <c r="F1292" s="883" t="s">
        <v>477</v>
      </c>
      <c r="G1292" s="883" t="s">
        <v>121</v>
      </c>
      <c r="H1292" s="883" t="s">
        <v>2063</v>
      </c>
      <c r="I1292" s="883" t="s">
        <v>2538</v>
      </c>
      <c r="J1292" s="885">
        <v>0</v>
      </c>
      <c r="K1292" s="885">
        <v>0.023</v>
      </c>
      <c r="L1292" s="886">
        <v>0.022893</v>
      </c>
      <c r="M1292" s="882"/>
    </row>
    <row r="1293" spans="1:13" ht="12.75">
      <c r="A1293" s="882"/>
      <c r="B1293" s="882"/>
      <c r="C1293" s="882"/>
      <c r="D1293" s="882"/>
      <c r="E1293" s="883" t="s">
        <v>478</v>
      </c>
      <c r="F1293" s="883" t="s">
        <v>479</v>
      </c>
      <c r="G1293" s="883" t="s">
        <v>121</v>
      </c>
      <c r="H1293" s="883" t="s">
        <v>2063</v>
      </c>
      <c r="I1293" s="883" t="s">
        <v>2538</v>
      </c>
      <c r="J1293" s="885">
        <v>0</v>
      </c>
      <c r="K1293" s="885">
        <v>0.441</v>
      </c>
      <c r="L1293" s="886">
        <v>0.4403</v>
      </c>
      <c r="M1293" s="882"/>
    </row>
    <row r="1294" spans="1:13" ht="12.75">
      <c r="A1294" s="882"/>
      <c r="B1294" s="882"/>
      <c r="C1294" s="882"/>
      <c r="D1294" s="882"/>
      <c r="E1294" s="883" t="s">
        <v>480</v>
      </c>
      <c r="F1294" s="883" t="s">
        <v>481</v>
      </c>
      <c r="G1294" s="883" t="s">
        <v>121</v>
      </c>
      <c r="H1294" s="883" t="s">
        <v>2063</v>
      </c>
      <c r="I1294" s="883" t="s">
        <v>2841</v>
      </c>
      <c r="J1294" s="885">
        <v>0</v>
      </c>
      <c r="K1294" s="885">
        <v>0.197</v>
      </c>
      <c r="L1294" s="886">
        <v>0.196981</v>
      </c>
      <c r="M1294" s="882"/>
    </row>
    <row r="1295" spans="1:13" ht="12.75">
      <c r="A1295" s="882"/>
      <c r="B1295" s="882"/>
      <c r="C1295" s="882"/>
      <c r="D1295" s="882"/>
      <c r="E1295" s="883" t="s">
        <v>480</v>
      </c>
      <c r="F1295" s="883" t="s">
        <v>481</v>
      </c>
      <c r="G1295" s="883" t="s">
        <v>121</v>
      </c>
      <c r="H1295" s="883" t="s">
        <v>2063</v>
      </c>
      <c r="I1295" s="883" t="s">
        <v>2538</v>
      </c>
      <c r="J1295" s="885">
        <v>0</v>
      </c>
      <c r="K1295" s="885">
        <v>0.926</v>
      </c>
      <c r="L1295" s="886">
        <v>0.924524</v>
      </c>
      <c r="M1295" s="882"/>
    </row>
    <row r="1296" spans="1:13" ht="12.75">
      <c r="A1296" s="882"/>
      <c r="B1296" s="882"/>
      <c r="C1296" s="882"/>
      <c r="D1296" s="882"/>
      <c r="E1296" s="883" t="s">
        <v>482</v>
      </c>
      <c r="F1296" s="883" t="s">
        <v>483</v>
      </c>
      <c r="G1296" s="883" t="s">
        <v>158</v>
      </c>
      <c r="H1296" s="883" t="s">
        <v>2063</v>
      </c>
      <c r="I1296" s="883" t="s">
        <v>2538</v>
      </c>
      <c r="J1296" s="885">
        <v>0</v>
      </c>
      <c r="K1296" s="885">
        <v>0.067</v>
      </c>
      <c r="L1296" s="886">
        <v>0.066221</v>
      </c>
      <c r="M1296" s="882"/>
    </row>
    <row r="1297" spans="1:13" ht="12.75">
      <c r="A1297" s="882"/>
      <c r="B1297" s="882"/>
      <c r="C1297" s="882"/>
      <c r="D1297" s="882"/>
      <c r="E1297" s="883" t="s">
        <v>482</v>
      </c>
      <c r="F1297" s="883" t="s">
        <v>483</v>
      </c>
      <c r="G1297" s="883" t="s">
        <v>158</v>
      </c>
      <c r="H1297" s="883" t="s">
        <v>2063</v>
      </c>
      <c r="I1297" s="883" t="s">
        <v>2841</v>
      </c>
      <c r="J1297" s="885">
        <v>0</v>
      </c>
      <c r="K1297" s="885">
        <v>0.03</v>
      </c>
      <c r="L1297" s="886">
        <v>0.018309</v>
      </c>
      <c r="M1297" s="882"/>
    </row>
    <row r="1298" spans="1:13" ht="12.75">
      <c r="A1298" s="882"/>
      <c r="B1298" s="882"/>
      <c r="C1298" s="882"/>
      <c r="D1298" s="882"/>
      <c r="E1298" s="883" t="s">
        <v>484</v>
      </c>
      <c r="F1298" s="883" t="s">
        <v>485</v>
      </c>
      <c r="G1298" s="883" t="s">
        <v>158</v>
      </c>
      <c r="H1298" s="883" t="s">
        <v>2063</v>
      </c>
      <c r="I1298" s="883" t="s">
        <v>2564</v>
      </c>
      <c r="J1298" s="885">
        <v>0</v>
      </c>
      <c r="K1298" s="885">
        <v>1.036</v>
      </c>
      <c r="L1298" s="886">
        <v>0.062408</v>
      </c>
      <c r="M1298" s="882"/>
    </row>
    <row r="1299" spans="1:13" ht="12.75">
      <c r="A1299" s="882"/>
      <c r="B1299" s="882"/>
      <c r="C1299" s="882"/>
      <c r="D1299" s="882"/>
      <c r="E1299" s="883" t="s">
        <v>486</v>
      </c>
      <c r="F1299" s="883" t="s">
        <v>487</v>
      </c>
      <c r="G1299" s="883" t="s">
        <v>2955</v>
      </c>
      <c r="H1299" s="883" t="s">
        <v>2063</v>
      </c>
      <c r="I1299" s="883" t="s">
        <v>2538</v>
      </c>
      <c r="J1299" s="885">
        <v>0</v>
      </c>
      <c r="K1299" s="885">
        <v>0.199</v>
      </c>
      <c r="L1299" s="886">
        <v>0.198849</v>
      </c>
      <c r="M1299" s="882"/>
    </row>
    <row r="1300" spans="1:13" ht="12.75">
      <c r="A1300" s="882"/>
      <c r="B1300" s="882"/>
      <c r="C1300" s="882"/>
      <c r="D1300" s="882"/>
      <c r="E1300" s="883" t="s">
        <v>488</v>
      </c>
      <c r="F1300" s="883" t="s">
        <v>489</v>
      </c>
      <c r="G1300" s="883" t="s">
        <v>2955</v>
      </c>
      <c r="H1300" s="883" t="s">
        <v>2063</v>
      </c>
      <c r="I1300" s="883" t="s">
        <v>2538</v>
      </c>
      <c r="J1300" s="885">
        <v>0</v>
      </c>
      <c r="K1300" s="885">
        <v>0.164</v>
      </c>
      <c r="L1300" s="886">
        <v>0.16306</v>
      </c>
      <c r="M1300" s="882"/>
    </row>
    <row r="1301" spans="1:13" ht="12.75">
      <c r="A1301" s="882"/>
      <c r="B1301" s="882"/>
      <c r="C1301" s="882"/>
      <c r="D1301" s="882"/>
      <c r="E1301" s="883" t="s">
        <v>490</v>
      </c>
      <c r="F1301" s="883" t="s">
        <v>491</v>
      </c>
      <c r="G1301" s="883" t="s">
        <v>2955</v>
      </c>
      <c r="H1301" s="883" t="s">
        <v>2063</v>
      </c>
      <c r="I1301" s="883" t="s">
        <v>2538</v>
      </c>
      <c r="J1301" s="885">
        <v>0</v>
      </c>
      <c r="K1301" s="885">
        <v>0.558</v>
      </c>
      <c r="L1301" s="886">
        <v>0.557551</v>
      </c>
      <c r="M1301" s="882"/>
    </row>
    <row r="1302" spans="1:13" ht="12.75">
      <c r="A1302" s="882"/>
      <c r="B1302" s="882"/>
      <c r="C1302" s="882"/>
      <c r="D1302" s="882"/>
      <c r="E1302" s="883" t="s">
        <v>492</v>
      </c>
      <c r="F1302" s="883" t="s">
        <v>493</v>
      </c>
      <c r="G1302" s="883" t="s">
        <v>132</v>
      </c>
      <c r="H1302" s="883" t="s">
        <v>2063</v>
      </c>
      <c r="I1302" s="883" t="s">
        <v>2564</v>
      </c>
      <c r="J1302" s="885">
        <v>0</v>
      </c>
      <c r="K1302" s="885">
        <v>2.836</v>
      </c>
      <c r="L1302" s="886">
        <v>0.07854</v>
      </c>
      <c r="M1302" s="882"/>
    </row>
    <row r="1303" spans="1:13" ht="12.75">
      <c r="A1303" s="882"/>
      <c r="B1303" s="882"/>
      <c r="C1303" s="882"/>
      <c r="D1303" s="882"/>
      <c r="E1303" s="883" t="s">
        <v>492</v>
      </c>
      <c r="F1303" s="883" t="s">
        <v>493</v>
      </c>
      <c r="G1303" s="883" t="s">
        <v>132</v>
      </c>
      <c r="H1303" s="883" t="s">
        <v>2063</v>
      </c>
      <c r="I1303" s="883" t="s">
        <v>2842</v>
      </c>
      <c r="J1303" s="885">
        <v>0</v>
      </c>
      <c r="K1303" s="885">
        <v>0.252</v>
      </c>
      <c r="L1303" s="886">
        <v>0</v>
      </c>
      <c r="M1303" s="882"/>
    </row>
    <row r="1304" spans="1:13" ht="12.75">
      <c r="A1304" s="882"/>
      <c r="B1304" s="882"/>
      <c r="C1304" s="882"/>
      <c r="D1304" s="882"/>
      <c r="E1304" s="883" t="s">
        <v>494</v>
      </c>
      <c r="F1304" s="883" t="s">
        <v>495</v>
      </c>
      <c r="G1304" s="883" t="s">
        <v>2955</v>
      </c>
      <c r="H1304" s="883" t="s">
        <v>2063</v>
      </c>
      <c r="I1304" s="883" t="s">
        <v>2538</v>
      </c>
      <c r="J1304" s="885">
        <v>0</v>
      </c>
      <c r="K1304" s="885">
        <v>1.635</v>
      </c>
      <c r="L1304" s="886">
        <v>1.63434272</v>
      </c>
      <c r="M1304" s="882"/>
    </row>
    <row r="1305" spans="1:13" ht="12.75">
      <c r="A1305" s="882"/>
      <c r="B1305" s="882"/>
      <c r="C1305" s="882"/>
      <c r="D1305" s="882"/>
      <c r="E1305" s="883" t="s">
        <v>496</v>
      </c>
      <c r="F1305" s="883" t="s">
        <v>497</v>
      </c>
      <c r="G1305" s="883" t="s">
        <v>2955</v>
      </c>
      <c r="H1305" s="883" t="s">
        <v>2063</v>
      </c>
      <c r="I1305" s="883" t="s">
        <v>2538</v>
      </c>
      <c r="J1305" s="885">
        <v>0</v>
      </c>
      <c r="K1305" s="885">
        <v>0.197</v>
      </c>
      <c r="L1305" s="886">
        <v>0.19635</v>
      </c>
      <c r="M1305" s="882"/>
    </row>
    <row r="1306" spans="1:13" ht="12.75">
      <c r="A1306" s="882"/>
      <c r="B1306" s="882"/>
      <c r="C1306" s="882"/>
      <c r="D1306" s="882"/>
      <c r="E1306" s="883" t="s">
        <v>498</v>
      </c>
      <c r="F1306" s="883" t="s">
        <v>499</v>
      </c>
      <c r="G1306" s="883" t="s">
        <v>2955</v>
      </c>
      <c r="H1306" s="883" t="s">
        <v>2063</v>
      </c>
      <c r="I1306" s="883" t="s">
        <v>2538</v>
      </c>
      <c r="J1306" s="885">
        <v>0</v>
      </c>
      <c r="K1306" s="885">
        <v>1.397</v>
      </c>
      <c r="L1306" s="886">
        <v>1.396428</v>
      </c>
      <c r="M1306" s="882"/>
    </row>
    <row r="1307" spans="1:13" ht="12.75">
      <c r="A1307" s="882"/>
      <c r="B1307" s="882"/>
      <c r="C1307" s="882"/>
      <c r="D1307" s="882"/>
      <c r="E1307" s="883" t="s">
        <v>500</v>
      </c>
      <c r="F1307" s="883" t="s">
        <v>501</v>
      </c>
      <c r="G1307" s="883" t="s">
        <v>2955</v>
      </c>
      <c r="H1307" s="883" t="s">
        <v>2063</v>
      </c>
      <c r="I1307" s="883" t="s">
        <v>2538</v>
      </c>
      <c r="J1307" s="885">
        <v>0</v>
      </c>
      <c r="K1307" s="885">
        <v>6.5</v>
      </c>
      <c r="L1307" s="886">
        <v>6.498625</v>
      </c>
      <c r="M1307" s="882"/>
    </row>
    <row r="1308" spans="1:13" ht="12.75">
      <c r="A1308" s="882"/>
      <c r="B1308" s="882"/>
      <c r="C1308" s="882"/>
      <c r="D1308" s="882"/>
      <c r="E1308" s="883" t="s">
        <v>502</v>
      </c>
      <c r="F1308" s="883" t="s">
        <v>503</v>
      </c>
      <c r="G1308" s="883" t="s">
        <v>2955</v>
      </c>
      <c r="H1308" s="883" t="s">
        <v>2063</v>
      </c>
      <c r="I1308" s="883" t="s">
        <v>2538</v>
      </c>
      <c r="J1308" s="885">
        <v>0</v>
      </c>
      <c r="K1308" s="885">
        <v>0.788</v>
      </c>
      <c r="L1308" s="886">
        <v>0.78752036</v>
      </c>
      <c r="M1308" s="882"/>
    </row>
    <row r="1309" spans="1:13" ht="12.75">
      <c r="A1309" s="882"/>
      <c r="B1309" s="882"/>
      <c r="C1309" s="882"/>
      <c r="D1309" s="882"/>
      <c r="E1309" s="883" t="s">
        <v>504</v>
      </c>
      <c r="F1309" s="883" t="s">
        <v>505</v>
      </c>
      <c r="G1309" s="883" t="s">
        <v>145</v>
      </c>
      <c r="H1309" s="883" t="s">
        <v>2063</v>
      </c>
      <c r="I1309" s="883" t="s">
        <v>2538</v>
      </c>
      <c r="J1309" s="885">
        <v>0</v>
      </c>
      <c r="K1309" s="885">
        <v>0.519</v>
      </c>
      <c r="L1309" s="886">
        <v>0.51862998</v>
      </c>
      <c r="M1309" s="882"/>
    </row>
    <row r="1310" spans="1:13" ht="12.75">
      <c r="A1310" s="882"/>
      <c r="B1310" s="882"/>
      <c r="C1310" s="882"/>
      <c r="D1310" s="882"/>
      <c r="E1310" s="883" t="s">
        <v>506</v>
      </c>
      <c r="F1310" s="883" t="s">
        <v>507</v>
      </c>
      <c r="G1310" s="883" t="s">
        <v>132</v>
      </c>
      <c r="H1310" s="883" t="s">
        <v>2063</v>
      </c>
      <c r="I1310" s="883" t="s">
        <v>2842</v>
      </c>
      <c r="J1310" s="885">
        <v>0</v>
      </c>
      <c r="K1310" s="885">
        <v>0.299</v>
      </c>
      <c r="L1310" s="886">
        <v>0</v>
      </c>
      <c r="M1310" s="882"/>
    </row>
    <row r="1311" spans="1:13" ht="12.75">
      <c r="A1311" s="882"/>
      <c r="B1311" s="882"/>
      <c r="C1311" s="882"/>
      <c r="D1311" s="882"/>
      <c r="E1311" s="883" t="s">
        <v>506</v>
      </c>
      <c r="F1311" s="883" t="s">
        <v>507</v>
      </c>
      <c r="G1311" s="883" t="s">
        <v>132</v>
      </c>
      <c r="H1311" s="883" t="s">
        <v>2063</v>
      </c>
      <c r="I1311" s="883" t="s">
        <v>2564</v>
      </c>
      <c r="J1311" s="885">
        <v>0</v>
      </c>
      <c r="K1311" s="885">
        <v>3.186</v>
      </c>
      <c r="L1311" s="886">
        <v>0</v>
      </c>
      <c r="M1311" s="882"/>
    </row>
    <row r="1312" spans="1:13" ht="12.75">
      <c r="A1312" s="882"/>
      <c r="B1312" s="882"/>
      <c r="C1312" s="882"/>
      <c r="D1312" s="882"/>
      <c r="E1312" s="883" t="s">
        <v>508</v>
      </c>
      <c r="F1312" s="883" t="s">
        <v>509</v>
      </c>
      <c r="G1312" s="883" t="s">
        <v>91</v>
      </c>
      <c r="H1312" s="883" t="s">
        <v>2063</v>
      </c>
      <c r="I1312" s="883" t="s">
        <v>2538</v>
      </c>
      <c r="J1312" s="885">
        <v>0</v>
      </c>
      <c r="K1312" s="885">
        <v>0.641</v>
      </c>
      <c r="L1312" s="886">
        <v>0.63988769</v>
      </c>
      <c r="M1312" s="882"/>
    </row>
    <row r="1313" spans="1:13" ht="12.75">
      <c r="A1313" s="882"/>
      <c r="B1313" s="882"/>
      <c r="C1313" s="882"/>
      <c r="D1313" s="882"/>
      <c r="E1313" s="883" t="s">
        <v>510</v>
      </c>
      <c r="F1313" s="883" t="s">
        <v>511</v>
      </c>
      <c r="G1313" s="883" t="s">
        <v>2955</v>
      </c>
      <c r="H1313" s="883" t="s">
        <v>2063</v>
      </c>
      <c r="I1313" s="883" t="s">
        <v>2538</v>
      </c>
      <c r="J1313" s="885">
        <v>0</v>
      </c>
      <c r="K1313" s="885">
        <v>0.082</v>
      </c>
      <c r="L1313" s="886">
        <v>0.081872</v>
      </c>
      <c r="M1313" s="882"/>
    </row>
    <row r="1314" spans="1:13" ht="12.75">
      <c r="A1314" s="882"/>
      <c r="B1314" s="882"/>
      <c r="C1314" s="882"/>
      <c r="D1314" s="882"/>
      <c r="E1314" s="883" t="s">
        <v>512</v>
      </c>
      <c r="F1314" s="883" t="s">
        <v>513</v>
      </c>
      <c r="G1314" s="883" t="s">
        <v>121</v>
      </c>
      <c r="H1314" s="883" t="s">
        <v>2063</v>
      </c>
      <c r="I1314" s="883" t="s">
        <v>2538</v>
      </c>
      <c r="J1314" s="885">
        <v>0</v>
      </c>
      <c r="K1314" s="885">
        <v>3.255</v>
      </c>
      <c r="L1314" s="886">
        <v>3.254237</v>
      </c>
      <c r="M1314" s="882"/>
    </row>
    <row r="1315" spans="1:13" ht="12.75">
      <c r="A1315" s="882"/>
      <c r="B1315" s="882"/>
      <c r="C1315" s="882"/>
      <c r="D1315" s="882"/>
      <c r="E1315" s="883" t="s">
        <v>514</v>
      </c>
      <c r="F1315" s="883" t="s">
        <v>515</v>
      </c>
      <c r="G1315" s="883" t="s">
        <v>121</v>
      </c>
      <c r="H1315" s="883" t="s">
        <v>2063</v>
      </c>
      <c r="I1315" s="883" t="s">
        <v>2538</v>
      </c>
      <c r="J1315" s="885">
        <v>0</v>
      </c>
      <c r="K1315" s="885">
        <v>0.004</v>
      </c>
      <c r="L1315" s="886">
        <v>0.00306</v>
      </c>
      <c r="M1315" s="882"/>
    </row>
    <row r="1316" spans="1:13" ht="12.75">
      <c r="A1316" s="882"/>
      <c r="B1316" s="882"/>
      <c r="C1316" s="882"/>
      <c r="D1316" s="882"/>
      <c r="E1316" s="883" t="s">
        <v>516</v>
      </c>
      <c r="F1316" s="883" t="s">
        <v>517</v>
      </c>
      <c r="G1316" s="883" t="s">
        <v>121</v>
      </c>
      <c r="H1316" s="883" t="s">
        <v>2063</v>
      </c>
      <c r="I1316" s="883" t="s">
        <v>2538</v>
      </c>
      <c r="J1316" s="885">
        <v>0</v>
      </c>
      <c r="K1316" s="885">
        <v>0.955</v>
      </c>
      <c r="L1316" s="886">
        <v>0.954023</v>
      </c>
      <c r="M1316" s="882"/>
    </row>
    <row r="1317" spans="1:13" ht="12.75">
      <c r="A1317" s="882"/>
      <c r="B1317" s="882"/>
      <c r="C1317" s="882"/>
      <c r="D1317" s="882"/>
      <c r="E1317" s="883" t="s">
        <v>518</v>
      </c>
      <c r="F1317" s="883" t="s">
        <v>519</v>
      </c>
      <c r="G1317" s="883" t="s">
        <v>110</v>
      </c>
      <c r="H1317" s="883" t="s">
        <v>2063</v>
      </c>
      <c r="I1317" s="883" t="s">
        <v>2538</v>
      </c>
      <c r="J1317" s="885">
        <v>0</v>
      </c>
      <c r="K1317" s="885">
        <v>6.806</v>
      </c>
      <c r="L1317" s="886">
        <v>6.805463</v>
      </c>
      <c r="M1317" s="882"/>
    </row>
    <row r="1318" spans="1:13" ht="12.75">
      <c r="A1318" s="882"/>
      <c r="B1318" s="882"/>
      <c r="C1318" s="882"/>
      <c r="D1318" s="882"/>
      <c r="E1318" s="883" t="s">
        <v>520</v>
      </c>
      <c r="F1318" s="883" t="s">
        <v>521</v>
      </c>
      <c r="G1318" s="883" t="s">
        <v>91</v>
      </c>
      <c r="H1318" s="883" t="s">
        <v>2063</v>
      </c>
      <c r="I1318" s="883" t="s">
        <v>2564</v>
      </c>
      <c r="J1318" s="885">
        <v>0</v>
      </c>
      <c r="K1318" s="885">
        <v>12.039</v>
      </c>
      <c r="L1318" s="886">
        <v>0</v>
      </c>
      <c r="M1318" s="882"/>
    </row>
    <row r="1319" spans="1:13" ht="12.75">
      <c r="A1319" s="882"/>
      <c r="B1319" s="882"/>
      <c r="C1319" s="882"/>
      <c r="D1319" s="882"/>
      <c r="E1319" s="883" t="s">
        <v>522</v>
      </c>
      <c r="F1319" s="883" t="s">
        <v>523</v>
      </c>
      <c r="G1319" s="883" t="s">
        <v>145</v>
      </c>
      <c r="H1319" s="883" t="s">
        <v>2063</v>
      </c>
      <c r="I1319" s="883" t="s">
        <v>2538</v>
      </c>
      <c r="J1319" s="885">
        <v>0</v>
      </c>
      <c r="K1319" s="885">
        <v>1.514</v>
      </c>
      <c r="L1319" s="886">
        <v>1.513661</v>
      </c>
      <c r="M1319" s="882"/>
    </row>
    <row r="1320" spans="1:13" ht="12.75">
      <c r="A1320" s="882"/>
      <c r="B1320" s="882"/>
      <c r="C1320" s="882"/>
      <c r="D1320" s="882"/>
      <c r="E1320" s="883" t="s">
        <v>522</v>
      </c>
      <c r="F1320" s="883" t="s">
        <v>523</v>
      </c>
      <c r="G1320" s="883" t="s">
        <v>145</v>
      </c>
      <c r="H1320" s="883" t="s">
        <v>2063</v>
      </c>
      <c r="I1320" s="883" t="s">
        <v>2841</v>
      </c>
      <c r="J1320" s="885">
        <v>0</v>
      </c>
      <c r="K1320" s="885">
        <v>0.084</v>
      </c>
      <c r="L1320" s="886">
        <v>0.083419</v>
      </c>
      <c r="M1320" s="882"/>
    </row>
    <row r="1321" spans="1:13" ht="12.75">
      <c r="A1321" s="882"/>
      <c r="B1321" s="882"/>
      <c r="C1321" s="882"/>
      <c r="D1321" s="882"/>
      <c r="E1321" s="883" t="s">
        <v>524</v>
      </c>
      <c r="F1321" s="883" t="s">
        <v>525</v>
      </c>
      <c r="G1321" s="883" t="s">
        <v>121</v>
      </c>
      <c r="H1321" s="883" t="s">
        <v>2063</v>
      </c>
      <c r="I1321" s="883" t="s">
        <v>2627</v>
      </c>
      <c r="J1321" s="885">
        <v>0</v>
      </c>
      <c r="K1321" s="885">
        <v>0</v>
      </c>
      <c r="L1321" s="886">
        <v>0.49735</v>
      </c>
      <c r="M1321" s="882"/>
    </row>
    <row r="1322" spans="1:13" ht="12.75">
      <c r="A1322" s="882"/>
      <c r="B1322" s="882"/>
      <c r="C1322" s="882"/>
      <c r="D1322" s="882"/>
      <c r="E1322" s="883" t="s">
        <v>526</v>
      </c>
      <c r="F1322" s="883" t="s">
        <v>527</v>
      </c>
      <c r="G1322" s="883" t="s">
        <v>158</v>
      </c>
      <c r="H1322" s="883" t="s">
        <v>2063</v>
      </c>
      <c r="I1322" s="883" t="s">
        <v>2564</v>
      </c>
      <c r="J1322" s="885">
        <v>0</v>
      </c>
      <c r="K1322" s="885">
        <v>0.155</v>
      </c>
      <c r="L1322" s="886">
        <v>0.00476</v>
      </c>
      <c r="M1322" s="882"/>
    </row>
    <row r="1323" spans="1:13" ht="12.75">
      <c r="A1323" s="882"/>
      <c r="B1323" s="882"/>
      <c r="C1323" s="882"/>
      <c r="D1323" s="882"/>
      <c r="E1323" s="883" t="s">
        <v>528</v>
      </c>
      <c r="F1323" s="883" t="s">
        <v>529</v>
      </c>
      <c r="G1323" s="883" t="s">
        <v>91</v>
      </c>
      <c r="H1323" s="883" t="s">
        <v>2063</v>
      </c>
      <c r="I1323" s="883" t="s">
        <v>2538</v>
      </c>
      <c r="J1323" s="885">
        <v>0</v>
      </c>
      <c r="K1323" s="885">
        <v>0.478</v>
      </c>
      <c r="L1323" s="886">
        <v>0.4779987</v>
      </c>
      <c r="M1323" s="882"/>
    </row>
    <row r="1324" spans="1:13" ht="12.75">
      <c r="A1324" s="882"/>
      <c r="B1324" s="882"/>
      <c r="C1324" s="882"/>
      <c r="D1324" s="882"/>
      <c r="E1324" s="883" t="s">
        <v>528</v>
      </c>
      <c r="F1324" s="883" t="s">
        <v>529</v>
      </c>
      <c r="G1324" s="883" t="s">
        <v>91</v>
      </c>
      <c r="H1324" s="883" t="s">
        <v>2063</v>
      </c>
      <c r="I1324" s="883" t="s">
        <v>2841</v>
      </c>
      <c r="J1324" s="885">
        <v>0</v>
      </c>
      <c r="K1324" s="885">
        <v>0.021</v>
      </c>
      <c r="L1324" s="886">
        <v>0.02033115</v>
      </c>
      <c r="M1324" s="882"/>
    </row>
    <row r="1325" spans="1:13" ht="12.75">
      <c r="A1325" s="882"/>
      <c r="B1325" s="882"/>
      <c r="C1325" s="882"/>
      <c r="D1325" s="882"/>
      <c r="E1325" s="883" t="s">
        <v>530</v>
      </c>
      <c r="F1325" s="883" t="s">
        <v>531</v>
      </c>
      <c r="G1325" s="883" t="s">
        <v>91</v>
      </c>
      <c r="H1325" s="883" t="s">
        <v>2063</v>
      </c>
      <c r="I1325" s="883" t="s">
        <v>2564</v>
      </c>
      <c r="J1325" s="885">
        <v>0</v>
      </c>
      <c r="K1325" s="885">
        <v>2.439</v>
      </c>
      <c r="L1325" s="886">
        <v>0.20973274</v>
      </c>
      <c r="M1325" s="882"/>
    </row>
    <row r="1326" spans="1:13" ht="12.75">
      <c r="A1326" s="882"/>
      <c r="B1326" s="882"/>
      <c r="C1326" s="882"/>
      <c r="D1326" s="882"/>
      <c r="E1326" s="883" t="s">
        <v>532</v>
      </c>
      <c r="F1326" s="883" t="s">
        <v>533</v>
      </c>
      <c r="G1326" s="883" t="s">
        <v>91</v>
      </c>
      <c r="H1326" s="883" t="s">
        <v>2063</v>
      </c>
      <c r="I1326" s="883" t="s">
        <v>2538</v>
      </c>
      <c r="J1326" s="885">
        <v>0</v>
      </c>
      <c r="K1326" s="885">
        <v>2.303</v>
      </c>
      <c r="L1326" s="886">
        <v>2.30265</v>
      </c>
      <c r="M1326" s="882"/>
    </row>
    <row r="1327" spans="1:13" ht="12.75">
      <c r="A1327" s="882"/>
      <c r="B1327" s="882"/>
      <c r="C1327" s="882"/>
      <c r="D1327" s="882"/>
      <c r="E1327" s="883" t="s">
        <v>534</v>
      </c>
      <c r="F1327" s="883" t="s">
        <v>535</v>
      </c>
      <c r="G1327" s="883" t="s">
        <v>145</v>
      </c>
      <c r="H1327" s="883" t="s">
        <v>2063</v>
      </c>
      <c r="I1327" s="883" t="s">
        <v>2564</v>
      </c>
      <c r="J1327" s="885">
        <v>0</v>
      </c>
      <c r="K1327" s="885">
        <v>1.541</v>
      </c>
      <c r="L1327" s="886">
        <v>1.5409678</v>
      </c>
      <c r="M1327" s="882"/>
    </row>
    <row r="1328" spans="1:13" ht="12.75">
      <c r="A1328" s="882"/>
      <c r="B1328" s="882"/>
      <c r="C1328" s="882"/>
      <c r="D1328" s="882"/>
      <c r="E1328" s="883" t="s">
        <v>534</v>
      </c>
      <c r="F1328" s="883" t="s">
        <v>535</v>
      </c>
      <c r="G1328" s="883" t="s">
        <v>145</v>
      </c>
      <c r="H1328" s="883" t="s">
        <v>2063</v>
      </c>
      <c r="I1328" s="883" t="s">
        <v>2842</v>
      </c>
      <c r="J1328" s="885">
        <v>0</v>
      </c>
      <c r="K1328" s="885">
        <v>0.066</v>
      </c>
      <c r="L1328" s="886">
        <v>0.06459231</v>
      </c>
      <c r="M1328" s="882"/>
    </row>
    <row r="1329" spans="1:13" ht="12.75">
      <c r="A1329" s="882"/>
      <c r="B1329" s="882"/>
      <c r="C1329" s="882"/>
      <c r="D1329" s="882"/>
      <c r="E1329" s="883" t="s">
        <v>536</v>
      </c>
      <c r="F1329" s="883" t="s">
        <v>537</v>
      </c>
      <c r="G1329" s="883" t="s">
        <v>110</v>
      </c>
      <c r="H1329" s="883" t="s">
        <v>2063</v>
      </c>
      <c r="I1329" s="883" t="s">
        <v>2538</v>
      </c>
      <c r="J1329" s="885">
        <v>0</v>
      </c>
      <c r="K1329" s="885">
        <v>0.096</v>
      </c>
      <c r="L1329" s="886">
        <v>0.095461</v>
      </c>
      <c r="M1329" s="882"/>
    </row>
    <row r="1330" spans="1:13" ht="12.75">
      <c r="A1330" s="882"/>
      <c r="B1330" s="882"/>
      <c r="C1330" s="882"/>
      <c r="D1330" s="882"/>
      <c r="E1330" s="883" t="s">
        <v>538</v>
      </c>
      <c r="F1330" s="883" t="s">
        <v>539</v>
      </c>
      <c r="G1330" s="883" t="s">
        <v>2955</v>
      </c>
      <c r="H1330" s="883" t="s">
        <v>2063</v>
      </c>
      <c r="I1330" s="883" t="s">
        <v>2538</v>
      </c>
      <c r="J1330" s="885">
        <v>0</v>
      </c>
      <c r="K1330" s="885">
        <v>0.358</v>
      </c>
      <c r="L1330" s="886">
        <v>0.3572769</v>
      </c>
      <c r="M1330" s="882"/>
    </row>
    <row r="1331" spans="1:13" ht="12.75">
      <c r="A1331" s="882"/>
      <c r="B1331" s="882"/>
      <c r="C1331" s="882"/>
      <c r="D1331" s="882"/>
      <c r="E1331" s="883" t="s">
        <v>538</v>
      </c>
      <c r="F1331" s="883" t="s">
        <v>539</v>
      </c>
      <c r="G1331" s="883" t="s">
        <v>2955</v>
      </c>
      <c r="H1331" s="883" t="s">
        <v>2063</v>
      </c>
      <c r="I1331" s="883" t="s">
        <v>2627</v>
      </c>
      <c r="J1331" s="885">
        <v>0</v>
      </c>
      <c r="K1331" s="885">
        <v>0</v>
      </c>
      <c r="L1331" s="886">
        <v>0.95</v>
      </c>
      <c r="M1331" s="882"/>
    </row>
    <row r="1332" spans="1:13" ht="12.75">
      <c r="A1332" s="882"/>
      <c r="B1332" s="882"/>
      <c r="C1332" s="882"/>
      <c r="D1332" s="882"/>
      <c r="E1332" s="883" t="s">
        <v>540</v>
      </c>
      <c r="F1332" s="883" t="s">
        <v>541</v>
      </c>
      <c r="G1332" s="883" t="s">
        <v>132</v>
      </c>
      <c r="H1332" s="883" t="s">
        <v>2063</v>
      </c>
      <c r="I1332" s="883" t="s">
        <v>2538</v>
      </c>
      <c r="J1332" s="885">
        <v>0</v>
      </c>
      <c r="K1332" s="885">
        <v>0.6</v>
      </c>
      <c r="L1332" s="886">
        <v>0.6</v>
      </c>
      <c r="M1332" s="882"/>
    </row>
    <row r="1333" spans="1:13" ht="12.75">
      <c r="A1333" s="882"/>
      <c r="B1333" s="882"/>
      <c r="C1333" s="882"/>
      <c r="D1333" s="882"/>
      <c r="E1333" s="883" t="s">
        <v>542</v>
      </c>
      <c r="F1333" s="883" t="s">
        <v>543</v>
      </c>
      <c r="G1333" s="883" t="s">
        <v>158</v>
      </c>
      <c r="H1333" s="883" t="s">
        <v>2063</v>
      </c>
      <c r="I1333" s="883" t="s">
        <v>2564</v>
      </c>
      <c r="J1333" s="885">
        <v>0</v>
      </c>
      <c r="K1333" s="885">
        <v>0.1</v>
      </c>
      <c r="L1333" s="886">
        <v>0</v>
      </c>
      <c r="M1333" s="882"/>
    </row>
    <row r="1334" spans="1:13" ht="12.75">
      <c r="A1334" s="882"/>
      <c r="B1334" s="882"/>
      <c r="C1334" s="882"/>
      <c r="D1334" s="882"/>
      <c r="E1334" s="883" t="s">
        <v>544</v>
      </c>
      <c r="F1334" s="883" t="s">
        <v>545</v>
      </c>
      <c r="G1334" s="883" t="s">
        <v>95</v>
      </c>
      <c r="H1334" s="883" t="s">
        <v>2063</v>
      </c>
      <c r="I1334" s="883" t="s">
        <v>2564</v>
      </c>
      <c r="J1334" s="885">
        <v>0</v>
      </c>
      <c r="K1334" s="885">
        <v>0.17</v>
      </c>
      <c r="L1334" s="886">
        <v>0</v>
      </c>
      <c r="M1334" s="882"/>
    </row>
    <row r="1335" spans="1:13" ht="12.75">
      <c r="A1335" s="882"/>
      <c r="B1335" s="882"/>
      <c r="C1335" s="882"/>
      <c r="D1335" s="882"/>
      <c r="E1335" s="883" t="s">
        <v>546</v>
      </c>
      <c r="F1335" s="883" t="s">
        <v>547</v>
      </c>
      <c r="G1335" s="883" t="s">
        <v>145</v>
      </c>
      <c r="H1335" s="883" t="s">
        <v>2063</v>
      </c>
      <c r="I1335" s="883" t="s">
        <v>2538</v>
      </c>
      <c r="J1335" s="885">
        <v>0</v>
      </c>
      <c r="K1335" s="885">
        <v>1.183</v>
      </c>
      <c r="L1335" s="886">
        <v>1.182961</v>
      </c>
      <c r="M1335" s="882"/>
    </row>
    <row r="1336" spans="1:13" ht="12.75">
      <c r="A1336" s="882"/>
      <c r="B1336" s="882"/>
      <c r="C1336" s="882"/>
      <c r="D1336" s="882"/>
      <c r="E1336" s="883" t="s">
        <v>548</v>
      </c>
      <c r="F1336" s="883" t="s">
        <v>549</v>
      </c>
      <c r="G1336" s="883" t="s">
        <v>91</v>
      </c>
      <c r="H1336" s="883" t="s">
        <v>2063</v>
      </c>
      <c r="I1336" s="883" t="s">
        <v>2564</v>
      </c>
      <c r="J1336" s="885">
        <v>0</v>
      </c>
      <c r="K1336" s="885">
        <v>2.8</v>
      </c>
      <c r="L1336" s="886">
        <v>0</v>
      </c>
      <c r="M1336" s="882"/>
    </row>
    <row r="1337" spans="1:13" ht="12.75">
      <c r="A1337" s="882"/>
      <c r="B1337" s="882"/>
      <c r="C1337" s="882"/>
      <c r="D1337" s="882"/>
      <c r="E1337" s="883" t="s">
        <v>550</v>
      </c>
      <c r="F1337" s="883" t="s">
        <v>551</v>
      </c>
      <c r="G1337" s="883" t="s">
        <v>132</v>
      </c>
      <c r="H1337" s="883" t="s">
        <v>2063</v>
      </c>
      <c r="I1337" s="883" t="s">
        <v>2564</v>
      </c>
      <c r="J1337" s="885">
        <v>0</v>
      </c>
      <c r="K1337" s="885">
        <v>5.138</v>
      </c>
      <c r="L1337" s="886">
        <v>0</v>
      </c>
      <c r="M1337" s="882"/>
    </row>
    <row r="1338" spans="1:13" ht="12.75">
      <c r="A1338" s="882"/>
      <c r="B1338" s="882"/>
      <c r="C1338" s="882"/>
      <c r="D1338" s="882"/>
      <c r="E1338" s="883" t="s">
        <v>550</v>
      </c>
      <c r="F1338" s="883" t="s">
        <v>551</v>
      </c>
      <c r="G1338" s="883" t="s">
        <v>132</v>
      </c>
      <c r="H1338" s="883" t="s">
        <v>2063</v>
      </c>
      <c r="I1338" s="883" t="s">
        <v>2842</v>
      </c>
      <c r="J1338" s="885">
        <v>0</v>
      </c>
      <c r="K1338" s="885">
        <v>0.272</v>
      </c>
      <c r="L1338" s="886">
        <v>0</v>
      </c>
      <c r="M1338" s="882"/>
    </row>
    <row r="1339" spans="1:13" ht="12.75">
      <c r="A1339" s="882"/>
      <c r="B1339" s="882"/>
      <c r="C1339" s="882"/>
      <c r="D1339" s="882"/>
      <c r="E1339" s="883" t="s">
        <v>552</v>
      </c>
      <c r="F1339" s="883" t="s">
        <v>553</v>
      </c>
      <c r="G1339" s="883" t="s">
        <v>93</v>
      </c>
      <c r="H1339" s="883" t="s">
        <v>2063</v>
      </c>
      <c r="I1339" s="883" t="s">
        <v>2538</v>
      </c>
      <c r="J1339" s="885">
        <v>0</v>
      </c>
      <c r="K1339" s="885">
        <v>3.706</v>
      </c>
      <c r="L1339" s="886">
        <v>3.70593</v>
      </c>
      <c r="M1339" s="882"/>
    </row>
    <row r="1340" spans="1:13" ht="12.75">
      <c r="A1340" s="882"/>
      <c r="B1340" s="882"/>
      <c r="C1340" s="882"/>
      <c r="D1340" s="882"/>
      <c r="E1340" s="883" t="s">
        <v>554</v>
      </c>
      <c r="F1340" s="883" t="s">
        <v>555</v>
      </c>
      <c r="G1340" s="883" t="s">
        <v>132</v>
      </c>
      <c r="H1340" s="883" t="s">
        <v>2543</v>
      </c>
      <c r="I1340" s="883" t="s">
        <v>2842</v>
      </c>
      <c r="J1340" s="885">
        <v>0</v>
      </c>
      <c r="K1340" s="885">
        <v>0.886</v>
      </c>
      <c r="L1340" s="886">
        <v>0</v>
      </c>
      <c r="M1340" s="882"/>
    </row>
    <row r="1341" spans="1:13" ht="12.75">
      <c r="A1341" s="882"/>
      <c r="B1341" s="882"/>
      <c r="C1341" s="882"/>
      <c r="D1341" s="882"/>
      <c r="E1341" s="883" t="s">
        <v>554</v>
      </c>
      <c r="F1341" s="883" t="s">
        <v>555</v>
      </c>
      <c r="G1341" s="883" t="s">
        <v>132</v>
      </c>
      <c r="H1341" s="883" t="s">
        <v>2543</v>
      </c>
      <c r="I1341" s="883" t="s">
        <v>2564</v>
      </c>
      <c r="J1341" s="885">
        <v>0</v>
      </c>
      <c r="K1341" s="885">
        <v>1.881</v>
      </c>
      <c r="L1341" s="886">
        <v>0</v>
      </c>
      <c r="M1341" s="882"/>
    </row>
    <row r="1342" spans="1:13" ht="12.75">
      <c r="A1342" s="882"/>
      <c r="B1342" s="882"/>
      <c r="C1342" s="882"/>
      <c r="D1342" s="882"/>
      <c r="E1342" s="883" t="s">
        <v>556</v>
      </c>
      <c r="F1342" s="883" t="s">
        <v>557</v>
      </c>
      <c r="G1342" s="883" t="s">
        <v>145</v>
      </c>
      <c r="H1342" s="883" t="s">
        <v>2063</v>
      </c>
      <c r="I1342" s="883" t="s">
        <v>2538</v>
      </c>
      <c r="J1342" s="885">
        <v>0</v>
      </c>
      <c r="K1342" s="885">
        <v>0.619</v>
      </c>
      <c r="L1342" s="886">
        <v>0.6188</v>
      </c>
      <c r="M1342" s="882"/>
    </row>
    <row r="1343" spans="1:13" ht="12.75">
      <c r="A1343" s="882"/>
      <c r="B1343" s="882"/>
      <c r="C1343" s="882"/>
      <c r="D1343" s="882"/>
      <c r="E1343" s="883" t="s">
        <v>558</v>
      </c>
      <c r="F1343" s="883" t="s">
        <v>559</v>
      </c>
      <c r="G1343" s="883" t="s">
        <v>145</v>
      </c>
      <c r="H1343" s="883" t="s">
        <v>2063</v>
      </c>
      <c r="I1343" s="883" t="s">
        <v>2538</v>
      </c>
      <c r="J1343" s="885">
        <v>0</v>
      </c>
      <c r="K1343" s="885">
        <v>2.023</v>
      </c>
      <c r="L1343" s="886">
        <v>2.023</v>
      </c>
      <c r="M1343" s="882"/>
    </row>
    <row r="1344" spans="1:13" ht="12.75">
      <c r="A1344" s="882"/>
      <c r="B1344" s="882"/>
      <c r="C1344" s="882"/>
      <c r="D1344" s="882"/>
      <c r="E1344" s="883" t="s">
        <v>560</v>
      </c>
      <c r="F1344" s="883" t="s">
        <v>561</v>
      </c>
      <c r="G1344" s="883" t="s">
        <v>95</v>
      </c>
      <c r="H1344" s="883" t="s">
        <v>2063</v>
      </c>
      <c r="I1344" s="883" t="s">
        <v>2564</v>
      </c>
      <c r="J1344" s="885">
        <v>0</v>
      </c>
      <c r="K1344" s="885">
        <v>30.157</v>
      </c>
      <c r="L1344" s="886">
        <v>0</v>
      </c>
      <c r="M1344" s="882"/>
    </row>
    <row r="1345" spans="1:13" ht="12.75">
      <c r="A1345" s="882"/>
      <c r="B1345" s="882"/>
      <c r="C1345" s="882"/>
      <c r="D1345" s="882"/>
      <c r="E1345" s="883" t="s">
        <v>562</v>
      </c>
      <c r="F1345" s="883" t="s">
        <v>563</v>
      </c>
      <c r="G1345" s="883" t="s">
        <v>121</v>
      </c>
      <c r="H1345" s="883" t="s">
        <v>2063</v>
      </c>
      <c r="I1345" s="883" t="s">
        <v>2538</v>
      </c>
      <c r="J1345" s="885">
        <v>0</v>
      </c>
      <c r="K1345" s="885">
        <v>2.353</v>
      </c>
      <c r="L1345" s="886">
        <v>0</v>
      </c>
      <c r="M1345" s="882"/>
    </row>
    <row r="1346" spans="1:13" ht="12.75">
      <c r="A1346" s="882"/>
      <c r="B1346" s="882"/>
      <c r="C1346" s="882"/>
      <c r="D1346" s="882"/>
      <c r="E1346" s="883" t="s">
        <v>564</v>
      </c>
      <c r="F1346" s="883" t="s">
        <v>565</v>
      </c>
      <c r="G1346" s="883" t="s">
        <v>158</v>
      </c>
      <c r="H1346" s="883" t="s">
        <v>2063</v>
      </c>
      <c r="I1346" s="883" t="s">
        <v>2842</v>
      </c>
      <c r="J1346" s="885">
        <v>0</v>
      </c>
      <c r="K1346" s="885">
        <v>1.481</v>
      </c>
      <c r="L1346" s="886">
        <v>0.3803708</v>
      </c>
      <c r="M1346" s="882"/>
    </row>
    <row r="1347" spans="1:13" ht="12.75">
      <c r="A1347" s="882"/>
      <c r="B1347" s="882"/>
      <c r="C1347" s="882"/>
      <c r="D1347" s="882"/>
      <c r="E1347" s="883" t="s">
        <v>564</v>
      </c>
      <c r="F1347" s="883" t="s">
        <v>565</v>
      </c>
      <c r="G1347" s="883" t="s">
        <v>158</v>
      </c>
      <c r="H1347" s="883" t="s">
        <v>2063</v>
      </c>
      <c r="I1347" s="883" t="s">
        <v>2564</v>
      </c>
      <c r="J1347" s="885">
        <v>0</v>
      </c>
      <c r="K1347" s="885">
        <v>2.265</v>
      </c>
      <c r="L1347" s="886">
        <v>2.152112</v>
      </c>
      <c r="M1347" s="882"/>
    </row>
    <row r="1348" spans="1:13" ht="12.75">
      <c r="A1348" s="882"/>
      <c r="B1348" s="882"/>
      <c r="C1348" s="882"/>
      <c r="D1348" s="882"/>
      <c r="E1348" s="883" t="s">
        <v>566</v>
      </c>
      <c r="F1348" s="883" t="s">
        <v>567</v>
      </c>
      <c r="G1348" s="883" t="s">
        <v>132</v>
      </c>
      <c r="H1348" s="883" t="s">
        <v>2063</v>
      </c>
      <c r="I1348" s="883" t="s">
        <v>2842</v>
      </c>
      <c r="J1348" s="885">
        <v>0</v>
      </c>
      <c r="K1348" s="885">
        <v>0.652</v>
      </c>
      <c r="L1348" s="886">
        <v>0</v>
      </c>
      <c r="M1348" s="882"/>
    </row>
    <row r="1349" spans="1:13" ht="12.75">
      <c r="A1349" s="882"/>
      <c r="B1349" s="882"/>
      <c r="C1349" s="882"/>
      <c r="D1349" s="882"/>
      <c r="E1349" s="883" t="s">
        <v>566</v>
      </c>
      <c r="F1349" s="883" t="s">
        <v>567</v>
      </c>
      <c r="G1349" s="883" t="s">
        <v>132</v>
      </c>
      <c r="H1349" s="883" t="s">
        <v>2063</v>
      </c>
      <c r="I1349" s="883" t="s">
        <v>2564</v>
      </c>
      <c r="J1349" s="885">
        <v>0</v>
      </c>
      <c r="K1349" s="885">
        <v>0.079</v>
      </c>
      <c r="L1349" s="886">
        <v>0.079</v>
      </c>
      <c r="M1349" s="882"/>
    </row>
    <row r="1350" spans="1:13" ht="12.75">
      <c r="A1350" s="882"/>
      <c r="B1350" s="882"/>
      <c r="C1350" s="882"/>
      <c r="D1350" s="882"/>
      <c r="E1350" s="883" t="s">
        <v>566</v>
      </c>
      <c r="F1350" s="883" t="s">
        <v>567</v>
      </c>
      <c r="G1350" s="883" t="s">
        <v>132</v>
      </c>
      <c r="H1350" s="883" t="s">
        <v>2063</v>
      </c>
      <c r="I1350" s="883" t="s">
        <v>1079</v>
      </c>
      <c r="J1350" s="885">
        <v>0</v>
      </c>
      <c r="K1350" s="885">
        <v>0</v>
      </c>
      <c r="L1350" s="886">
        <v>15.15463428</v>
      </c>
      <c r="M1350" s="882"/>
    </row>
    <row r="1351" spans="1:13" ht="12.75">
      <c r="A1351" s="882"/>
      <c r="B1351" s="882"/>
      <c r="C1351" s="882"/>
      <c r="D1351" s="882"/>
      <c r="E1351" s="883" t="s">
        <v>566</v>
      </c>
      <c r="F1351" s="883" t="s">
        <v>567</v>
      </c>
      <c r="G1351" s="883" t="s">
        <v>132</v>
      </c>
      <c r="H1351" s="883" t="s">
        <v>2063</v>
      </c>
      <c r="I1351" s="883" t="s">
        <v>1826</v>
      </c>
      <c r="J1351" s="885">
        <v>0</v>
      </c>
      <c r="K1351" s="885">
        <v>0</v>
      </c>
      <c r="L1351" s="886">
        <v>1.1712702</v>
      </c>
      <c r="M1351" s="882"/>
    </row>
    <row r="1352" spans="1:13" ht="12.75">
      <c r="A1352" s="882"/>
      <c r="B1352" s="882"/>
      <c r="C1352" s="882"/>
      <c r="D1352" s="882"/>
      <c r="E1352" s="883" t="s">
        <v>568</v>
      </c>
      <c r="F1352" s="883" t="s">
        <v>569</v>
      </c>
      <c r="G1352" s="883" t="s">
        <v>145</v>
      </c>
      <c r="H1352" s="883" t="s">
        <v>2063</v>
      </c>
      <c r="I1352" s="883" t="s">
        <v>2842</v>
      </c>
      <c r="J1352" s="885">
        <v>0</v>
      </c>
      <c r="K1352" s="885">
        <v>1.765</v>
      </c>
      <c r="L1352" s="886">
        <v>0.90577625</v>
      </c>
      <c r="M1352" s="882"/>
    </row>
    <row r="1353" spans="1:13" ht="12.75">
      <c r="A1353" s="882"/>
      <c r="B1353" s="882"/>
      <c r="C1353" s="882"/>
      <c r="D1353" s="882"/>
      <c r="E1353" s="883" t="s">
        <v>568</v>
      </c>
      <c r="F1353" s="883" t="s">
        <v>569</v>
      </c>
      <c r="G1353" s="883" t="s">
        <v>145</v>
      </c>
      <c r="H1353" s="883" t="s">
        <v>2063</v>
      </c>
      <c r="I1353" s="883" t="s">
        <v>2564</v>
      </c>
      <c r="J1353" s="885">
        <v>0</v>
      </c>
      <c r="K1353" s="885">
        <v>1.379</v>
      </c>
      <c r="L1353" s="886">
        <v>1.377201</v>
      </c>
      <c r="M1353" s="882"/>
    </row>
    <row r="1354" spans="1:13" ht="12.75">
      <c r="A1354" s="882"/>
      <c r="B1354" s="882"/>
      <c r="C1354" s="882"/>
      <c r="D1354" s="882"/>
      <c r="E1354" s="883" t="s">
        <v>568</v>
      </c>
      <c r="F1354" s="883" t="s">
        <v>569</v>
      </c>
      <c r="G1354" s="883" t="s">
        <v>145</v>
      </c>
      <c r="H1354" s="883" t="s">
        <v>2063</v>
      </c>
      <c r="I1354" s="883" t="s">
        <v>1826</v>
      </c>
      <c r="J1354" s="885">
        <v>0</v>
      </c>
      <c r="K1354" s="885">
        <v>0</v>
      </c>
      <c r="L1354" s="886">
        <v>0.17</v>
      </c>
      <c r="M1354" s="882"/>
    </row>
    <row r="1355" spans="1:13" ht="12.75">
      <c r="A1355" s="882"/>
      <c r="B1355" s="882"/>
      <c r="C1355" s="882"/>
      <c r="D1355" s="882"/>
      <c r="E1355" s="883" t="s">
        <v>568</v>
      </c>
      <c r="F1355" s="883" t="s">
        <v>569</v>
      </c>
      <c r="G1355" s="883" t="s">
        <v>145</v>
      </c>
      <c r="H1355" s="883" t="s">
        <v>2063</v>
      </c>
      <c r="I1355" s="883" t="s">
        <v>1079</v>
      </c>
      <c r="J1355" s="885">
        <v>0</v>
      </c>
      <c r="K1355" s="885">
        <v>0</v>
      </c>
      <c r="L1355" s="886">
        <v>0.10523006</v>
      </c>
      <c r="M1355" s="882"/>
    </row>
    <row r="1356" spans="1:13" ht="12.75">
      <c r="A1356" s="882"/>
      <c r="B1356" s="882"/>
      <c r="C1356" s="882"/>
      <c r="D1356" s="882"/>
      <c r="E1356" s="883" t="s">
        <v>568</v>
      </c>
      <c r="F1356" s="883" t="s">
        <v>569</v>
      </c>
      <c r="G1356" s="883" t="s">
        <v>145</v>
      </c>
      <c r="H1356" s="883" t="s">
        <v>2063</v>
      </c>
      <c r="I1356" s="883" t="s">
        <v>1079</v>
      </c>
      <c r="J1356" s="885">
        <v>0</v>
      </c>
      <c r="K1356" s="885">
        <v>0</v>
      </c>
      <c r="L1356" s="886">
        <v>3.28998517</v>
      </c>
      <c r="M1356" s="882"/>
    </row>
    <row r="1357" spans="1:13" ht="12.75">
      <c r="A1357" s="882"/>
      <c r="B1357" s="882"/>
      <c r="C1357" s="882"/>
      <c r="D1357" s="882"/>
      <c r="E1357" s="883" t="s">
        <v>568</v>
      </c>
      <c r="F1357" s="883" t="s">
        <v>569</v>
      </c>
      <c r="G1357" s="883" t="s">
        <v>145</v>
      </c>
      <c r="H1357" s="883" t="s">
        <v>2063</v>
      </c>
      <c r="I1357" s="883" t="s">
        <v>1826</v>
      </c>
      <c r="J1357" s="885">
        <v>0</v>
      </c>
      <c r="K1357" s="885">
        <v>0</v>
      </c>
      <c r="L1357" s="886">
        <v>0.001</v>
      </c>
      <c r="M1357" s="882"/>
    </row>
    <row r="1358" spans="1:13" ht="12.75">
      <c r="A1358" s="882"/>
      <c r="B1358" s="882"/>
      <c r="C1358" s="882"/>
      <c r="D1358" s="882"/>
      <c r="E1358" s="883" t="s">
        <v>570</v>
      </c>
      <c r="F1358" s="883" t="s">
        <v>571</v>
      </c>
      <c r="G1358" s="883" t="s">
        <v>110</v>
      </c>
      <c r="H1358" s="883" t="s">
        <v>2063</v>
      </c>
      <c r="I1358" s="883" t="s">
        <v>1079</v>
      </c>
      <c r="J1358" s="885">
        <v>0</v>
      </c>
      <c r="K1358" s="885">
        <v>0</v>
      </c>
      <c r="L1358" s="886">
        <v>9.36315036</v>
      </c>
      <c r="M1358" s="882"/>
    </row>
    <row r="1359" spans="1:13" ht="12.75">
      <c r="A1359" s="882"/>
      <c r="B1359" s="882"/>
      <c r="C1359" s="882"/>
      <c r="D1359" s="882"/>
      <c r="E1359" s="883" t="s">
        <v>570</v>
      </c>
      <c r="F1359" s="883" t="s">
        <v>571</v>
      </c>
      <c r="G1359" s="883" t="s">
        <v>110</v>
      </c>
      <c r="H1359" s="883" t="s">
        <v>2063</v>
      </c>
      <c r="I1359" s="883" t="s">
        <v>1079</v>
      </c>
      <c r="J1359" s="885">
        <v>0</v>
      </c>
      <c r="K1359" s="885">
        <v>0</v>
      </c>
      <c r="L1359" s="886">
        <v>4.518013</v>
      </c>
      <c r="M1359" s="882"/>
    </row>
    <row r="1360" spans="1:13" ht="12.75">
      <c r="A1360" s="882"/>
      <c r="B1360" s="882"/>
      <c r="C1360" s="882"/>
      <c r="D1360" s="882"/>
      <c r="E1360" s="883" t="s">
        <v>570</v>
      </c>
      <c r="F1360" s="883" t="s">
        <v>571</v>
      </c>
      <c r="G1360" s="883" t="s">
        <v>110</v>
      </c>
      <c r="H1360" s="883" t="s">
        <v>2063</v>
      </c>
      <c r="I1360" s="883" t="s">
        <v>1826</v>
      </c>
      <c r="J1360" s="885">
        <v>0</v>
      </c>
      <c r="K1360" s="885">
        <v>0</v>
      </c>
      <c r="L1360" s="886">
        <v>0.807608</v>
      </c>
      <c r="M1360" s="882"/>
    </row>
    <row r="1361" spans="1:13" ht="12.75">
      <c r="A1361" s="882"/>
      <c r="B1361" s="882"/>
      <c r="C1361" s="882"/>
      <c r="D1361" s="882"/>
      <c r="E1361" s="883" t="s">
        <v>572</v>
      </c>
      <c r="F1361" s="883" t="s">
        <v>573</v>
      </c>
      <c r="G1361" s="883" t="s">
        <v>91</v>
      </c>
      <c r="H1361" s="883" t="s">
        <v>2063</v>
      </c>
      <c r="I1361" s="883" t="s">
        <v>2842</v>
      </c>
      <c r="J1361" s="885">
        <v>0</v>
      </c>
      <c r="K1361" s="885">
        <v>1.478</v>
      </c>
      <c r="L1361" s="886">
        <v>0</v>
      </c>
      <c r="M1361" s="882"/>
    </row>
    <row r="1362" spans="1:13" ht="12.75">
      <c r="A1362" s="882"/>
      <c r="B1362" s="882"/>
      <c r="C1362" s="882"/>
      <c r="D1362" s="882"/>
      <c r="E1362" s="883" t="s">
        <v>572</v>
      </c>
      <c r="F1362" s="883" t="s">
        <v>573</v>
      </c>
      <c r="G1362" s="883" t="s">
        <v>91</v>
      </c>
      <c r="H1362" s="883" t="s">
        <v>2063</v>
      </c>
      <c r="I1362" s="883" t="s">
        <v>2841</v>
      </c>
      <c r="J1362" s="885">
        <v>0</v>
      </c>
      <c r="K1362" s="885">
        <v>0.25</v>
      </c>
      <c r="L1362" s="886">
        <v>0</v>
      </c>
      <c r="M1362" s="882"/>
    </row>
    <row r="1363" spans="1:13" ht="12.75">
      <c r="A1363" s="882"/>
      <c r="B1363" s="882"/>
      <c r="C1363" s="882"/>
      <c r="D1363" s="882"/>
      <c r="E1363" s="883" t="s">
        <v>572</v>
      </c>
      <c r="F1363" s="883" t="s">
        <v>573</v>
      </c>
      <c r="G1363" s="883" t="s">
        <v>91</v>
      </c>
      <c r="H1363" s="883" t="s">
        <v>2063</v>
      </c>
      <c r="I1363" s="883" t="s">
        <v>1826</v>
      </c>
      <c r="J1363" s="885">
        <v>0</v>
      </c>
      <c r="K1363" s="885">
        <v>0</v>
      </c>
      <c r="L1363" s="886">
        <v>2.20433248</v>
      </c>
      <c r="M1363" s="882"/>
    </row>
    <row r="1364" spans="1:13" ht="12.75">
      <c r="A1364" s="882"/>
      <c r="B1364" s="882"/>
      <c r="C1364" s="882"/>
      <c r="D1364" s="882"/>
      <c r="E1364" s="883" t="s">
        <v>572</v>
      </c>
      <c r="F1364" s="883" t="s">
        <v>573</v>
      </c>
      <c r="G1364" s="883" t="s">
        <v>91</v>
      </c>
      <c r="H1364" s="883" t="s">
        <v>2063</v>
      </c>
      <c r="I1364" s="883" t="s">
        <v>1079</v>
      </c>
      <c r="J1364" s="885">
        <v>0</v>
      </c>
      <c r="K1364" s="885">
        <v>0</v>
      </c>
      <c r="L1364" s="886">
        <v>26.82098741</v>
      </c>
      <c r="M1364" s="882"/>
    </row>
    <row r="1365" spans="1:13" ht="12.75">
      <c r="A1365" s="882"/>
      <c r="B1365" s="882"/>
      <c r="C1365" s="882"/>
      <c r="D1365" s="882"/>
      <c r="E1365" s="883" t="s">
        <v>574</v>
      </c>
      <c r="F1365" s="883" t="s">
        <v>575</v>
      </c>
      <c r="G1365" s="883" t="s">
        <v>121</v>
      </c>
      <c r="H1365" s="883" t="s">
        <v>2063</v>
      </c>
      <c r="I1365" s="883" t="s">
        <v>2538</v>
      </c>
      <c r="J1365" s="885">
        <v>0</v>
      </c>
      <c r="K1365" s="885">
        <v>0.05</v>
      </c>
      <c r="L1365" s="886">
        <v>0</v>
      </c>
      <c r="M1365" s="882"/>
    </row>
    <row r="1366" spans="1:13" ht="12.75">
      <c r="A1366" s="882"/>
      <c r="B1366" s="882"/>
      <c r="C1366" s="882"/>
      <c r="D1366" s="882"/>
      <c r="E1366" s="883" t="s">
        <v>574</v>
      </c>
      <c r="F1366" s="883" t="s">
        <v>575</v>
      </c>
      <c r="G1366" s="883" t="s">
        <v>121</v>
      </c>
      <c r="H1366" s="883" t="s">
        <v>2063</v>
      </c>
      <c r="I1366" s="883" t="s">
        <v>2564</v>
      </c>
      <c r="J1366" s="885">
        <v>0</v>
      </c>
      <c r="K1366" s="885">
        <v>0.572</v>
      </c>
      <c r="L1366" s="886">
        <v>0.571913</v>
      </c>
      <c r="M1366" s="882"/>
    </row>
    <row r="1367" spans="1:13" ht="12.75">
      <c r="A1367" s="882"/>
      <c r="B1367" s="882"/>
      <c r="C1367" s="882"/>
      <c r="D1367" s="882"/>
      <c r="E1367" s="883" t="s">
        <v>574</v>
      </c>
      <c r="F1367" s="883" t="s">
        <v>575</v>
      </c>
      <c r="G1367" s="883" t="s">
        <v>121</v>
      </c>
      <c r="H1367" s="883" t="s">
        <v>2063</v>
      </c>
      <c r="I1367" s="883" t="s">
        <v>2841</v>
      </c>
      <c r="J1367" s="885">
        <v>0</v>
      </c>
      <c r="K1367" s="885">
        <v>1.843</v>
      </c>
      <c r="L1367" s="886">
        <v>0</v>
      </c>
      <c r="M1367" s="882"/>
    </row>
    <row r="1368" spans="1:13" ht="12.75">
      <c r="A1368" s="882"/>
      <c r="B1368" s="882"/>
      <c r="C1368" s="882"/>
      <c r="D1368" s="882"/>
      <c r="E1368" s="883" t="s">
        <v>574</v>
      </c>
      <c r="F1368" s="883" t="s">
        <v>575</v>
      </c>
      <c r="G1368" s="883" t="s">
        <v>121</v>
      </c>
      <c r="H1368" s="883" t="s">
        <v>2063</v>
      </c>
      <c r="I1368" s="883" t="s">
        <v>1079</v>
      </c>
      <c r="J1368" s="885">
        <v>0</v>
      </c>
      <c r="K1368" s="885">
        <v>0</v>
      </c>
      <c r="L1368" s="886">
        <v>41.87503498</v>
      </c>
      <c r="M1368" s="882"/>
    </row>
    <row r="1369" spans="1:13" ht="12.75">
      <c r="A1369" s="882"/>
      <c r="B1369" s="882"/>
      <c r="C1369" s="882"/>
      <c r="D1369" s="882"/>
      <c r="E1369" s="883" t="s">
        <v>574</v>
      </c>
      <c r="F1369" s="883" t="s">
        <v>575</v>
      </c>
      <c r="G1369" s="883" t="s">
        <v>121</v>
      </c>
      <c r="H1369" s="883" t="s">
        <v>2063</v>
      </c>
      <c r="I1369" s="883" t="s">
        <v>1079</v>
      </c>
      <c r="J1369" s="885">
        <v>0</v>
      </c>
      <c r="K1369" s="885">
        <v>0</v>
      </c>
      <c r="L1369" s="886">
        <v>5.97731699</v>
      </c>
      <c r="M1369" s="882"/>
    </row>
    <row r="1370" spans="1:13" ht="12.75">
      <c r="A1370" s="882"/>
      <c r="B1370" s="882"/>
      <c r="C1370" s="882"/>
      <c r="D1370" s="882"/>
      <c r="E1370" s="883" t="s">
        <v>574</v>
      </c>
      <c r="F1370" s="883" t="s">
        <v>575</v>
      </c>
      <c r="G1370" s="883" t="s">
        <v>121</v>
      </c>
      <c r="H1370" s="883" t="s">
        <v>2063</v>
      </c>
      <c r="I1370" s="883" t="s">
        <v>1826</v>
      </c>
      <c r="J1370" s="885">
        <v>0</v>
      </c>
      <c r="K1370" s="885">
        <v>0</v>
      </c>
      <c r="L1370" s="886">
        <v>0.63412859</v>
      </c>
      <c r="M1370" s="882"/>
    </row>
    <row r="1371" spans="1:13" ht="12.75">
      <c r="A1371" s="882"/>
      <c r="B1371" s="882"/>
      <c r="C1371" s="882"/>
      <c r="D1371" s="882"/>
      <c r="E1371" s="883" t="s">
        <v>574</v>
      </c>
      <c r="F1371" s="883" t="s">
        <v>575</v>
      </c>
      <c r="G1371" s="883" t="s">
        <v>121</v>
      </c>
      <c r="H1371" s="883" t="s">
        <v>2063</v>
      </c>
      <c r="I1371" s="883" t="s">
        <v>1826</v>
      </c>
      <c r="J1371" s="885">
        <v>0</v>
      </c>
      <c r="K1371" s="885">
        <v>0</v>
      </c>
      <c r="L1371" s="886">
        <v>6.77257221</v>
      </c>
      <c r="M1371" s="882"/>
    </row>
    <row r="1372" spans="1:13" ht="12.75">
      <c r="A1372" s="882"/>
      <c r="B1372" s="882"/>
      <c r="C1372" s="882"/>
      <c r="D1372" s="882"/>
      <c r="E1372" s="883" t="s">
        <v>576</v>
      </c>
      <c r="F1372" s="883" t="s">
        <v>577</v>
      </c>
      <c r="G1372" s="883" t="s">
        <v>95</v>
      </c>
      <c r="H1372" s="883" t="s">
        <v>2063</v>
      </c>
      <c r="I1372" s="883" t="s">
        <v>2538</v>
      </c>
      <c r="J1372" s="885">
        <v>0</v>
      </c>
      <c r="K1372" s="885">
        <v>1.4</v>
      </c>
      <c r="L1372" s="886">
        <v>0</v>
      </c>
      <c r="M1372" s="882"/>
    </row>
    <row r="1373" spans="1:13" ht="12.75">
      <c r="A1373" s="882"/>
      <c r="B1373" s="882"/>
      <c r="C1373" s="882"/>
      <c r="D1373" s="882"/>
      <c r="E1373" s="883" t="s">
        <v>576</v>
      </c>
      <c r="F1373" s="883" t="s">
        <v>577</v>
      </c>
      <c r="G1373" s="883" t="s">
        <v>95</v>
      </c>
      <c r="H1373" s="883" t="s">
        <v>2063</v>
      </c>
      <c r="I1373" s="883" t="s">
        <v>2564</v>
      </c>
      <c r="J1373" s="885">
        <v>0</v>
      </c>
      <c r="K1373" s="885">
        <v>23.222</v>
      </c>
      <c r="L1373" s="886">
        <v>23.0117639</v>
      </c>
      <c r="M1373" s="882"/>
    </row>
    <row r="1374" spans="1:13" ht="12.75">
      <c r="A1374" s="882"/>
      <c r="B1374" s="882"/>
      <c r="C1374" s="882"/>
      <c r="D1374" s="882"/>
      <c r="E1374" s="883" t="s">
        <v>576</v>
      </c>
      <c r="F1374" s="883" t="s">
        <v>577</v>
      </c>
      <c r="G1374" s="883" t="s">
        <v>95</v>
      </c>
      <c r="H1374" s="883" t="s">
        <v>2063</v>
      </c>
      <c r="I1374" s="883" t="s">
        <v>2841</v>
      </c>
      <c r="J1374" s="885">
        <v>0</v>
      </c>
      <c r="K1374" s="885">
        <v>0.817</v>
      </c>
      <c r="L1374" s="886">
        <v>0</v>
      </c>
      <c r="M1374" s="882"/>
    </row>
    <row r="1375" spans="1:13" ht="12.75">
      <c r="A1375" s="882"/>
      <c r="B1375" s="882"/>
      <c r="C1375" s="882"/>
      <c r="D1375" s="882"/>
      <c r="E1375" s="883" t="s">
        <v>576</v>
      </c>
      <c r="F1375" s="883" t="s">
        <v>577</v>
      </c>
      <c r="G1375" s="883" t="s">
        <v>95</v>
      </c>
      <c r="H1375" s="883" t="s">
        <v>2063</v>
      </c>
      <c r="I1375" s="883" t="s">
        <v>1079</v>
      </c>
      <c r="J1375" s="885">
        <v>0</v>
      </c>
      <c r="K1375" s="885">
        <v>0</v>
      </c>
      <c r="L1375" s="886">
        <v>47.42262125</v>
      </c>
      <c r="M1375" s="882"/>
    </row>
    <row r="1376" spans="1:13" ht="12.75">
      <c r="A1376" s="882"/>
      <c r="B1376" s="882"/>
      <c r="C1376" s="882"/>
      <c r="D1376" s="882"/>
      <c r="E1376" s="883" t="s">
        <v>576</v>
      </c>
      <c r="F1376" s="883" t="s">
        <v>577</v>
      </c>
      <c r="G1376" s="883" t="s">
        <v>95</v>
      </c>
      <c r="H1376" s="883" t="s">
        <v>2063</v>
      </c>
      <c r="I1376" s="883" t="s">
        <v>1079</v>
      </c>
      <c r="J1376" s="885">
        <v>0</v>
      </c>
      <c r="K1376" s="885">
        <v>0</v>
      </c>
      <c r="L1376" s="886">
        <v>0.431</v>
      </c>
      <c r="M1376" s="882"/>
    </row>
    <row r="1377" spans="1:13" ht="12.75">
      <c r="A1377" s="882"/>
      <c r="B1377" s="882"/>
      <c r="C1377" s="882"/>
      <c r="D1377" s="882"/>
      <c r="E1377" s="883" t="s">
        <v>576</v>
      </c>
      <c r="F1377" s="883" t="s">
        <v>577</v>
      </c>
      <c r="G1377" s="883" t="s">
        <v>95</v>
      </c>
      <c r="H1377" s="883" t="s">
        <v>2063</v>
      </c>
      <c r="I1377" s="883" t="s">
        <v>1826</v>
      </c>
      <c r="J1377" s="885">
        <v>0</v>
      </c>
      <c r="K1377" s="885">
        <v>0</v>
      </c>
      <c r="L1377" s="886">
        <v>3.32816504</v>
      </c>
      <c r="M1377" s="882"/>
    </row>
    <row r="1378" spans="1:13" ht="12.75">
      <c r="A1378" s="882"/>
      <c r="B1378" s="882"/>
      <c r="C1378" s="882"/>
      <c r="D1378" s="882"/>
      <c r="E1378" s="883" t="s">
        <v>578</v>
      </c>
      <c r="F1378" s="883" t="s">
        <v>579</v>
      </c>
      <c r="G1378" s="883" t="s">
        <v>2955</v>
      </c>
      <c r="H1378" s="883" t="s">
        <v>2543</v>
      </c>
      <c r="I1378" s="883" t="s">
        <v>2538</v>
      </c>
      <c r="J1378" s="885">
        <v>0</v>
      </c>
      <c r="K1378" s="885">
        <v>0.03</v>
      </c>
      <c r="L1378" s="886">
        <v>0</v>
      </c>
      <c r="M1378" s="882"/>
    </row>
    <row r="1379" spans="1:13" ht="12.75">
      <c r="A1379" s="882"/>
      <c r="B1379" s="882"/>
      <c r="C1379" s="882"/>
      <c r="D1379" s="882"/>
      <c r="E1379" s="883" t="s">
        <v>580</v>
      </c>
      <c r="F1379" s="883" t="s">
        <v>581</v>
      </c>
      <c r="G1379" s="883" t="s">
        <v>2955</v>
      </c>
      <c r="H1379" s="883" t="s">
        <v>2063</v>
      </c>
      <c r="I1379" s="883" t="s">
        <v>2538</v>
      </c>
      <c r="J1379" s="885">
        <v>0</v>
      </c>
      <c r="K1379" s="885">
        <v>0.001</v>
      </c>
      <c r="L1379" s="886">
        <v>0</v>
      </c>
      <c r="M1379" s="882"/>
    </row>
    <row r="1380" spans="1:13" ht="12.75">
      <c r="A1380" s="882"/>
      <c r="B1380" s="882"/>
      <c r="C1380" s="882"/>
      <c r="D1380" s="882"/>
      <c r="E1380" s="883" t="s">
        <v>582</v>
      </c>
      <c r="F1380" s="883" t="s">
        <v>583</v>
      </c>
      <c r="G1380" s="883" t="s">
        <v>2955</v>
      </c>
      <c r="H1380" s="883" t="s">
        <v>2063</v>
      </c>
      <c r="I1380" s="883" t="s">
        <v>2538</v>
      </c>
      <c r="J1380" s="884">
        <v>15.177</v>
      </c>
      <c r="K1380" s="885">
        <v>0</v>
      </c>
      <c r="L1380" s="886">
        <v>0</v>
      </c>
      <c r="M1380" s="882"/>
    </row>
    <row r="1381" spans="1:13" ht="12.75">
      <c r="A1381" s="882"/>
      <c r="B1381" s="882"/>
      <c r="C1381" s="882"/>
      <c r="D1381" s="882"/>
      <c r="E1381" s="883" t="s">
        <v>584</v>
      </c>
      <c r="F1381" s="883" t="s">
        <v>585</v>
      </c>
      <c r="G1381" s="883" t="s">
        <v>2955</v>
      </c>
      <c r="H1381" s="883" t="s">
        <v>2063</v>
      </c>
      <c r="I1381" s="883" t="s">
        <v>2538</v>
      </c>
      <c r="J1381" s="884">
        <v>350</v>
      </c>
      <c r="K1381" s="885">
        <v>0</v>
      </c>
      <c r="L1381" s="886">
        <v>0</v>
      </c>
      <c r="M1381" s="882"/>
    </row>
    <row r="1382" spans="1:13" ht="12.75">
      <c r="A1382" s="882"/>
      <c r="B1382" s="882"/>
      <c r="C1382" s="882"/>
      <c r="D1382" s="882"/>
      <c r="E1382" s="883" t="s">
        <v>586</v>
      </c>
      <c r="F1382" s="883" t="s">
        <v>587</v>
      </c>
      <c r="G1382" s="883" t="s">
        <v>2955</v>
      </c>
      <c r="H1382" s="883" t="s">
        <v>2063</v>
      </c>
      <c r="I1382" s="883" t="s">
        <v>2564</v>
      </c>
      <c r="J1382" s="884">
        <v>102.714</v>
      </c>
      <c r="K1382" s="885">
        <v>0</v>
      </c>
      <c r="L1382" s="886">
        <v>0</v>
      </c>
      <c r="M1382" s="882"/>
    </row>
    <row r="1383" spans="1:13" ht="12.75">
      <c r="A1383" s="882"/>
      <c r="B1383" s="882"/>
      <c r="C1383" s="882"/>
      <c r="D1383" s="882"/>
      <c r="E1383" s="883" t="s">
        <v>586</v>
      </c>
      <c r="F1383" s="883" t="s">
        <v>587</v>
      </c>
      <c r="G1383" s="883" t="s">
        <v>2955</v>
      </c>
      <c r="H1383" s="883" t="s">
        <v>2063</v>
      </c>
      <c r="I1383" s="883" t="s">
        <v>2538</v>
      </c>
      <c r="J1383" s="884">
        <v>10.647</v>
      </c>
      <c r="K1383" s="885">
        <v>0</v>
      </c>
      <c r="L1383" s="886">
        <v>0</v>
      </c>
      <c r="M1383" s="882"/>
    </row>
    <row r="1384" spans="1:13" ht="12.75">
      <c r="A1384" s="882"/>
      <c r="B1384" s="882"/>
      <c r="C1384" s="882"/>
      <c r="D1384" s="882"/>
      <c r="E1384" s="883" t="s">
        <v>588</v>
      </c>
      <c r="F1384" s="883" t="s">
        <v>589</v>
      </c>
      <c r="G1384" s="883" t="s">
        <v>2955</v>
      </c>
      <c r="H1384" s="883" t="s">
        <v>2063</v>
      </c>
      <c r="I1384" s="883" t="s">
        <v>2538</v>
      </c>
      <c r="J1384" s="884">
        <v>6.36</v>
      </c>
      <c r="K1384" s="885">
        <v>0</v>
      </c>
      <c r="L1384" s="886">
        <v>0</v>
      </c>
      <c r="M1384" s="882"/>
    </row>
    <row r="1385" spans="1:13" ht="12.75">
      <c r="A1385" s="882"/>
      <c r="B1385" s="882"/>
      <c r="C1385" s="882"/>
      <c r="D1385" s="882"/>
      <c r="E1385" s="883" t="s">
        <v>590</v>
      </c>
      <c r="F1385" s="883" t="s">
        <v>591</v>
      </c>
      <c r="G1385" s="883" t="s">
        <v>95</v>
      </c>
      <c r="H1385" s="883" t="s">
        <v>2063</v>
      </c>
      <c r="I1385" s="883" t="s">
        <v>2538</v>
      </c>
      <c r="J1385" s="885">
        <v>0</v>
      </c>
      <c r="K1385" s="885">
        <v>0.832</v>
      </c>
      <c r="L1385" s="886">
        <v>0</v>
      </c>
      <c r="M1385" s="882"/>
    </row>
    <row r="1386" spans="1:13" ht="12.75">
      <c r="A1386" s="882"/>
      <c r="B1386" s="882"/>
      <c r="C1386" s="882"/>
      <c r="D1386" s="882"/>
      <c r="E1386" s="883" t="s">
        <v>590</v>
      </c>
      <c r="F1386" s="883" t="s">
        <v>591</v>
      </c>
      <c r="G1386" s="883" t="s">
        <v>95</v>
      </c>
      <c r="H1386" s="883" t="s">
        <v>2063</v>
      </c>
      <c r="I1386" s="883" t="s">
        <v>2564</v>
      </c>
      <c r="J1386" s="885">
        <v>0</v>
      </c>
      <c r="K1386" s="885">
        <v>4.71</v>
      </c>
      <c r="L1386" s="886">
        <v>0</v>
      </c>
      <c r="M1386" s="882"/>
    </row>
    <row r="1387" spans="1:13" ht="12.75">
      <c r="A1387" s="882"/>
      <c r="B1387" s="882"/>
      <c r="C1387" s="882"/>
      <c r="D1387" s="882"/>
      <c r="E1387" s="883" t="s">
        <v>592</v>
      </c>
      <c r="F1387" s="883" t="s">
        <v>593</v>
      </c>
      <c r="G1387" s="883" t="s">
        <v>110</v>
      </c>
      <c r="H1387" s="883" t="s">
        <v>2063</v>
      </c>
      <c r="I1387" s="883" t="s">
        <v>2538</v>
      </c>
      <c r="J1387" s="885">
        <v>0</v>
      </c>
      <c r="K1387" s="885">
        <v>1.438</v>
      </c>
      <c r="L1387" s="886">
        <v>1.438</v>
      </c>
      <c r="M1387" s="882"/>
    </row>
    <row r="1388" spans="1:13" ht="12.75">
      <c r="A1388" s="882"/>
      <c r="B1388" s="882"/>
      <c r="C1388" s="882"/>
      <c r="D1388" s="882"/>
      <c r="E1388" s="883" t="s">
        <v>594</v>
      </c>
      <c r="F1388" s="883" t="s">
        <v>79</v>
      </c>
      <c r="G1388" s="883" t="s">
        <v>2955</v>
      </c>
      <c r="H1388" s="883" t="s">
        <v>2543</v>
      </c>
      <c r="I1388" s="883" t="s">
        <v>2564</v>
      </c>
      <c r="J1388" s="884">
        <v>26.415</v>
      </c>
      <c r="K1388" s="885">
        <v>0</v>
      </c>
      <c r="L1388" s="886">
        <v>0</v>
      </c>
      <c r="M1388" s="882"/>
    </row>
    <row r="1389" spans="1:13" ht="12.75">
      <c r="A1389" s="882"/>
      <c r="B1389" s="882"/>
      <c r="C1389" s="882"/>
      <c r="D1389" s="882"/>
      <c r="E1389" s="883" t="s">
        <v>594</v>
      </c>
      <c r="F1389" s="883" t="s">
        <v>79</v>
      </c>
      <c r="G1389" s="883" t="s">
        <v>2955</v>
      </c>
      <c r="H1389" s="883" t="s">
        <v>2543</v>
      </c>
      <c r="I1389" s="883" t="s">
        <v>2538</v>
      </c>
      <c r="J1389" s="884">
        <v>8.805</v>
      </c>
      <c r="K1389" s="885">
        <v>0</v>
      </c>
      <c r="L1389" s="886">
        <v>0</v>
      </c>
      <c r="M1389" s="882"/>
    </row>
    <row r="1390" spans="1:13" ht="12.75">
      <c r="A1390" s="882"/>
      <c r="B1390" s="882"/>
      <c r="C1390" s="882"/>
      <c r="D1390" s="882"/>
      <c r="E1390" s="883" t="s">
        <v>595</v>
      </c>
      <c r="F1390" s="883" t="s">
        <v>596</v>
      </c>
      <c r="G1390" s="883" t="s">
        <v>2955</v>
      </c>
      <c r="H1390" s="883" t="s">
        <v>2063</v>
      </c>
      <c r="I1390" s="883" t="s">
        <v>2538</v>
      </c>
      <c r="J1390" s="884">
        <v>4.213</v>
      </c>
      <c r="K1390" s="885">
        <v>4.156</v>
      </c>
      <c r="L1390" s="886">
        <v>4.155004</v>
      </c>
      <c r="M1390" s="882"/>
    </row>
    <row r="1391" spans="1:13" ht="12.75">
      <c r="A1391" s="882"/>
      <c r="B1391" s="882"/>
      <c r="C1391" s="882"/>
      <c r="D1391" s="882"/>
      <c r="E1391" s="883" t="s">
        <v>597</v>
      </c>
      <c r="F1391" s="883" t="s">
        <v>598</v>
      </c>
      <c r="G1391" s="883" t="s">
        <v>2955</v>
      </c>
      <c r="H1391" s="883" t="s">
        <v>2543</v>
      </c>
      <c r="I1391" s="883" t="s">
        <v>2538</v>
      </c>
      <c r="J1391" s="884">
        <v>1.049</v>
      </c>
      <c r="K1391" s="885">
        <v>0</v>
      </c>
      <c r="L1391" s="886">
        <v>0</v>
      </c>
      <c r="M1391" s="882"/>
    </row>
    <row r="1392" spans="1:13" ht="12.75">
      <c r="A1392" s="882"/>
      <c r="B1392" s="882"/>
      <c r="C1392" s="882"/>
      <c r="D1392" s="882"/>
      <c r="E1392" s="883" t="s">
        <v>599</v>
      </c>
      <c r="F1392" s="883" t="s">
        <v>600</v>
      </c>
      <c r="G1392" s="883" t="s">
        <v>95</v>
      </c>
      <c r="H1392" s="883" t="s">
        <v>2543</v>
      </c>
      <c r="I1392" s="883" t="s">
        <v>2538</v>
      </c>
      <c r="J1392" s="884">
        <v>1.863</v>
      </c>
      <c r="K1392" s="885">
        <v>0</v>
      </c>
      <c r="L1392" s="886">
        <v>0</v>
      </c>
      <c r="M1392" s="882"/>
    </row>
    <row r="1393" spans="1:13" ht="12.75">
      <c r="A1393" s="882"/>
      <c r="B1393" s="882"/>
      <c r="C1393" s="882"/>
      <c r="D1393" s="882"/>
      <c r="E1393" s="883" t="s">
        <v>601</v>
      </c>
      <c r="F1393" s="883" t="s">
        <v>602</v>
      </c>
      <c r="G1393" s="883" t="s">
        <v>132</v>
      </c>
      <c r="H1393" s="883" t="s">
        <v>2543</v>
      </c>
      <c r="I1393" s="883" t="s">
        <v>2538</v>
      </c>
      <c r="J1393" s="884">
        <v>0.6</v>
      </c>
      <c r="K1393" s="885">
        <v>0</v>
      </c>
      <c r="L1393" s="886">
        <v>0</v>
      </c>
      <c r="M1393" s="882"/>
    </row>
    <row r="1394" spans="1:13" ht="12.75">
      <c r="A1394" s="882"/>
      <c r="B1394" s="882"/>
      <c r="C1394" s="882"/>
      <c r="D1394" s="882"/>
      <c r="E1394" s="883" t="s">
        <v>603</v>
      </c>
      <c r="F1394" s="883" t="s">
        <v>604</v>
      </c>
      <c r="G1394" s="883" t="s">
        <v>2955</v>
      </c>
      <c r="H1394" s="883" t="s">
        <v>2063</v>
      </c>
      <c r="I1394" s="883" t="s">
        <v>2627</v>
      </c>
      <c r="J1394" s="885">
        <v>0</v>
      </c>
      <c r="K1394" s="885">
        <v>0</v>
      </c>
      <c r="L1394" s="886">
        <v>0.305888</v>
      </c>
      <c r="M1394" s="882"/>
    </row>
    <row r="1395" spans="1:13" ht="12.75">
      <c r="A1395" s="882"/>
      <c r="B1395" s="882"/>
      <c r="C1395" s="882"/>
      <c r="D1395" s="882"/>
      <c r="E1395" s="883" t="s">
        <v>603</v>
      </c>
      <c r="F1395" s="883" t="s">
        <v>604</v>
      </c>
      <c r="G1395" s="883" t="s">
        <v>2955</v>
      </c>
      <c r="H1395" s="883" t="s">
        <v>2063</v>
      </c>
      <c r="I1395" s="883" t="s">
        <v>2538</v>
      </c>
      <c r="J1395" s="885">
        <v>0</v>
      </c>
      <c r="K1395" s="885">
        <v>79.707</v>
      </c>
      <c r="L1395" s="886">
        <v>79.15508823</v>
      </c>
      <c r="M1395" s="882"/>
    </row>
    <row r="1396" spans="1:13" ht="12.75">
      <c r="A1396" s="882"/>
      <c r="B1396" s="882"/>
      <c r="C1396" s="882"/>
      <c r="D1396" s="882"/>
      <c r="E1396" s="883" t="s">
        <v>605</v>
      </c>
      <c r="F1396" s="883" t="s">
        <v>606</v>
      </c>
      <c r="G1396" s="883" t="s">
        <v>2955</v>
      </c>
      <c r="H1396" s="883" t="s">
        <v>2063</v>
      </c>
      <c r="I1396" s="883" t="s">
        <v>2538</v>
      </c>
      <c r="J1396" s="885">
        <v>0</v>
      </c>
      <c r="K1396" s="885">
        <v>15.177</v>
      </c>
      <c r="L1396" s="886">
        <v>15.176264</v>
      </c>
      <c r="M1396" s="882"/>
    </row>
    <row r="1397" spans="1:13" ht="12.75">
      <c r="A1397" s="882"/>
      <c r="B1397" s="882"/>
      <c r="C1397" s="882"/>
      <c r="D1397" s="882"/>
      <c r="E1397" s="883" t="s">
        <v>607</v>
      </c>
      <c r="F1397" s="883" t="s">
        <v>608</v>
      </c>
      <c r="G1397" s="883" t="s">
        <v>2955</v>
      </c>
      <c r="H1397" s="883" t="s">
        <v>2063</v>
      </c>
      <c r="I1397" s="883" t="s">
        <v>2538</v>
      </c>
      <c r="J1397" s="885">
        <v>0</v>
      </c>
      <c r="K1397" s="885">
        <v>0.002</v>
      </c>
      <c r="L1397" s="886">
        <v>0</v>
      </c>
      <c r="M1397" s="882"/>
    </row>
    <row r="1398" spans="1:13" ht="12.75">
      <c r="A1398" s="882"/>
      <c r="B1398" s="882"/>
      <c r="C1398" s="882"/>
      <c r="D1398" s="882"/>
      <c r="E1398" s="883" t="s">
        <v>609</v>
      </c>
      <c r="F1398" s="883" t="s">
        <v>610</v>
      </c>
      <c r="G1398" s="883" t="s">
        <v>2955</v>
      </c>
      <c r="H1398" s="883" t="s">
        <v>2063</v>
      </c>
      <c r="I1398" s="883" t="s">
        <v>2538</v>
      </c>
      <c r="J1398" s="885">
        <v>0</v>
      </c>
      <c r="K1398" s="885">
        <v>6.441</v>
      </c>
      <c r="L1398" s="886">
        <v>6.440351</v>
      </c>
      <c r="M1398" s="882"/>
    </row>
    <row r="1399" spans="1:13" ht="12.75">
      <c r="A1399" s="882"/>
      <c r="B1399" s="882"/>
      <c r="C1399" s="882"/>
      <c r="D1399" s="882"/>
      <c r="E1399" s="883" t="s">
        <v>611</v>
      </c>
      <c r="F1399" s="883" t="s">
        <v>612</v>
      </c>
      <c r="G1399" s="883" t="s">
        <v>2955</v>
      </c>
      <c r="H1399" s="883" t="s">
        <v>2063</v>
      </c>
      <c r="I1399" s="883" t="s">
        <v>2627</v>
      </c>
      <c r="J1399" s="885">
        <v>0</v>
      </c>
      <c r="K1399" s="885">
        <v>0</v>
      </c>
      <c r="L1399" s="886">
        <v>0.456</v>
      </c>
      <c r="M1399" s="882"/>
    </row>
    <row r="1400" spans="1:13" ht="12.75">
      <c r="A1400" s="882"/>
      <c r="B1400" s="882"/>
      <c r="C1400" s="882"/>
      <c r="D1400" s="882"/>
      <c r="E1400" s="883" t="s">
        <v>611</v>
      </c>
      <c r="F1400" s="883" t="s">
        <v>612</v>
      </c>
      <c r="G1400" s="883" t="s">
        <v>2955</v>
      </c>
      <c r="H1400" s="883" t="s">
        <v>2063</v>
      </c>
      <c r="I1400" s="883" t="s">
        <v>2627</v>
      </c>
      <c r="J1400" s="885">
        <v>0</v>
      </c>
      <c r="K1400" s="885">
        <v>0</v>
      </c>
      <c r="L1400" s="886">
        <v>17.669677</v>
      </c>
      <c r="M1400" s="882"/>
    </row>
    <row r="1401" spans="1:13" ht="12.75">
      <c r="A1401" s="882"/>
      <c r="B1401" s="882"/>
      <c r="C1401" s="882"/>
      <c r="D1401" s="882"/>
      <c r="E1401" s="883" t="s">
        <v>611</v>
      </c>
      <c r="F1401" s="883" t="s">
        <v>612</v>
      </c>
      <c r="G1401" s="883" t="s">
        <v>2955</v>
      </c>
      <c r="H1401" s="883" t="s">
        <v>2063</v>
      </c>
      <c r="I1401" s="883" t="s">
        <v>1079</v>
      </c>
      <c r="J1401" s="885">
        <v>0</v>
      </c>
      <c r="K1401" s="885">
        <v>0</v>
      </c>
      <c r="L1401" s="886">
        <v>53.042</v>
      </c>
      <c r="M1401" s="882"/>
    </row>
    <row r="1402" spans="1:13" ht="12.75">
      <c r="A1402" s="882"/>
      <c r="B1402" s="882"/>
      <c r="C1402" s="882"/>
      <c r="D1402" s="882"/>
      <c r="E1402" s="883" t="s">
        <v>611</v>
      </c>
      <c r="F1402" s="883" t="s">
        <v>612</v>
      </c>
      <c r="G1402" s="883" t="s">
        <v>2955</v>
      </c>
      <c r="H1402" s="883" t="s">
        <v>2063</v>
      </c>
      <c r="I1402" s="883" t="s">
        <v>2538</v>
      </c>
      <c r="J1402" s="885">
        <v>0</v>
      </c>
      <c r="K1402" s="885">
        <v>1.527</v>
      </c>
      <c r="L1402" s="886">
        <v>1.527</v>
      </c>
      <c r="M1402" s="882"/>
    </row>
    <row r="1403" spans="1:13" ht="12.75">
      <c r="A1403" s="882"/>
      <c r="B1403" s="882"/>
      <c r="C1403" s="882"/>
      <c r="D1403" s="882"/>
      <c r="E1403" s="883" t="s">
        <v>611</v>
      </c>
      <c r="F1403" s="883" t="s">
        <v>612</v>
      </c>
      <c r="G1403" s="883" t="s">
        <v>2955</v>
      </c>
      <c r="H1403" s="883" t="s">
        <v>2063</v>
      </c>
      <c r="I1403" s="883" t="s">
        <v>2564</v>
      </c>
      <c r="J1403" s="885">
        <v>0</v>
      </c>
      <c r="K1403" s="885">
        <v>49.672</v>
      </c>
      <c r="L1403" s="886">
        <v>49.672</v>
      </c>
      <c r="M1403" s="882"/>
    </row>
    <row r="1404" spans="1:13" ht="12.75">
      <c r="A1404" s="882"/>
      <c r="B1404" s="882"/>
      <c r="C1404" s="882"/>
      <c r="D1404" s="882"/>
      <c r="E1404" s="883" t="s">
        <v>613</v>
      </c>
      <c r="F1404" s="883" t="s">
        <v>614</v>
      </c>
      <c r="G1404" s="883" t="s">
        <v>2955</v>
      </c>
      <c r="H1404" s="883" t="s">
        <v>2063</v>
      </c>
      <c r="I1404" s="883" t="s">
        <v>2538</v>
      </c>
      <c r="J1404" s="885">
        <v>0</v>
      </c>
      <c r="K1404" s="885">
        <v>1.239</v>
      </c>
      <c r="L1404" s="886">
        <v>1.23865434</v>
      </c>
      <c r="M1404" s="882"/>
    </row>
    <row r="1405" spans="1:13" ht="12.75">
      <c r="A1405" s="882"/>
      <c r="B1405" s="882"/>
      <c r="C1405" s="882"/>
      <c r="D1405" s="882"/>
      <c r="E1405" s="883" t="s">
        <v>615</v>
      </c>
      <c r="F1405" s="883" t="s">
        <v>616</v>
      </c>
      <c r="G1405" s="883" t="s">
        <v>2955</v>
      </c>
      <c r="H1405" s="883" t="s">
        <v>2063</v>
      </c>
      <c r="I1405" s="883" t="s">
        <v>2627</v>
      </c>
      <c r="J1405" s="885">
        <v>0</v>
      </c>
      <c r="K1405" s="885">
        <v>0</v>
      </c>
      <c r="L1405" s="886">
        <v>10.26256</v>
      </c>
      <c r="M1405" s="882"/>
    </row>
    <row r="1406" spans="1:13" ht="12.75">
      <c r="A1406" s="882"/>
      <c r="B1406" s="882"/>
      <c r="C1406" s="882"/>
      <c r="D1406" s="882"/>
      <c r="E1406" s="883" t="s">
        <v>617</v>
      </c>
      <c r="F1406" s="883" t="s">
        <v>618</v>
      </c>
      <c r="G1406" s="883" t="s">
        <v>95</v>
      </c>
      <c r="H1406" s="883" t="s">
        <v>2063</v>
      </c>
      <c r="I1406" s="883" t="s">
        <v>2564</v>
      </c>
      <c r="J1406" s="885">
        <v>0</v>
      </c>
      <c r="K1406" s="885">
        <v>5.202</v>
      </c>
      <c r="L1406" s="886">
        <v>5.20160567</v>
      </c>
      <c r="M1406" s="882"/>
    </row>
    <row r="1407" spans="1:13" ht="12.75">
      <c r="A1407" s="882"/>
      <c r="B1407" s="882"/>
      <c r="C1407" s="882"/>
      <c r="D1407" s="882"/>
      <c r="E1407" s="883" t="s">
        <v>617</v>
      </c>
      <c r="F1407" s="883" t="s">
        <v>618</v>
      </c>
      <c r="G1407" s="883" t="s">
        <v>95</v>
      </c>
      <c r="H1407" s="883" t="s">
        <v>2063</v>
      </c>
      <c r="I1407" s="883" t="s">
        <v>2842</v>
      </c>
      <c r="J1407" s="885">
        <v>0</v>
      </c>
      <c r="K1407" s="885">
        <v>0.285</v>
      </c>
      <c r="L1407" s="886">
        <v>0.03283975</v>
      </c>
      <c r="M1407" s="882"/>
    </row>
    <row r="1408" spans="1:13" ht="12.75">
      <c r="A1408" s="882"/>
      <c r="B1408" s="882"/>
      <c r="C1408" s="882"/>
      <c r="D1408" s="882"/>
      <c r="E1408" s="883" t="s">
        <v>617</v>
      </c>
      <c r="F1408" s="883" t="s">
        <v>618</v>
      </c>
      <c r="G1408" s="883" t="s">
        <v>95</v>
      </c>
      <c r="H1408" s="883" t="s">
        <v>2063</v>
      </c>
      <c r="I1408" s="883" t="s">
        <v>2538</v>
      </c>
      <c r="J1408" s="885">
        <v>0</v>
      </c>
      <c r="K1408" s="885">
        <v>1.646</v>
      </c>
      <c r="L1408" s="886">
        <v>1.64593041</v>
      </c>
      <c r="M1408" s="882"/>
    </row>
    <row r="1409" spans="1:13" ht="12.75">
      <c r="A1409" s="882"/>
      <c r="B1409" s="882"/>
      <c r="C1409" s="882"/>
      <c r="D1409" s="882"/>
      <c r="E1409" s="883" t="s">
        <v>617</v>
      </c>
      <c r="F1409" s="883" t="s">
        <v>618</v>
      </c>
      <c r="G1409" s="883" t="s">
        <v>95</v>
      </c>
      <c r="H1409" s="883" t="s">
        <v>2063</v>
      </c>
      <c r="I1409" s="883" t="s">
        <v>2841</v>
      </c>
      <c r="J1409" s="885">
        <v>0</v>
      </c>
      <c r="K1409" s="885">
        <v>0.05</v>
      </c>
      <c r="L1409" s="886">
        <v>0.00579557</v>
      </c>
      <c r="M1409" s="882"/>
    </row>
    <row r="1410" spans="1:13" ht="12.75">
      <c r="A1410" s="882"/>
      <c r="B1410" s="882"/>
      <c r="C1410" s="882"/>
      <c r="D1410" s="882"/>
      <c r="E1410" s="883" t="s">
        <v>619</v>
      </c>
      <c r="F1410" s="883" t="s">
        <v>620</v>
      </c>
      <c r="G1410" s="883" t="s">
        <v>95</v>
      </c>
      <c r="H1410" s="883" t="s">
        <v>2063</v>
      </c>
      <c r="I1410" s="883" t="s">
        <v>2841</v>
      </c>
      <c r="J1410" s="885">
        <v>0</v>
      </c>
      <c r="K1410" s="885">
        <v>0.024</v>
      </c>
      <c r="L1410" s="886">
        <v>0.01806034</v>
      </c>
      <c r="M1410" s="882"/>
    </row>
    <row r="1411" spans="1:13" ht="12.75">
      <c r="A1411" s="882"/>
      <c r="B1411" s="882"/>
      <c r="C1411" s="882"/>
      <c r="D1411" s="882"/>
      <c r="E1411" s="883" t="s">
        <v>619</v>
      </c>
      <c r="F1411" s="883" t="s">
        <v>620</v>
      </c>
      <c r="G1411" s="883" t="s">
        <v>95</v>
      </c>
      <c r="H1411" s="883" t="s">
        <v>2063</v>
      </c>
      <c r="I1411" s="883" t="s">
        <v>2538</v>
      </c>
      <c r="J1411" s="885">
        <v>0</v>
      </c>
      <c r="K1411" s="885">
        <v>0.624</v>
      </c>
      <c r="L1411" s="886">
        <v>0.584786</v>
      </c>
      <c r="M1411" s="882"/>
    </row>
    <row r="1412" spans="1:13" ht="12.75">
      <c r="A1412" s="882"/>
      <c r="B1412" s="882"/>
      <c r="C1412" s="882"/>
      <c r="D1412" s="882"/>
      <c r="E1412" s="883" t="s">
        <v>619</v>
      </c>
      <c r="F1412" s="883" t="s">
        <v>620</v>
      </c>
      <c r="G1412" s="883" t="s">
        <v>95</v>
      </c>
      <c r="H1412" s="883" t="s">
        <v>2063</v>
      </c>
      <c r="I1412" s="883" t="s">
        <v>2842</v>
      </c>
      <c r="J1412" s="885">
        <v>0</v>
      </c>
      <c r="K1412" s="885">
        <v>0.139</v>
      </c>
      <c r="L1412" s="886">
        <v>0.1023396</v>
      </c>
      <c r="M1412" s="882"/>
    </row>
    <row r="1413" spans="1:13" ht="12.75">
      <c r="A1413" s="882"/>
      <c r="B1413" s="882"/>
      <c r="C1413" s="882"/>
      <c r="D1413" s="882"/>
      <c r="E1413" s="883" t="s">
        <v>619</v>
      </c>
      <c r="F1413" s="883" t="s">
        <v>620</v>
      </c>
      <c r="G1413" s="883" t="s">
        <v>95</v>
      </c>
      <c r="H1413" s="883" t="s">
        <v>2063</v>
      </c>
      <c r="I1413" s="883" t="s">
        <v>2564</v>
      </c>
      <c r="J1413" s="885">
        <v>0</v>
      </c>
      <c r="K1413" s="885">
        <v>3.533</v>
      </c>
      <c r="L1413" s="886">
        <v>3.31</v>
      </c>
      <c r="M1413" s="882"/>
    </row>
    <row r="1414" spans="1:13" ht="12.75">
      <c r="A1414" s="882"/>
      <c r="B1414" s="882"/>
      <c r="C1414" s="882"/>
      <c r="D1414" s="882"/>
      <c r="E1414" s="883" t="s">
        <v>621</v>
      </c>
      <c r="F1414" s="883" t="s">
        <v>622</v>
      </c>
      <c r="G1414" s="883" t="s">
        <v>95</v>
      </c>
      <c r="H1414" s="883" t="s">
        <v>2063</v>
      </c>
      <c r="I1414" s="883" t="s">
        <v>2564</v>
      </c>
      <c r="J1414" s="885">
        <v>0</v>
      </c>
      <c r="K1414" s="885">
        <v>2.082</v>
      </c>
      <c r="L1414" s="886">
        <v>2.045</v>
      </c>
      <c r="M1414" s="882"/>
    </row>
    <row r="1415" spans="1:13" ht="12.75">
      <c r="A1415" s="882"/>
      <c r="B1415" s="882"/>
      <c r="C1415" s="882"/>
      <c r="D1415" s="882"/>
      <c r="E1415" s="883" t="s">
        <v>621</v>
      </c>
      <c r="F1415" s="883" t="s">
        <v>622</v>
      </c>
      <c r="G1415" s="883" t="s">
        <v>95</v>
      </c>
      <c r="H1415" s="883" t="s">
        <v>2063</v>
      </c>
      <c r="I1415" s="883" t="s">
        <v>2841</v>
      </c>
      <c r="J1415" s="885">
        <v>0</v>
      </c>
      <c r="K1415" s="885">
        <v>0.016</v>
      </c>
      <c r="L1415" s="886">
        <v>0.00243101</v>
      </c>
      <c r="M1415" s="882"/>
    </row>
    <row r="1416" spans="1:13" ht="12.75">
      <c r="A1416" s="882"/>
      <c r="B1416" s="882"/>
      <c r="C1416" s="882"/>
      <c r="D1416" s="882"/>
      <c r="E1416" s="883" t="s">
        <v>621</v>
      </c>
      <c r="F1416" s="883" t="s">
        <v>622</v>
      </c>
      <c r="G1416" s="883" t="s">
        <v>95</v>
      </c>
      <c r="H1416" s="883" t="s">
        <v>2063</v>
      </c>
      <c r="I1416" s="883" t="s">
        <v>2842</v>
      </c>
      <c r="J1416" s="885">
        <v>0</v>
      </c>
      <c r="K1416" s="885">
        <v>0.089</v>
      </c>
      <c r="L1416" s="886">
        <v>0.01377572</v>
      </c>
      <c r="M1416" s="882"/>
    </row>
    <row r="1417" spans="1:13" ht="12.75">
      <c r="A1417" s="882"/>
      <c r="B1417" s="882"/>
      <c r="C1417" s="882"/>
      <c r="D1417" s="882"/>
      <c r="E1417" s="883" t="s">
        <v>621</v>
      </c>
      <c r="F1417" s="883" t="s">
        <v>622</v>
      </c>
      <c r="G1417" s="883" t="s">
        <v>95</v>
      </c>
      <c r="H1417" s="883" t="s">
        <v>2063</v>
      </c>
      <c r="I1417" s="883" t="s">
        <v>2538</v>
      </c>
      <c r="J1417" s="885">
        <v>0</v>
      </c>
      <c r="K1417" s="885">
        <v>0.368</v>
      </c>
      <c r="L1417" s="886">
        <v>0.361702</v>
      </c>
      <c r="M1417" s="882"/>
    </row>
    <row r="1418" spans="1:13" ht="12.75">
      <c r="A1418" s="882"/>
      <c r="B1418" s="882"/>
      <c r="C1418" s="882"/>
      <c r="D1418" s="882"/>
      <c r="E1418" s="883" t="s">
        <v>623</v>
      </c>
      <c r="F1418" s="883" t="s">
        <v>624</v>
      </c>
      <c r="G1418" s="883" t="s">
        <v>95</v>
      </c>
      <c r="H1418" s="883" t="s">
        <v>2063</v>
      </c>
      <c r="I1418" s="883" t="s">
        <v>2841</v>
      </c>
      <c r="J1418" s="885">
        <v>0</v>
      </c>
      <c r="K1418" s="885">
        <v>0.055</v>
      </c>
      <c r="L1418" s="886">
        <v>0.02260129</v>
      </c>
      <c r="M1418" s="882"/>
    </row>
    <row r="1419" spans="1:13" ht="12.75">
      <c r="A1419" s="882"/>
      <c r="B1419" s="882"/>
      <c r="C1419" s="882"/>
      <c r="D1419" s="882"/>
      <c r="E1419" s="883" t="s">
        <v>623</v>
      </c>
      <c r="F1419" s="883" t="s">
        <v>624</v>
      </c>
      <c r="G1419" s="883" t="s">
        <v>95</v>
      </c>
      <c r="H1419" s="883" t="s">
        <v>2063</v>
      </c>
      <c r="I1419" s="883" t="s">
        <v>2842</v>
      </c>
      <c r="J1419" s="885">
        <v>0</v>
      </c>
      <c r="K1419" s="885">
        <v>0.309</v>
      </c>
      <c r="L1419" s="886">
        <v>0.12806597</v>
      </c>
      <c r="M1419" s="882"/>
    </row>
    <row r="1420" spans="1:13" ht="12.75">
      <c r="A1420" s="882"/>
      <c r="B1420" s="882"/>
      <c r="C1420" s="882"/>
      <c r="D1420" s="882"/>
      <c r="E1420" s="883" t="s">
        <v>623</v>
      </c>
      <c r="F1420" s="883" t="s">
        <v>624</v>
      </c>
      <c r="G1420" s="883" t="s">
        <v>95</v>
      </c>
      <c r="H1420" s="883" t="s">
        <v>2063</v>
      </c>
      <c r="I1420" s="883" t="s">
        <v>2538</v>
      </c>
      <c r="J1420" s="885">
        <v>0</v>
      </c>
      <c r="K1420" s="885">
        <v>0.664</v>
      </c>
      <c r="L1420" s="886">
        <v>0</v>
      </c>
      <c r="M1420" s="882"/>
    </row>
    <row r="1421" spans="1:13" ht="12.75">
      <c r="A1421" s="882"/>
      <c r="B1421" s="882"/>
      <c r="C1421" s="882"/>
      <c r="D1421" s="882"/>
      <c r="E1421" s="883" t="s">
        <v>623</v>
      </c>
      <c r="F1421" s="883" t="s">
        <v>624</v>
      </c>
      <c r="G1421" s="883" t="s">
        <v>95</v>
      </c>
      <c r="H1421" s="883" t="s">
        <v>2063</v>
      </c>
      <c r="I1421" s="883" t="s">
        <v>2564</v>
      </c>
      <c r="J1421" s="885">
        <v>0</v>
      </c>
      <c r="K1421" s="885">
        <v>3.763</v>
      </c>
      <c r="L1421" s="886">
        <v>0</v>
      </c>
      <c r="M1421" s="882"/>
    </row>
    <row r="1422" spans="1:13" ht="12.75">
      <c r="A1422" s="882"/>
      <c r="B1422" s="882"/>
      <c r="C1422" s="882"/>
      <c r="D1422" s="882"/>
      <c r="E1422" s="883" t="s">
        <v>625</v>
      </c>
      <c r="F1422" s="883" t="s">
        <v>626</v>
      </c>
      <c r="G1422" s="883" t="s">
        <v>145</v>
      </c>
      <c r="H1422" s="883" t="s">
        <v>2063</v>
      </c>
      <c r="I1422" s="883" t="s">
        <v>2627</v>
      </c>
      <c r="J1422" s="885">
        <v>0</v>
      </c>
      <c r="K1422" s="885">
        <v>0</v>
      </c>
      <c r="L1422" s="886">
        <v>0.17731</v>
      </c>
      <c r="M1422" s="882"/>
    </row>
    <row r="1423" spans="1:13" ht="12.75">
      <c r="A1423" s="882"/>
      <c r="B1423" s="882"/>
      <c r="C1423" s="882"/>
      <c r="D1423" s="882"/>
      <c r="E1423" s="883" t="s">
        <v>627</v>
      </c>
      <c r="F1423" s="883" t="s">
        <v>628</v>
      </c>
      <c r="G1423" s="883" t="s">
        <v>2955</v>
      </c>
      <c r="H1423" s="883" t="s">
        <v>2063</v>
      </c>
      <c r="I1423" s="883" t="s">
        <v>2627</v>
      </c>
      <c r="J1423" s="885">
        <v>0</v>
      </c>
      <c r="K1423" s="885">
        <v>0</v>
      </c>
      <c r="L1423" s="886">
        <v>3.278829</v>
      </c>
      <c r="M1423" s="882"/>
    </row>
    <row r="1424" spans="1:13" ht="12.75">
      <c r="A1424" s="882"/>
      <c r="B1424" s="882"/>
      <c r="C1424" s="882"/>
      <c r="D1424" s="882"/>
      <c r="E1424" s="883" t="s">
        <v>629</v>
      </c>
      <c r="F1424" s="883" t="s">
        <v>630</v>
      </c>
      <c r="G1424" s="883" t="s">
        <v>2955</v>
      </c>
      <c r="H1424" s="883" t="s">
        <v>2063</v>
      </c>
      <c r="I1424" s="883" t="s">
        <v>2538</v>
      </c>
      <c r="J1424" s="885">
        <v>0</v>
      </c>
      <c r="K1424" s="885">
        <v>0.001</v>
      </c>
      <c r="L1424" s="886">
        <v>0</v>
      </c>
      <c r="M1424" s="882"/>
    </row>
    <row r="1425" spans="1:13" ht="12.75">
      <c r="A1425" s="882"/>
      <c r="B1425" s="882"/>
      <c r="C1425" s="882"/>
      <c r="D1425" s="882"/>
      <c r="E1425" s="883" t="s">
        <v>631</v>
      </c>
      <c r="F1425" s="883" t="s">
        <v>632</v>
      </c>
      <c r="G1425" s="883" t="s">
        <v>2955</v>
      </c>
      <c r="H1425" s="883" t="s">
        <v>2063</v>
      </c>
      <c r="I1425" s="883" t="s">
        <v>2841</v>
      </c>
      <c r="J1425" s="885">
        <v>0</v>
      </c>
      <c r="K1425" s="885">
        <v>0.021</v>
      </c>
      <c r="L1425" s="886">
        <v>0.019992</v>
      </c>
      <c r="M1425" s="882"/>
    </row>
    <row r="1426" spans="1:13" ht="12.75">
      <c r="A1426" s="882"/>
      <c r="B1426" s="882"/>
      <c r="C1426" s="882"/>
      <c r="D1426" s="882"/>
      <c r="E1426" s="883" t="s">
        <v>631</v>
      </c>
      <c r="F1426" s="883" t="s">
        <v>632</v>
      </c>
      <c r="G1426" s="883" t="s">
        <v>2955</v>
      </c>
      <c r="H1426" s="883" t="s">
        <v>2063</v>
      </c>
      <c r="I1426" s="883" t="s">
        <v>2538</v>
      </c>
      <c r="J1426" s="885">
        <v>0</v>
      </c>
      <c r="K1426" s="885">
        <v>11.779</v>
      </c>
      <c r="L1426" s="886">
        <v>10.595099</v>
      </c>
      <c r="M1426" s="882"/>
    </row>
    <row r="1427" spans="1:13" ht="12.75">
      <c r="A1427" s="882"/>
      <c r="B1427" s="882"/>
      <c r="C1427" s="882"/>
      <c r="D1427" s="882"/>
      <c r="E1427" s="883" t="s">
        <v>633</v>
      </c>
      <c r="F1427" s="883" t="s">
        <v>585</v>
      </c>
      <c r="G1427" s="883" t="s">
        <v>93</v>
      </c>
      <c r="H1427" s="883" t="s">
        <v>2063</v>
      </c>
      <c r="I1427" s="883" t="s">
        <v>2538</v>
      </c>
      <c r="J1427" s="885">
        <v>0</v>
      </c>
      <c r="K1427" s="885">
        <v>35.526</v>
      </c>
      <c r="L1427" s="886">
        <v>35.52390053</v>
      </c>
      <c r="M1427" s="882"/>
    </row>
    <row r="1428" spans="1:13" ht="12.75">
      <c r="A1428" s="882"/>
      <c r="B1428" s="882"/>
      <c r="C1428" s="882"/>
      <c r="D1428" s="882"/>
      <c r="E1428" s="883" t="s">
        <v>634</v>
      </c>
      <c r="F1428" s="883" t="s">
        <v>585</v>
      </c>
      <c r="G1428" s="883" t="s">
        <v>91</v>
      </c>
      <c r="H1428" s="883" t="s">
        <v>2063</v>
      </c>
      <c r="I1428" s="883" t="s">
        <v>2538</v>
      </c>
      <c r="J1428" s="885">
        <v>0</v>
      </c>
      <c r="K1428" s="885">
        <v>28.249</v>
      </c>
      <c r="L1428" s="886">
        <v>28.24768447</v>
      </c>
      <c r="M1428" s="882"/>
    </row>
    <row r="1429" spans="1:13" ht="12.75">
      <c r="A1429" s="882"/>
      <c r="B1429" s="882"/>
      <c r="C1429" s="882"/>
      <c r="D1429" s="882"/>
      <c r="E1429" s="883" t="s">
        <v>635</v>
      </c>
      <c r="F1429" s="883" t="s">
        <v>585</v>
      </c>
      <c r="G1429" s="883" t="s">
        <v>158</v>
      </c>
      <c r="H1429" s="883" t="s">
        <v>2063</v>
      </c>
      <c r="I1429" s="883" t="s">
        <v>2538</v>
      </c>
      <c r="J1429" s="885">
        <v>0</v>
      </c>
      <c r="K1429" s="885">
        <v>16.231</v>
      </c>
      <c r="L1429" s="886">
        <v>16.22986658</v>
      </c>
      <c r="M1429" s="882"/>
    </row>
    <row r="1430" spans="1:13" ht="12.75">
      <c r="A1430" s="882"/>
      <c r="B1430" s="882"/>
      <c r="C1430" s="882"/>
      <c r="D1430" s="882"/>
      <c r="E1430" s="883" t="s">
        <v>636</v>
      </c>
      <c r="F1430" s="883" t="s">
        <v>585</v>
      </c>
      <c r="G1430" s="883" t="s">
        <v>145</v>
      </c>
      <c r="H1430" s="883" t="s">
        <v>2063</v>
      </c>
      <c r="I1430" s="883" t="s">
        <v>2538</v>
      </c>
      <c r="J1430" s="885">
        <v>0</v>
      </c>
      <c r="K1430" s="885">
        <v>27.845</v>
      </c>
      <c r="L1430" s="886">
        <v>27.84454851</v>
      </c>
      <c r="M1430" s="882"/>
    </row>
    <row r="1431" spans="1:13" ht="12.75">
      <c r="A1431" s="882"/>
      <c r="B1431" s="882"/>
      <c r="C1431" s="882"/>
      <c r="D1431" s="882"/>
      <c r="E1431" s="883" t="s">
        <v>637</v>
      </c>
      <c r="F1431" s="883" t="s">
        <v>638</v>
      </c>
      <c r="G1431" s="883" t="s">
        <v>95</v>
      </c>
      <c r="H1431" s="883" t="s">
        <v>2063</v>
      </c>
      <c r="I1431" s="883" t="s">
        <v>2538</v>
      </c>
      <c r="J1431" s="885">
        <v>0</v>
      </c>
      <c r="K1431" s="885">
        <v>31.967</v>
      </c>
      <c r="L1431" s="886">
        <v>31.96617871</v>
      </c>
      <c r="M1431" s="882"/>
    </row>
    <row r="1432" spans="1:13" ht="12.75">
      <c r="A1432" s="882"/>
      <c r="B1432" s="882"/>
      <c r="C1432" s="882"/>
      <c r="D1432" s="882"/>
      <c r="E1432" s="883" t="s">
        <v>639</v>
      </c>
      <c r="F1432" s="883" t="s">
        <v>585</v>
      </c>
      <c r="G1432" s="883" t="s">
        <v>132</v>
      </c>
      <c r="H1432" s="883" t="s">
        <v>2063</v>
      </c>
      <c r="I1432" s="883" t="s">
        <v>2538</v>
      </c>
      <c r="J1432" s="885">
        <v>0</v>
      </c>
      <c r="K1432" s="885">
        <v>23.227</v>
      </c>
      <c r="L1432" s="886">
        <v>23.22197016</v>
      </c>
      <c r="M1432" s="882"/>
    </row>
    <row r="1433" spans="1:13" ht="12.75">
      <c r="A1433" s="882"/>
      <c r="B1433" s="882"/>
      <c r="C1433" s="882"/>
      <c r="D1433" s="882"/>
      <c r="E1433" s="883" t="s">
        <v>640</v>
      </c>
      <c r="F1433" s="883" t="s">
        <v>585</v>
      </c>
      <c r="G1433" s="883" t="s">
        <v>121</v>
      </c>
      <c r="H1433" s="883" t="s">
        <v>2063</v>
      </c>
      <c r="I1433" s="883" t="s">
        <v>2538</v>
      </c>
      <c r="J1433" s="885">
        <v>0</v>
      </c>
      <c r="K1433" s="885">
        <v>42.917</v>
      </c>
      <c r="L1433" s="886">
        <v>42.9163374</v>
      </c>
      <c r="M1433" s="882"/>
    </row>
    <row r="1434" spans="1:13" ht="12.75">
      <c r="A1434" s="882"/>
      <c r="B1434" s="882"/>
      <c r="C1434" s="882"/>
      <c r="D1434" s="882"/>
      <c r="E1434" s="883" t="s">
        <v>641</v>
      </c>
      <c r="F1434" s="883" t="s">
        <v>585</v>
      </c>
      <c r="G1434" s="883" t="s">
        <v>110</v>
      </c>
      <c r="H1434" s="883" t="s">
        <v>2063</v>
      </c>
      <c r="I1434" s="883" t="s">
        <v>2538</v>
      </c>
      <c r="J1434" s="885">
        <v>0</v>
      </c>
      <c r="K1434" s="885">
        <v>38.82</v>
      </c>
      <c r="L1434" s="886">
        <v>38.81970132</v>
      </c>
      <c r="M1434" s="882"/>
    </row>
    <row r="1435" spans="1:13" ht="12.75">
      <c r="A1435" s="882"/>
      <c r="B1435" s="882"/>
      <c r="C1435" s="882"/>
      <c r="D1435" s="882"/>
      <c r="E1435" s="883" t="s">
        <v>642</v>
      </c>
      <c r="F1435" s="883" t="s">
        <v>643</v>
      </c>
      <c r="G1435" s="883" t="s">
        <v>2955</v>
      </c>
      <c r="H1435" s="883" t="s">
        <v>2063</v>
      </c>
      <c r="I1435" s="883" t="s">
        <v>2842</v>
      </c>
      <c r="J1435" s="885">
        <v>0</v>
      </c>
      <c r="K1435" s="885">
        <v>1.592</v>
      </c>
      <c r="L1435" s="886">
        <v>1.0963575</v>
      </c>
      <c r="M1435" s="882"/>
    </row>
    <row r="1436" spans="1:13" ht="12.75">
      <c r="A1436" s="882"/>
      <c r="B1436" s="882"/>
      <c r="C1436" s="882"/>
      <c r="D1436" s="882"/>
      <c r="E1436" s="883" t="s">
        <v>642</v>
      </c>
      <c r="F1436" s="883" t="s">
        <v>643</v>
      </c>
      <c r="G1436" s="883" t="s">
        <v>2955</v>
      </c>
      <c r="H1436" s="883" t="s">
        <v>2063</v>
      </c>
      <c r="I1436" s="883" t="s">
        <v>2564</v>
      </c>
      <c r="J1436" s="885">
        <v>0</v>
      </c>
      <c r="K1436" s="885">
        <v>11.055</v>
      </c>
      <c r="L1436" s="886">
        <v>6.0781624</v>
      </c>
      <c r="M1436" s="882"/>
    </row>
    <row r="1437" spans="1:13" ht="12.75">
      <c r="A1437" s="882"/>
      <c r="B1437" s="882"/>
      <c r="C1437" s="882"/>
      <c r="D1437" s="882"/>
      <c r="E1437" s="883" t="s">
        <v>642</v>
      </c>
      <c r="F1437" s="883" t="s">
        <v>643</v>
      </c>
      <c r="G1437" s="883" t="s">
        <v>2955</v>
      </c>
      <c r="H1437" s="883" t="s">
        <v>2063</v>
      </c>
      <c r="I1437" s="883" t="s">
        <v>2841</v>
      </c>
      <c r="J1437" s="885">
        <v>0</v>
      </c>
      <c r="K1437" s="885">
        <v>0.531</v>
      </c>
      <c r="L1437" s="886">
        <v>0.3654525</v>
      </c>
      <c r="M1437" s="882"/>
    </row>
    <row r="1438" spans="1:13" ht="12.75">
      <c r="A1438" s="882"/>
      <c r="B1438" s="882"/>
      <c r="C1438" s="882"/>
      <c r="D1438" s="882"/>
      <c r="E1438" s="883" t="s">
        <v>642</v>
      </c>
      <c r="F1438" s="883" t="s">
        <v>643</v>
      </c>
      <c r="G1438" s="883" t="s">
        <v>2955</v>
      </c>
      <c r="H1438" s="883" t="s">
        <v>2063</v>
      </c>
      <c r="I1438" s="883" t="s">
        <v>2538</v>
      </c>
      <c r="J1438" s="885">
        <v>0</v>
      </c>
      <c r="K1438" s="885">
        <v>3.618</v>
      </c>
      <c r="L1438" s="886">
        <v>2.02605414</v>
      </c>
      <c r="M1438" s="882"/>
    </row>
    <row r="1439" spans="1:13" ht="12.75">
      <c r="A1439" s="882"/>
      <c r="B1439" s="882"/>
      <c r="C1439" s="882"/>
      <c r="D1439" s="882"/>
      <c r="E1439" s="883" t="s">
        <v>644</v>
      </c>
      <c r="F1439" s="883" t="s">
        <v>645</v>
      </c>
      <c r="G1439" s="883" t="s">
        <v>2955</v>
      </c>
      <c r="H1439" s="883" t="s">
        <v>2063</v>
      </c>
      <c r="I1439" s="883" t="s">
        <v>2538</v>
      </c>
      <c r="J1439" s="885">
        <v>0</v>
      </c>
      <c r="K1439" s="885">
        <v>0.75</v>
      </c>
      <c r="L1439" s="886">
        <v>0.744</v>
      </c>
      <c r="M1439" s="882"/>
    </row>
    <row r="1440" spans="1:13" ht="12.75">
      <c r="A1440" s="882"/>
      <c r="B1440" s="882"/>
      <c r="C1440" s="882"/>
      <c r="D1440" s="882"/>
      <c r="E1440" s="883" t="s">
        <v>644</v>
      </c>
      <c r="F1440" s="883" t="s">
        <v>645</v>
      </c>
      <c r="G1440" s="883" t="s">
        <v>2955</v>
      </c>
      <c r="H1440" s="883" t="s">
        <v>2063</v>
      </c>
      <c r="I1440" s="883" t="s">
        <v>2564</v>
      </c>
      <c r="J1440" s="885">
        <v>0</v>
      </c>
      <c r="K1440" s="885">
        <v>2.25</v>
      </c>
      <c r="L1440" s="886">
        <v>2.2280845</v>
      </c>
      <c r="M1440" s="882"/>
    </row>
    <row r="1441" spans="1:13" ht="12.75">
      <c r="A1441" s="882"/>
      <c r="B1441" s="882"/>
      <c r="C1441" s="882"/>
      <c r="D1441" s="882"/>
      <c r="E1441" s="883" t="s">
        <v>646</v>
      </c>
      <c r="F1441" s="883" t="s">
        <v>647</v>
      </c>
      <c r="G1441" s="883" t="s">
        <v>145</v>
      </c>
      <c r="H1441" s="883" t="s">
        <v>2063</v>
      </c>
      <c r="I1441" s="883" t="s">
        <v>2627</v>
      </c>
      <c r="J1441" s="885">
        <v>0</v>
      </c>
      <c r="K1441" s="885">
        <v>0</v>
      </c>
      <c r="L1441" s="886">
        <v>0.570962</v>
      </c>
      <c r="M1441" s="882"/>
    </row>
    <row r="1442" spans="1:13" ht="12.75">
      <c r="A1442" s="882"/>
      <c r="B1442" s="882"/>
      <c r="C1442" s="882"/>
      <c r="D1442" s="882"/>
      <c r="E1442" s="883" t="s">
        <v>648</v>
      </c>
      <c r="F1442" s="883" t="s">
        <v>649</v>
      </c>
      <c r="G1442" s="883" t="s">
        <v>93</v>
      </c>
      <c r="H1442" s="883" t="s">
        <v>2063</v>
      </c>
      <c r="I1442" s="883" t="s">
        <v>2538</v>
      </c>
      <c r="J1442" s="885">
        <v>0</v>
      </c>
      <c r="K1442" s="885">
        <v>4.438</v>
      </c>
      <c r="L1442" s="886">
        <v>4.4370816</v>
      </c>
      <c r="M1442" s="882"/>
    </row>
    <row r="1443" spans="1:13" ht="12.75">
      <c r="A1443" s="882"/>
      <c r="B1443" s="882"/>
      <c r="C1443" s="882"/>
      <c r="D1443" s="882"/>
      <c r="E1443" s="883" t="s">
        <v>650</v>
      </c>
      <c r="F1443" s="883" t="s">
        <v>649</v>
      </c>
      <c r="G1443" s="883" t="s">
        <v>91</v>
      </c>
      <c r="H1443" s="883" t="s">
        <v>2063</v>
      </c>
      <c r="I1443" s="883" t="s">
        <v>2538</v>
      </c>
      <c r="J1443" s="885">
        <v>0</v>
      </c>
      <c r="K1443" s="885">
        <v>4.438</v>
      </c>
      <c r="L1443" s="886">
        <v>4.4370816</v>
      </c>
      <c r="M1443" s="882"/>
    </row>
    <row r="1444" spans="1:13" ht="12.75">
      <c r="A1444" s="882"/>
      <c r="B1444" s="882"/>
      <c r="C1444" s="882"/>
      <c r="D1444" s="882"/>
      <c r="E1444" s="883" t="s">
        <v>651</v>
      </c>
      <c r="F1444" s="883" t="s">
        <v>649</v>
      </c>
      <c r="G1444" s="883" t="s">
        <v>158</v>
      </c>
      <c r="H1444" s="883" t="s">
        <v>2063</v>
      </c>
      <c r="I1444" s="883" t="s">
        <v>2538</v>
      </c>
      <c r="J1444" s="885">
        <v>0</v>
      </c>
      <c r="K1444" s="885">
        <v>2.663</v>
      </c>
      <c r="L1444" s="886">
        <v>2.66224896</v>
      </c>
      <c r="M1444" s="882"/>
    </row>
    <row r="1445" spans="1:13" ht="12.75">
      <c r="A1445" s="882"/>
      <c r="B1445" s="882"/>
      <c r="C1445" s="882"/>
      <c r="D1445" s="882"/>
      <c r="E1445" s="883" t="s">
        <v>652</v>
      </c>
      <c r="F1445" s="883" t="s">
        <v>649</v>
      </c>
      <c r="G1445" s="883" t="s">
        <v>145</v>
      </c>
      <c r="H1445" s="883" t="s">
        <v>2063</v>
      </c>
      <c r="I1445" s="883" t="s">
        <v>2538</v>
      </c>
      <c r="J1445" s="885">
        <v>0</v>
      </c>
      <c r="K1445" s="885">
        <v>2.663</v>
      </c>
      <c r="L1445" s="886">
        <v>2.66224896</v>
      </c>
      <c r="M1445" s="882"/>
    </row>
    <row r="1446" spans="1:13" ht="12.75">
      <c r="A1446" s="882"/>
      <c r="B1446" s="882"/>
      <c r="C1446" s="882"/>
      <c r="D1446" s="882"/>
      <c r="E1446" s="883" t="s">
        <v>653</v>
      </c>
      <c r="F1446" s="883" t="s">
        <v>649</v>
      </c>
      <c r="G1446" s="883" t="s">
        <v>95</v>
      </c>
      <c r="H1446" s="883" t="s">
        <v>2063</v>
      </c>
      <c r="I1446" s="883" t="s">
        <v>2538</v>
      </c>
      <c r="J1446" s="885">
        <v>0</v>
      </c>
      <c r="K1446" s="885">
        <v>2.663</v>
      </c>
      <c r="L1446" s="886">
        <v>2.66224896</v>
      </c>
      <c r="M1446" s="882"/>
    </row>
    <row r="1447" spans="1:13" ht="12.75">
      <c r="A1447" s="882"/>
      <c r="B1447" s="882"/>
      <c r="C1447" s="882"/>
      <c r="D1447" s="882"/>
      <c r="E1447" s="883" t="s">
        <v>654</v>
      </c>
      <c r="F1447" s="883" t="s">
        <v>649</v>
      </c>
      <c r="G1447" s="883" t="s">
        <v>132</v>
      </c>
      <c r="H1447" s="883" t="s">
        <v>2063</v>
      </c>
      <c r="I1447" s="883" t="s">
        <v>2538</v>
      </c>
      <c r="J1447" s="885">
        <v>0</v>
      </c>
      <c r="K1447" s="885">
        <v>2.663</v>
      </c>
      <c r="L1447" s="886">
        <v>2.66224896</v>
      </c>
      <c r="M1447" s="882"/>
    </row>
    <row r="1448" spans="1:13" ht="12.75">
      <c r="A1448" s="882"/>
      <c r="B1448" s="882"/>
      <c r="C1448" s="882"/>
      <c r="D1448" s="882"/>
      <c r="E1448" s="883" t="s">
        <v>655</v>
      </c>
      <c r="F1448" s="883" t="s">
        <v>649</v>
      </c>
      <c r="G1448" s="883" t="s">
        <v>121</v>
      </c>
      <c r="H1448" s="883" t="s">
        <v>2063</v>
      </c>
      <c r="I1448" s="883" t="s">
        <v>2538</v>
      </c>
      <c r="J1448" s="885">
        <v>0</v>
      </c>
      <c r="K1448" s="885">
        <v>4.438</v>
      </c>
      <c r="L1448" s="886">
        <v>4.4370816</v>
      </c>
      <c r="M1448" s="882"/>
    </row>
    <row r="1449" spans="1:13" ht="12.75">
      <c r="A1449" s="882"/>
      <c r="B1449" s="882"/>
      <c r="C1449" s="882"/>
      <c r="D1449" s="882"/>
      <c r="E1449" s="883" t="s">
        <v>656</v>
      </c>
      <c r="F1449" s="883" t="s">
        <v>649</v>
      </c>
      <c r="G1449" s="883" t="s">
        <v>110</v>
      </c>
      <c r="H1449" s="883" t="s">
        <v>2063</v>
      </c>
      <c r="I1449" s="883" t="s">
        <v>2538</v>
      </c>
      <c r="J1449" s="885">
        <v>0</v>
      </c>
      <c r="K1449" s="885">
        <v>4.438</v>
      </c>
      <c r="L1449" s="886">
        <v>4.4370816</v>
      </c>
      <c r="M1449" s="882"/>
    </row>
    <row r="1450" spans="1:13" ht="12.75">
      <c r="A1450" s="882"/>
      <c r="B1450" s="882"/>
      <c r="C1450" s="882"/>
      <c r="D1450" s="882"/>
      <c r="E1450" s="883" t="s">
        <v>657</v>
      </c>
      <c r="F1450" s="883" t="s">
        <v>649</v>
      </c>
      <c r="G1450" s="883" t="s">
        <v>2955</v>
      </c>
      <c r="H1450" s="883" t="s">
        <v>2063</v>
      </c>
      <c r="I1450" s="883" t="s">
        <v>2538</v>
      </c>
      <c r="J1450" s="885">
        <v>0</v>
      </c>
      <c r="K1450" s="885">
        <v>2.663</v>
      </c>
      <c r="L1450" s="886">
        <v>2.66224896</v>
      </c>
      <c r="M1450" s="882"/>
    </row>
    <row r="1451" spans="1:13" ht="12.75">
      <c r="A1451" s="882"/>
      <c r="B1451" s="882"/>
      <c r="C1451" s="882"/>
      <c r="D1451" s="882"/>
      <c r="E1451" s="883" t="s">
        <v>658</v>
      </c>
      <c r="F1451" s="883" t="s">
        <v>659</v>
      </c>
      <c r="G1451" s="883" t="s">
        <v>2955</v>
      </c>
      <c r="H1451" s="883" t="s">
        <v>2063</v>
      </c>
      <c r="I1451" s="883" t="s">
        <v>2538</v>
      </c>
      <c r="J1451" s="885">
        <v>0</v>
      </c>
      <c r="K1451" s="885">
        <v>0.146</v>
      </c>
      <c r="L1451" s="886">
        <v>0.145596</v>
      </c>
      <c r="M1451" s="882"/>
    </row>
    <row r="1452" spans="1:13" ht="12.75">
      <c r="A1452" s="882"/>
      <c r="B1452" s="882"/>
      <c r="C1452" s="882"/>
      <c r="D1452" s="882"/>
      <c r="E1452" s="883" t="s">
        <v>660</v>
      </c>
      <c r="F1452" s="883" t="s">
        <v>661</v>
      </c>
      <c r="G1452" s="883" t="s">
        <v>121</v>
      </c>
      <c r="H1452" s="883" t="s">
        <v>2063</v>
      </c>
      <c r="I1452" s="883" t="s">
        <v>2627</v>
      </c>
      <c r="J1452" s="885">
        <v>0</v>
      </c>
      <c r="K1452" s="885">
        <v>0</v>
      </c>
      <c r="L1452" s="886">
        <v>0.37506301</v>
      </c>
      <c r="M1452" s="882"/>
    </row>
    <row r="1453" spans="1:13" ht="12.75">
      <c r="A1453" s="882"/>
      <c r="B1453" s="882"/>
      <c r="C1453" s="882"/>
      <c r="D1453" s="882"/>
      <c r="E1453" s="883" t="s">
        <v>662</v>
      </c>
      <c r="F1453" s="883" t="s">
        <v>663</v>
      </c>
      <c r="G1453" s="883" t="s">
        <v>2955</v>
      </c>
      <c r="H1453" s="883" t="s">
        <v>2063</v>
      </c>
      <c r="I1453" s="883" t="s">
        <v>2538</v>
      </c>
      <c r="J1453" s="885">
        <v>0</v>
      </c>
      <c r="K1453" s="885">
        <v>4.998</v>
      </c>
      <c r="L1453" s="886">
        <v>4.99681</v>
      </c>
      <c r="M1453" s="882"/>
    </row>
    <row r="1454" spans="1:13" ht="12.75">
      <c r="A1454" s="882"/>
      <c r="B1454" s="882"/>
      <c r="C1454" s="882"/>
      <c r="D1454" s="882"/>
      <c r="E1454" s="883" t="s">
        <v>664</v>
      </c>
      <c r="F1454" s="883" t="s">
        <v>665</v>
      </c>
      <c r="G1454" s="883" t="s">
        <v>132</v>
      </c>
      <c r="H1454" s="883" t="s">
        <v>2063</v>
      </c>
      <c r="I1454" s="883" t="s">
        <v>2842</v>
      </c>
      <c r="J1454" s="885">
        <v>0</v>
      </c>
      <c r="K1454" s="885">
        <v>1.145</v>
      </c>
      <c r="L1454" s="886">
        <v>0</v>
      </c>
      <c r="M1454" s="882"/>
    </row>
    <row r="1455" spans="1:13" ht="12.75">
      <c r="A1455" s="882"/>
      <c r="B1455" s="882"/>
      <c r="C1455" s="882"/>
      <c r="D1455" s="882"/>
      <c r="E1455" s="883" t="s">
        <v>666</v>
      </c>
      <c r="F1455" s="883" t="s">
        <v>667</v>
      </c>
      <c r="G1455" s="883" t="s">
        <v>2955</v>
      </c>
      <c r="H1455" s="883" t="s">
        <v>2063</v>
      </c>
      <c r="I1455" s="883" t="s">
        <v>2538</v>
      </c>
      <c r="J1455" s="885">
        <v>0</v>
      </c>
      <c r="K1455" s="885">
        <v>3.081</v>
      </c>
      <c r="L1455" s="886">
        <v>3.08012072</v>
      </c>
      <c r="M1455" s="882"/>
    </row>
    <row r="1456" spans="1:13" ht="12.75">
      <c r="A1456" s="882"/>
      <c r="B1456" s="882"/>
      <c r="C1456" s="882"/>
      <c r="D1456" s="882"/>
      <c r="E1456" s="883" t="s">
        <v>668</v>
      </c>
      <c r="F1456" s="883" t="s">
        <v>669</v>
      </c>
      <c r="G1456" s="883" t="s">
        <v>2955</v>
      </c>
      <c r="H1456" s="883" t="s">
        <v>2063</v>
      </c>
      <c r="I1456" s="883" t="s">
        <v>2538</v>
      </c>
      <c r="J1456" s="885">
        <v>0</v>
      </c>
      <c r="K1456" s="885">
        <v>0.917</v>
      </c>
      <c r="L1456" s="886">
        <v>0.916062</v>
      </c>
      <c r="M1456" s="882"/>
    </row>
    <row r="1457" spans="1:13" ht="12.75">
      <c r="A1457" s="882"/>
      <c r="B1457" s="882"/>
      <c r="C1457" s="882"/>
      <c r="D1457" s="882"/>
      <c r="E1457" s="883" t="s">
        <v>670</v>
      </c>
      <c r="F1457" s="883" t="s">
        <v>671</v>
      </c>
      <c r="G1457" s="883" t="s">
        <v>158</v>
      </c>
      <c r="H1457" s="883" t="s">
        <v>2063</v>
      </c>
      <c r="I1457" s="883" t="s">
        <v>2538</v>
      </c>
      <c r="J1457" s="885">
        <v>0</v>
      </c>
      <c r="K1457" s="885">
        <v>0.469</v>
      </c>
      <c r="L1457" s="886">
        <v>0.46821257</v>
      </c>
      <c r="M1457" s="882"/>
    </row>
    <row r="1458" spans="1:13" ht="12.75">
      <c r="A1458" s="882"/>
      <c r="B1458" s="882"/>
      <c r="C1458" s="882"/>
      <c r="D1458" s="882"/>
      <c r="E1458" s="883" t="s">
        <v>672</v>
      </c>
      <c r="F1458" s="883" t="s">
        <v>673</v>
      </c>
      <c r="G1458" s="883" t="s">
        <v>158</v>
      </c>
      <c r="H1458" s="883" t="s">
        <v>2063</v>
      </c>
      <c r="I1458" s="883" t="s">
        <v>2538</v>
      </c>
      <c r="J1458" s="885">
        <v>0</v>
      </c>
      <c r="K1458" s="885">
        <v>0.577</v>
      </c>
      <c r="L1458" s="886">
        <v>0.576375</v>
      </c>
      <c r="M1458" s="882"/>
    </row>
    <row r="1459" spans="1:13" ht="12.75">
      <c r="A1459" s="882"/>
      <c r="B1459" s="882"/>
      <c r="C1459" s="882"/>
      <c r="D1459" s="882"/>
      <c r="E1459" s="883" t="s">
        <v>674</v>
      </c>
      <c r="F1459" s="883" t="s">
        <v>675</v>
      </c>
      <c r="G1459" s="883" t="s">
        <v>158</v>
      </c>
      <c r="H1459" s="883" t="s">
        <v>2063</v>
      </c>
      <c r="I1459" s="883" t="s">
        <v>2538</v>
      </c>
      <c r="J1459" s="885">
        <v>0</v>
      </c>
      <c r="K1459" s="885">
        <v>0.64</v>
      </c>
      <c r="L1459" s="886">
        <v>0.63988829</v>
      </c>
      <c r="M1459" s="882"/>
    </row>
    <row r="1460" spans="1:13" ht="12.75">
      <c r="A1460" s="882"/>
      <c r="B1460" s="882"/>
      <c r="C1460" s="882"/>
      <c r="D1460" s="882"/>
      <c r="E1460" s="883" t="s">
        <v>676</v>
      </c>
      <c r="F1460" s="883" t="s">
        <v>677</v>
      </c>
      <c r="G1460" s="883" t="s">
        <v>2955</v>
      </c>
      <c r="H1460" s="883" t="s">
        <v>2063</v>
      </c>
      <c r="I1460" s="883" t="s">
        <v>2538</v>
      </c>
      <c r="J1460" s="885">
        <v>0</v>
      </c>
      <c r="K1460" s="885">
        <v>1.342</v>
      </c>
      <c r="L1460" s="886">
        <v>1.341508</v>
      </c>
      <c r="M1460" s="882"/>
    </row>
    <row r="1461" spans="1:13" ht="12.75">
      <c r="A1461" s="882"/>
      <c r="B1461" s="882"/>
      <c r="C1461" s="882"/>
      <c r="D1461" s="882"/>
      <c r="E1461" s="883" t="s">
        <v>678</v>
      </c>
      <c r="F1461" s="883" t="s">
        <v>679</v>
      </c>
      <c r="G1461" s="883" t="s">
        <v>2955</v>
      </c>
      <c r="H1461" s="883" t="s">
        <v>2063</v>
      </c>
      <c r="I1461" s="883" t="s">
        <v>2538</v>
      </c>
      <c r="J1461" s="885">
        <v>0</v>
      </c>
      <c r="K1461" s="885">
        <v>1.275</v>
      </c>
      <c r="L1461" s="886">
        <v>1.274014</v>
      </c>
      <c r="M1461" s="882"/>
    </row>
    <row r="1462" spans="1:13" ht="12.75">
      <c r="A1462" s="882"/>
      <c r="B1462" s="882"/>
      <c r="C1462" s="882"/>
      <c r="D1462" s="882"/>
      <c r="E1462" s="883" t="s">
        <v>680</v>
      </c>
      <c r="F1462" s="883" t="s">
        <v>681</v>
      </c>
      <c r="G1462" s="883" t="s">
        <v>2955</v>
      </c>
      <c r="H1462" s="883" t="s">
        <v>2063</v>
      </c>
      <c r="I1462" s="883" t="s">
        <v>2538</v>
      </c>
      <c r="J1462" s="885">
        <v>0</v>
      </c>
      <c r="K1462" s="885">
        <v>1.762</v>
      </c>
      <c r="L1462" s="886">
        <v>1.761795</v>
      </c>
      <c r="M1462" s="882"/>
    </row>
    <row r="1463" spans="1:13" ht="12.75">
      <c r="A1463" s="882"/>
      <c r="B1463" s="882"/>
      <c r="C1463" s="882"/>
      <c r="D1463" s="882"/>
      <c r="E1463" s="883" t="s">
        <v>682</v>
      </c>
      <c r="F1463" s="883" t="s">
        <v>683</v>
      </c>
      <c r="G1463" s="883" t="s">
        <v>145</v>
      </c>
      <c r="H1463" s="883" t="s">
        <v>2063</v>
      </c>
      <c r="I1463" s="883" t="s">
        <v>2627</v>
      </c>
      <c r="J1463" s="885">
        <v>0</v>
      </c>
      <c r="K1463" s="885">
        <v>0</v>
      </c>
      <c r="L1463" s="886">
        <v>1.106704</v>
      </c>
      <c r="M1463" s="882"/>
    </row>
    <row r="1464" spans="1:13" ht="12.75">
      <c r="A1464" s="882"/>
      <c r="B1464" s="882"/>
      <c r="C1464" s="882"/>
      <c r="D1464" s="882"/>
      <c r="E1464" s="883" t="s">
        <v>684</v>
      </c>
      <c r="F1464" s="883" t="s">
        <v>685</v>
      </c>
      <c r="G1464" s="883" t="s">
        <v>145</v>
      </c>
      <c r="H1464" s="883" t="s">
        <v>2063</v>
      </c>
      <c r="I1464" s="883" t="s">
        <v>2538</v>
      </c>
      <c r="J1464" s="885">
        <v>0</v>
      </c>
      <c r="K1464" s="885">
        <v>0.55</v>
      </c>
      <c r="L1464" s="886">
        <v>0.5499</v>
      </c>
      <c r="M1464" s="882"/>
    </row>
    <row r="1465" spans="1:13" ht="12.75">
      <c r="A1465" s="882"/>
      <c r="B1465" s="882"/>
      <c r="C1465" s="882"/>
      <c r="D1465" s="882"/>
      <c r="E1465" s="883" t="s">
        <v>686</v>
      </c>
      <c r="F1465" s="883" t="s">
        <v>687</v>
      </c>
      <c r="G1465" s="883" t="s">
        <v>145</v>
      </c>
      <c r="H1465" s="883" t="s">
        <v>2063</v>
      </c>
      <c r="I1465" s="883" t="s">
        <v>2538</v>
      </c>
      <c r="J1465" s="885">
        <v>0</v>
      </c>
      <c r="K1465" s="885">
        <v>0.577</v>
      </c>
      <c r="L1465" s="886">
        <v>0.576375</v>
      </c>
      <c r="M1465" s="882"/>
    </row>
    <row r="1466" spans="1:13" ht="12.75">
      <c r="A1466" s="882"/>
      <c r="B1466" s="882"/>
      <c r="C1466" s="882"/>
      <c r="D1466" s="882"/>
      <c r="E1466" s="883" t="s">
        <v>688</v>
      </c>
      <c r="F1466" s="883" t="s">
        <v>689</v>
      </c>
      <c r="G1466" s="883" t="s">
        <v>145</v>
      </c>
      <c r="H1466" s="883" t="s">
        <v>2063</v>
      </c>
      <c r="I1466" s="883" t="s">
        <v>2538</v>
      </c>
      <c r="J1466" s="885">
        <v>0</v>
      </c>
      <c r="K1466" s="885">
        <v>0.469</v>
      </c>
      <c r="L1466" s="886">
        <v>0.46821252</v>
      </c>
      <c r="M1466" s="882"/>
    </row>
    <row r="1467" spans="1:13" ht="12.75">
      <c r="A1467" s="882"/>
      <c r="B1467" s="882"/>
      <c r="C1467" s="882"/>
      <c r="D1467" s="882"/>
      <c r="E1467" s="883" t="s">
        <v>690</v>
      </c>
      <c r="F1467" s="883" t="s">
        <v>691</v>
      </c>
      <c r="G1467" s="883" t="s">
        <v>2955</v>
      </c>
      <c r="H1467" s="883" t="s">
        <v>2063</v>
      </c>
      <c r="I1467" s="883" t="s">
        <v>2538</v>
      </c>
      <c r="J1467" s="885">
        <v>0</v>
      </c>
      <c r="K1467" s="885">
        <v>1.154</v>
      </c>
      <c r="L1467" s="886">
        <v>1.15275</v>
      </c>
      <c r="M1467" s="882"/>
    </row>
    <row r="1468" spans="1:13" ht="12.75">
      <c r="A1468" s="882"/>
      <c r="B1468" s="882"/>
      <c r="C1468" s="882"/>
      <c r="D1468" s="882"/>
      <c r="E1468" s="883" t="s">
        <v>692</v>
      </c>
      <c r="F1468" s="883" t="s">
        <v>693</v>
      </c>
      <c r="G1468" s="883" t="s">
        <v>2955</v>
      </c>
      <c r="H1468" s="883" t="s">
        <v>2063</v>
      </c>
      <c r="I1468" s="883" t="s">
        <v>2538</v>
      </c>
      <c r="J1468" s="885">
        <v>0</v>
      </c>
      <c r="K1468" s="885">
        <v>1.453</v>
      </c>
      <c r="L1468" s="886">
        <v>1.4518</v>
      </c>
      <c r="M1468" s="882"/>
    </row>
    <row r="1469" spans="1:13" ht="12.75">
      <c r="A1469" s="882"/>
      <c r="B1469" s="882"/>
      <c r="C1469" s="882"/>
      <c r="D1469" s="882"/>
      <c r="E1469" s="883" t="s">
        <v>694</v>
      </c>
      <c r="F1469" s="883" t="s">
        <v>695</v>
      </c>
      <c r="G1469" s="883" t="s">
        <v>2955</v>
      </c>
      <c r="H1469" s="883" t="s">
        <v>2063</v>
      </c>
      <c r="I1469" s="883" t="s">
        <v>2538</v>
      </c>
      <c r="J1469" s="885">
        <v>0</v>
      </c>
      <c r="K1469" s="885">
        <v>1.28</v>
      </c>
      <c r="L1469" s="886">
        <v>1.27977658</v>
      </c>
      <c r="M1469" s="882"/>
    </row>
    <row r="1470" spans="1:13" ht="12.75">
      <c r="A1470" s="882"/>
      <c r="B1470" s="882"/>
      <c r="C1470" s="882"/>
      <c r="D1470" s="882"/>
      <c r="E1470" s="883" t="s">
        <v>696</v>
      </c>
      <c r="F1470" s="883" t="s">
        <v>697</v>
      </c>
      <c r="G1470" s="883" t="s">
        <v>2955</v>
      </c>
      <c r="H1470" s="883" t="s">
        <v>2063</v>
      </c>
      <c r="I1470" s="883" t="s">
        <v>2538</v>
      </c>
      <c r="J1470" s="885">
        <v>0</v>
      </c>
      <c r="K1470" s="885">
        <v>0.937</v>
      </c>
      <c r="L1470" s="886">
        <v>0.93642514</v>
      </c>
      <c r="M1470" s="882"/>
    </row>
    <row r="1471" spans="1:13" ht="12.75">
      <c r="A1471" s="882"/>
      <c r="B1471" s="882"/>
      <c r="C1471" s="882"/>
      <c r="D1471" s="882"/>
      <c r="E1471" s="883" t="s">
        <v>698</v>
      </c>
      <c r="F1471" s="883" t="s">
        <v>699</v>
      </c>
      <c r="G1471" s="883" t="s">
        <v>2955</v>
      </c>
      <c r="H1471" s="883" t="s">
        <v>2063</v>
      </c>
      <c r="I1471" s="883" t="s">
        <v>2538</v>
      </c>
      <c r="J1471" s="885">
        <v>0</v>
      </c>
      <c r="K1471" s="885">
        <v>1.1</v>
      </c>
      <c r="L1471" s="886">
        <v>1.0998</v>
      </c>
      <c r="M1471" s="882"/>
    </row>
    <row r="1472" spans="1:13" ht="12.75">
      <c r="A1472" s="882"/>
      <c r="B1472" s="882"/>
      <c r="C1472" s="882"/>
      <c r="D1472" s="882"/>
      <c r="E1472" s="883" t="s">
        <v>700</v>
      </c>
      <c r="F1472" s="883" t="s">
        <v>689</v>
      </c>
      <c r="G1472" s="883" t="s">
        <v>95</v>
      </c>
      <c r="H1472" s="883" t="s">
        <v>2063</v>
      </c>
      <c r="I1472" s="883" t="s">
        <v>2538</v>
      </c>
      <c r="J1472" s="885">
        <v>0</v>
      </c>
      <c r="K1472" s="885">
        <v>0.469</v>
      </c>
      <c r="L1472" s="886">
        <v>0.46821257</v>
      </c>
      <c r="M1472" s="882"/>
    </row>
    <row r="1473" spans="1:13" ht="12.75">
      <c r="A1473" s="882"/>
      <c r="B1473" s="882"/>
      <c r="C1473" s="882"/>
      <c r="D1473" s="882"/>
      <c r="E1473" s="883" t="s">
        <v>701</v>
      </c>
      <c r="F1473" s="883" t="s">
        <v>685</v>
      </c>
      <c r="G1473" s="883" t="s">
        <v>95</v>
      </c>
      <c r="H1473" s="883" t="s">
        <v>2063</v>
      </c>
      <c r="I1473" s="883" t="s">
        <v>2538</v>
      </c>
      <c r="J1473" s="885">
        <v>0</v>
      </c>
      <c r="K1473" s="885">
        <v>0.55</v>
      </c>
      <c r="L1473" s="886">
        <v>0.5499</v>
      </c>
      <c r="M1473" s="882"/>
    </row>
    <row r="1474" spans="1:13" ht="12.75">
      <c r="A1474" s="882"/>
      <c r="B1474" s="882"/>
      <c r="C1474" s="882"/>
      <c r="D1474" s="882"/>
      <c r="E1474" s="883" t="s">
        <v>702</v>
      </c>
      <c r="F1474" s="883" t="s">
        <v>685</v>
      </c>
      <c r="G1474" s="883" t="s">
        <v>110</v>
      </c>
      <c r="H1474" s="883" t="s">
        <v>2063</v>
      </c>
      <c r="I1474" s="883" t="s">
        <v>2538</v>
      </c>
      <c r="J1474" s="885">
        <v>0</v>
      </c>
      <c r="K1474" s="885">
        <v>0.55</v>
      </c>
      <c r="L1474" s="886">
        <v>0.5499</v>
      </c>
      <c r="M1474" s="882"/>
    </row>
    <row r="1475" spans="1:13" ht="12.75">
      <c r="A1475" s="882"/>
      <c r="B1475" s="882"/>
      <c r="C1475" s="882"/>
      <c r="D1475" s="882"/>
      <c r="E1475" s="883" t="s">
        <v>703</v>
      </c>
      <c r="F1475" s="883" t="s">
        <v>675</v>
      </c>
      <c r="G1475" s="883" t="s">
        <v>110</v>
      </c>
      <c r="H1475" s="883" t="s">
        <v>2063</v>
      </c>
      <c r="I1475" s="883" t="s">
        <v>2538</v>
      </c>
      <c r="J1475" s="885">
        <v>0</v>
      </c>
      <c r="K1475" s="885">
        <v>0.64</v>
      </c>
      <c r="L1475" s="886">
        <v>0.63988829</v>
      </c>
      <c r="M1475" s="882"/>
    </row>
    <row r="1476" spans="1:13" ht="12.75">
      <c r="A1476" s="882"/>
      <c r="B1476" s="882"/>
      <c r="C1476" s="882"/>
      <c r="D1476" s="882"/>
      <c r="E1476" s="883" t="s">
        <v>704</v>
      </c>
      <c r="F1476" s="883" t="s">
        <v>705</v>
      </c>
      <c r="G1476" s="883" t="s">
        <v>110</v>
      </c>
      <c r="H1476" s="883" t="s">
        <v>2063</v>
      </c>
      <c r="I1476" s="883" t="s">
        <v>2538</v>
      </c>
      <c r="J1476" s="885">
        <v>0</v>
      </c>
      <c r="K1476" s="885">
        <v>0.001</v>
      </c>
      <c r="L1476" s="886">
        <v>0</v>
      </c>
      <c r="M1476" s="882"/>
    </row>
    <row r="1477" spans="1:13" ht="12.75">
      <c r="A1477" s="882"/>
      <c r="B1477" s="882"/>
      <c r="C1477" s="882"/>
      <c r="D1477" s="882"/>
      <c r="E1477" s="883" t="s">
        <v>706</v>
      </c>
      <c r="F1477" s="883" t="s">
        <v>689</v>
      </c>
      <c r="G1477" s="883" t="s">
        <v>110</v>
      </c>
      <c r="H1477" s="883" t="s">
        <v>2063</v>
      </c>
      <c r="I1477" s="883" t="s">
        <v>2538</v>
      </c>
      <c r="J1477" s="885">
        <v>0</v>
      </c>
      <c r="K1477" s="885">
        <v>0.469</v>
      </c>
      <c r="L1477" s="886">
        <v>0.46821257</v>
      </c>
      <c r="M1477" s="882"/>
    </row>
    <row r="1478" spans="1:13" ht="12.75">
      <c r="A1478" s="882"/>
      <c r="B1478" s="882"/>
      <c r="C1478" s="882"/>
      <c r="D1478" s="882"/>
      <c r="E1478" s="883" t="s">
        <v>707</v>
      </c>
      <c r="F1478" s="883" t="s">
        <v>687</v>
      </c>
      <c r="G1478" s="883" t="s">
        <v>110</v>
      </c>
      <c r="H1478" s="883" t="s">
        <v>2063</v>
      </c>
      <c r="I1478" s="883" t="s">
        <v>2538</v>
      </c>
      <c r="J1478" s="885">
        <v>0</v>
      </c>
      <c r="K1478" s="885">
        <v>0.577</v>
      </c>
      <c r="L1478" s="886">
        <v>0.576375</v>
      </c>
      <c r="M1478" s="882"/>
    </row>
    <row r="1479" spans="1:13" ht="12.75">
      <c r="A1479" s="882"/>
      <c r="B1479" s="882"/>
      <c r="C1479" s="882"/>
      <c r="D1479" s="882"/>
      <c r="E1479" s="883" t="s">
        <v>708</v>
      </c>
      <c r="F1479" s="883" t="s">
        <v>693</v>
      </c>
      <c r="G1479" s="883" t="s">
        <v>132</v>
      </c>
      <c r="H1479" s="883" t="s">
        <v>2063</v>
      </c>
      <c r="I1479" s="883" t="s">
        <v>2538</v>
      </c>
      <c r="J1479" s="885">
        <v>0</v>
      </c>
      <c r="K1479" s="885">
        <v>1.452</v>
      </c>
      <c r="L1479" s="886">
        <v>1.4518</v>
      </c>
      <c r="M1479" s="882"/>
    </row>
    <row r="1480" spans="1:13" ht="12.75">
      <c r="A1480" s="882"/>
      <c r="B1480" s="882"/>
      <c r="C1480" s="882"/>
      <c r="D1480" s="882"/>
      <c r="E1480" s="883" t="s">
        <v>709</v>
      </c>
      <c r="F1480" s="883" t="s">
        <v>685</v>
      </c>
      <c r="G1480" s="883" t="s">
        <v>132</v>
      </c>
      <c r="H1480" s="883" t="s">
        <v>2063</v>
      </c>
      <c r="I1480" s="883" t="s">
        <v>2538</v>
      </c>
      <c r="J1480" s="885">
        <v>0</v>
      </c>
      <c r="K1480" s="885">
        <v>0.55</v>
      </c>
      <c r="L1480" s="886">
        <v>0.5499</v>
      </c>
      <c r="M1480" s="882"/>
    </row>
    <row r="1481" spans="1:13" ht="12.75">
      <c r="A1481" s="882"/>
      <c r="B1481" s="882"/>
      <c r="C1481" s="882"/>
      <c r="D1481" s="882"/>
      <c r="E1481" s="883" t="s">
        <v>710</v>
      </c>
      <c r="F1481" s="883" t="s">
        <v>687</v>
      </c>
      <c r="G1481" s="883" t="s">
        <v>121</v>
      </c>
      <c r="H1481" s="883" t="s">
        <v>2063</v>
      </c>
      <c r="I1481" s="883" t="s">
        <v>2538</v>
      </c>
      <c r="J1481" s="885">
        <v>0</v>
      </c>
      <c r="K1481" s="885">
        <v>0.577</v>
      </c>
      <c r="L1481" s="886">
        <v>0.576375</v>
      </c>
      <c r="M1481" s="882"/>
    </row>
    <row r="1482" spans="1:13" ht="12.75">
      <c r="A1482" s="882"/>
      <c r="B1482" s="882"/>
      <c r="C1482" s="882"/>
      <c r="D1482" s="882"/>
      <c r="E1482" s="883" t="s">
        <v>711</v>
      </c>
      <c r="F1482" s="883" t="s">
        <v>699</v>
      </c>
      <c r="G1482" s="883" t="s">
        <v>121</v>
      </c>
      <c r="H1482" s="883" t="s">
        <v>2063</v>
      </c>
      <c r="I1482" s="883" t="s">
        <v>2538</v>
      </c>
      <c r="J1482" s="885">
        <v>0</v>
      </c>
      <c r="K1482" s="885">
        <v>1.1</v>
      </c>
      <c r="L1482" s="886">
        <v>1.0998</v>
      </c>
      <c r="M1482" s="882"/>
    </row>
    <row r="1483" spans="1:13" ht="12.75">
      <c r="A1483" s="882"/>
      <c r="B1483" s="882"/>
      <c r="C1483" s="882"/>
      <c r="D1483" s="882"/>
      <c r="E1483" s="883" t="s">
        <v>712</v>
      </c>
      <c r="F1483" s="883" t="s">
        <v>675</v>
      </c>
      <c r="G1483" s="883" t="s">
        <v>121</v>
      </c>
      <c r="H1483" s="883" t="s">
        <v>2063</v>
      </c>
      <c r="I1483" s="883" t="s">
        <v>2538</v>
      </c>
      <c r="J1483" s="885">
        <v>0</v>
      </c>
      <c r="K1483" s="885">
        <v>0.64</v>
      </c>
      <c r="L1483" s="886">
        <v>0.63988829</v>
      </c>
      <c r="M1483" s="882"/>
    </row>
    <row r="1484" spans="1:13" ht="12.75">
      <c r="A1484" s="882"/>
      <c r="B1484" s="882"/>
      <c r="C1484" s="882"/>
      <c r="D1484" s="882"/>
      <c r="E1484" s="883" t="s">
        <v>713</v>
      </c>
      <c r="F1484" s="883" t="s">
        <v>693</v>
      </c>
      <c r="G1484" s="883" t="s">
        <v>93</v>
      </c>
      <c r="H1484" s="883" t="s">
        <v>2063</v>
      </c>
      <c r="I1484" s="883" t="s">
        <v>2538</v>
      </c>
      <c r="J1484" s="885">
        <v>0</v>
      </c>
      <c r="K1484" s="885">
        <v>1.452</v>
      </c>
      <c r="L1484" s="886">
        <v>1.4518</v>
      </c>
      <c r="M1484" s="882"/>
    </row>
    <row r="1485" spans="1:13" ht="12.75">
      <c r="A1485" s="882"/>
      <c r="B1485" s="882"/>
      <c r="C1485" s="882"/>
      <c r="D1485" s="882"/>
      <c r="E1485" s="883" t="s">
        <v>714</v>
      </c>
      <c r="F1485" s="883" t="s">
        <v>675</v>
      </c>
      <c r="G1485" s="883" t="s">
        <v>93</v>
      </c>
      <c r="H1485" s="883" t="s">
        <v>2063</v>
      </c>
      <c r="I1485" s="883" t="s">
        <v>2538</v>
      </c>
      <c r="J1485" s="885">
        <v>0</v>
      </c>
      <c r="K1485" s="885">
        <v>0.64</v>
      </c>
      <c r="L1485" s="886">
        <v>0.63988829</v>
      </c>
      <c r="M1485" s="882"/>
    </row>
    <row r="1486" spans="1:13" ht="12.75">
      <c r="A1486" s="882"/>
      <c r="B1486" s="882"/>
      <c r="C1486" s="882"/>
      <c r="D1486" s="882"/>
      <c r="E1486" s="883" t="s">
        <v>715</v>
      </c>
      <c r="F1486" s="883" t="s">
        <v>671</v>
      </c>
      <c r="G1486" s="883" t="s">
        <v>93</v>
      </c>
      <c r="H1486" s="883" t="s">
        <v>2063</v>
      </c>
      <c r="I1486" s="883" t="s">
        <v>2538</v>
      </c>
      <c r="J1486" s="885">
        <v>0</v>
      </c>
      <c r="K1486" s="885">
        <v>0.469</v>
      </c>
      <c r="L1486" s="886">
        <v>0.46821252</v>
      </c>
      <c r="M1486" s="882"/>
    </row>
    <row r="1487" spans="1:13" ht="12.75">
      <c r="A1487" s="882"/>
      <c r="B1487" s="882"/>
      <c r="C1487" s="882"/>
      <c r="D1487" s="882"/>
      <c r="E1487" s="883" t="s">
        <v>716</v>
      </c>
      <c r="F1487" s="883" t="s">
        <v>51</v>
      </c>
      <c r="G1487" s="883" t="s">
        <v>145</v>
      </c>
      <c r="H1487" s="883" t="s">
        <v>2063</v>
      </c>
      <c r="I1487" s="883" t="s">
        <v>2538</v>
      </c>
      <c r="J1487" s="885">
        <v>0</v>
      </c>
      <c r="K1487" s="885">
        <v>2.262</v>
      </c>
      <c r="L1487" s="886">
        <v>2.261333</v>
      </c>
      <c r="M1487" s="882"/>
    </row>
    <row r="1488" spans="1:13" ht="12.75">
      <c r="A1488" s="882"/>
      <c r="B1488" s="882"/>
      <c r="C1488" s="882"/>
      <c r="D1488" s="882"/>
      <c r="E1488" s="883" t="s">
        <v>717</v>
      </c>
      <c r="F1488" s="883" t="s">
        <v>675</v>
      </c>
      <c r="G1488" s="883" t="s">
        <v>91</v>
      </c>
      <c r="H1488" s="883" t="s">
        <v>2063</v>
      </c>
      <c r="I1488" s="883" t="s">
        <v>2538</v>
      </c>
      <c r="J1488" s="885">
        <v>0</v>
      </c>
      <c r="K1488" s="885">
        <v>0.64</v>
      </c>
      <c r="L1488" s="886">
        <v>0.63988829</v>
      </c>
      <c r="M1488" s="882"/>
    </row>
    <row r="1489" spans="1:13" ht="12.75">
      <c r="A1489" s="882"/>
      <c r="B1489" s="882"/>
      <c r="C1489" s="882"/>
      <c r="D1489" s="882"/>
      <c r="E1489" s="883" t="s">
        <v>718</v>
      </c>
      <c r="F1489" s="883" t="s">
        <v>687</v>
      </c>
      <c r="G1489" s="883" t="s">
        <v>91</v>
      </c>
      <c r="H1489" s="883" t="s">
        <v>2063</v>
      </c>
      <c r="I1489" s="883" t="s">
        <v>2538</v>
      </c>
      <c r="J1489" s="885">
        <v>0</v>
      </c>
      <c r="K1489" s="885">
        <v>0.577</v>
      </c>
      <c r="L1489" s="886">
        <v>0.576375</v>
      </c>
      <c r="M1489" s="882"/>
    </row>
    <row r="1490" spans="1:13" ht="12.75">
      <c r="A1490" s="882"/>
      <c r="B1490" s="882"/>
      <c r="C1490" s="882"/>
      <c r="D1490" s="882"/>
      <c r="E1490" s="883" t="s">
        <v>719</v>
      </c>
      <c r="F1490" s="883" t="s">
        <v>720</v>
      </c>
      <c r="G1490" s="883" t="s">
        <v>91</v>
      </c>
      <c r="H1490" s="883" t="s">
        <v>2063</v>
      </c>
      <c r="I1490" s="883" t="s">
        <v>2627</v>
      </c>
      <c r="J1490" s="885">
        <v>0</v>
      </c>
      <c r="K1490" s="885">
        <v>0</v>
      </c>
      <c r="L1490" s="886">
        <v>1.2219</v>
      </c>
      <c r="M1490" s="882"/>
    </row>
    <row r="1491" spans="1:13" ht="12.75">
      <c r="A1491" s="882"/>
      <c r="B1491" s="882"/>
      <c r="C1491" s="882"/>
      <c r="D1491" s="882"/>
      <c r="E1491" s="883" t="s">
        <v>721</v>
      </c>
      <c r="F1491" s="883" t="s">
        <v>722</v>
      </c>
      <c r="G1491" s="883" t="s">
        <v>93</v>
      </c>
      <c r="H1491" s="883" t="s">
        <v>2063</v>
      </c>
      <c r="I1491" s="883" t="s">
        <v>2538</v>
      </c>
      <c r="J1491" s="885">
        <v>0</v>
      </c>
      <c r="K1491" s="885">
        <v>0.929</v>
      </c>
      <c r="L1491" s="886">
        <v>0.9282</v>
      </c>
      <c r="M1491" s="882"/>
    </row>
    <row r="1492" spans="1:13" ht="12.75">
      <c r="A1492" s="882"/>
      <c r="B1492" s="882"/>
      <c r="C1492" s="882"/>
      <c r="D1492" s="882"/>
      <c r="E1492" s="883" t="s">
        <v>723</v>
      </c>
      <c r="F1492" s="883" t="s">
        <v>724</v>
      </c>
      <c r="G1492" s="883" t="s">
        <v>2955</v>
      </c>
      <c r="H1492" s="883" t="s">
        <v>2063</v>
      </c>
      <c r="I1492" s="883" t="s">
        <v>2538</v>
      </c>
      <c r="J1492" s="885">
        <v>0</v>
      </c>
      <c r="K1492" s="885">
        <v>4.86</v>
      </c>
      <c r="L1492" s="886">
        <v>4.859184</v>
      </c>
      <c r="M1492" s="882"/>
    </row>
    <row r="1493" spans="1:13" ht="12.75">
      <c r="A1493" s="882"/>
      <c r="B1493" s="882"/>
      <c r="C1493" s="882"/>
      <c r="D1493" s="882"/>
      <c r="E1493" s="883" t="s">
        <v>725</v>
      </c>
      <c r="F1493" s="883" t="s">
        <v>726</v>
      </c>
      <c r="G1493" s="883" t="s">
        <v>2955</v>
      </c>
      <c r="H1493" s="883" t="s">
        <v>2063</v>
      </c>
      <c r="I1493" s="883" t="s">
        <v>2538</v>
      </c>
      <c r="J1493" s="885">
        <v>0</v>
      </c>
      <c r="K1493" s="885">
        <v>1.393</v>
      </c>
      <c r="L1493" s="886">
        <v>1.3923</v>
      </c>
      <c r="M1493" s="882"/>
    </row>
    <row r="1494" spans="1:13" ht="12.75">
      <c r="A1494" s="882"/>
      <c r="B1494" s="882"/>
      <c r="C1494" s="882"/>
      <c r="D1494" s="882"/>
      <c r="E1494" s="883" t="s">
        <v>727</v>
      </c>
      <c r="F1494" s="883" t="s">
        <v>728</v>
      </c>
      <c r="G1494" s="883" t="s">
        <v>158</v>
      </c>
      <c r="H1494" s="883" t="s">
        <v>2063</v>
      </c>
      <c r="I1494" s="883" t="s">
        <v>2538</v>
      </c>
      <c r="J1494" s="885">
        <v>0</v>
      </c>
      <c r="K1494" s="885">
        <v>0.292</v>
      </c>
      <c r="L1494" s="886">
        <v>0.29155</v>
      </c>
      <c r="M1494" s="882"/>
    </row>
    <row r="1495" spans="1:13" ht="12.75">
      <c r="A1495" s="882"/>
      <c r="B1495" s="882"/>
      <c r="C1495" s="882"/>
      <c r="D1495" s="882"/>
      <c r="E1495" s="883" t="s">
        <v>729</v>
      </c>
      <c r="F1495" s="883" t="s">
        <v>730</v>
      </c>
      <c r="G1495" s="883" t="s">
        <v>2955</v>
      </c>
      <c r="H1495" s="883" t="s">
        <v>2063</v>
      </c>
      <c r="I1495" s="883" t="s">
        <v>2538</v>
      </c>
      <c r="J1495" s="885">
        <v>0</v>
      </c>
      <c r="K1495" s="885">
        <v>2.378</v>
      </c>
      <c r="L1495" s="886">
        <v>2.377144</v>
      </c>
      <c r="M1495" s="882"/>
    </row>
    <row r="1496" spans="1:13" ht="12.75">
      <c r="A1496" s="882"/>
      <c r="B1496" s="882"/>
      <c r="C1496" s="882"/>
      <c r="D1496" s="882"/>
      <c r="E1496" s="883" t="s">
        <v>731</v>
      </c>
      <c r="F1496" s="883" t="s">
        <v>732</v>
      </c>
      <c r="G1496" s="883" t="s">
        <v>110</v>
      </c>
      <c r="H1496" s="883" t="s">
        <v>2063</v>
      </c>
      <c r="I1496" s="883" t="s">
        <v>2538</v>
      </c>
      <c r="J1496" s="885">
        <v>0</v>
      </c>
      <c r="K1496" s="885">
        <v>0.17</v>
      </c>
      <c r="L1496" s="886">
        <v>0.17</v>
      </c>
      <c r="M1496" s="882"/>
    </row>
    <row r="1497" spans="1:13" ht="12.75">
      <c r="A1497" s="882"/>
      <c r="B1497" s="882"/>
      <c r="C1497" s="882"/>
      <c r="D1497" s="882"/>
      <c r="E1497" s="883" t="s">
        <v>733</v>
      </c>
      <c r="F1497" s="883" t="s">
        <v>734</v>
      </c>
      <c r="G1497" s="883" t="s">
        <v>110</v>
      </c>
      <c r="H1497" s="883" t="s">
        <v>2063</v>
      </c>
      <c r="I1497" s="883" t="s">
        <v>2842</v>
      </c>
      <c r="J1497" s="885">
        <v>0</v>
      </c>
      <c r="K1497" s="885">
        <v>1.4</v>
      </c>
      <c r="L1497" s="886">
        <v>1.39999983</v>
      </c>
      <c r="M1497" s="882"/>
    </row>
    <row r="1498" spans="1:13" ht="12.75">
      <c r="A1498" s="882"/>
      <c r="B1498" s="882"/>
      <c r="C1498" s="882"/>
      <c r="D1498" s="882"/>
      <c r="E1498" s="883" t="s">
        <v>735</v>
      </c>
      <c r="F1498" s="883" t="s">
        <v>736</v>
      </c>
      <c r="G1498" s="883" t="s">
        <v>145</v>
      </c>
      <c r="H1498" s="883" t="s">
        <v>2063</v>
      </c>
      <c r="I1498" s="883" t="s">
        <v>2538</v>
      </c>
      <c r="J1498" s="885">
        <v>0</v>
      </c>
      <c r="K1498" s="885">
        <v>0.446</v>
      </c>
      <c r="L1498" s="886">
        <v>0.445655</v>
      </c>
      <c r="M1498" s="882"/>
    </row>
    <row r="1499" spans="1:13" ht="12.75">
      <c r="A1499" s="882"/>
      <c r="B1499" s="882"/>
      <c r="C1499" s="882"/>
      <c r="D1499" s="882"/>
      <c r="E1499" s="883" t="s">
        <v>737</v>
      </c>
      <c r="F1499" s="883" t="s">
        <v>738</v>
      </c>
      <c r="G1499" s="883" t="s">
        <v>121</v>
      </c>
      <c r="H1499" s="883" t="s">
        <v>2063</v>
      </c>
      <c r="I1499" s="883" t="s">
        <v>2842</v>
      </c>
      <c r="J1499" s="885">
        <v>0</v>
      </c>
      <c r="K1499" s="885">
        <v>2.5</v>
      </c>
      <c r="L1499" s="886">
        <v>0.42029444</v>
      </c>
      <c r="M1499" s="882"/>
    </row>
    <row r="1500" spans="1:13" ht="12.75">
      <c r="A1500" s="882"/>
      <c r="B1500" s="882"/>
      <c r="C1500" s="882"/>
      <c r="D1500" s="882"/>
      <c r="E1500" s="883" t="s">
        <v>739</v>
      </c>
      <c r="F1500" s="883" t="s">
        <v>740</v>
      </c>
      <c r="G1500" s="883" t="s">
        <v>95</v>
      </c>
      <c r="H1500" s="883" t="s">
        <v>2063</v>
      </c>
      <c r="I1500" s="883" t="s">
        <v>2538</v>
      </c>
      <c r="J1500" s="885">
        <v>0</v>
      </c>
      <c r="K1500" s="885">
        <v>0.21</v>
      </c>
      <c r="L1500" s="886">
        <v>0.209083</v>
      </c>
      <c r="M1500" s="882"/>
    </row>
    <row r="1501" spans="1:13" ht="12.75">
      <c r="A1501" s="882"/>
      <c r="B1501" s="882"/>
      <c r="C1501" s="882"/>
      <c r="D1501" s="882"/>
      <c r="E1501" s="883" t="s">
        <v>741</v>
      </c>
      <c r="F1501" s="883" t="s">
        <v>742</v>
      </c>
      <c r="G1501" s="883" t="s">
        <v>121</v>
      </c>
      <c r="H1501" s="883" t="s">
        <v>2063</v>
      </c>
      <c r="I1501" s="883" t="s">
        <v>2538</v>
      </c>
      <c r="J1501" s="885">
        <v>0</v>
      </c>
      <c r="K1501" s="885">
        <v>1.08</v>
      </c>
      <c r="L1501" s="886">
        <v>1.079401</v>
      </c>
      <c r="M1501" s="882"/>
    </row>
    <row r="1502" spans="1:13" ht="12.75">
      <c r="A1502" s="882"/>
      <c r="B1502" s="882"/>
      <c r="C1502" s="882"/>
      <c r="D1502" s="882"/>
      <c r="E1502" s="883" t="s">
        <v>743</v>
      </c>
      <c r="F1502" s="883" t="s">
        <v>744</v>
      </c>
      <c r="G1502" s="883" t="s">
        <v>121</v>
      </c>
      <c r="H1502" s="883" t="s">
        <v>2063</v>
      </c>
      <c r="I1502" s="883" t="s">
        <v>2538</v>
      </c>
      <c r="J1502" s="885">
        <v>0</v>
      </c>
      <c r="K1502" s="885">
        <v>1.655</v>
      </c>
      <c r="L1502" s="886">
        <v>1.6541</v>
      </c>
      <c r="M1502" s="882"/>
    </row>
    <row r="1503" spans="1:13" ht="12.75">
      <c r="A1503" s="882"/>
      <c r="B1503" s="882"/>
      <c r="C1503" s="882"/>
      <c r="D1503" s="882"/>
      <c r="E1503" s="883" t="s">
        <v>745</v>
      </c>
      <c r="F1503" s="883" t="s">
        <v>746</v>
      </c>
      <c r="G1503" s="883" t="s">
        <v>121</v>
      </c>
      <c r="H1503" s="883" t="s">
        <v>2063</v>
      </c>
      <c r="I1503" s="883" t="s">
        <v>2538</v>
      </c>
      <c r="J1503" s="885">
        <v>0</v>
      </c>
      <c r="K1503" s="885">
        <v>0.3</v>
      </c>
      <c r="L1503" s="886">
        <v>0.299999</v>
      </c>
      <c r="M1503" s="882"/>
    </row>
    <row r="1504" spans="1:13" ht="12.75">
      <c r="A1504" s="882"/>
      <c r="B1504" s="882"/>
      <c r="C1504" s="882"/>
      <c r="D1504" s="882"/>
      <c r="E1504" s="883" t="s">
        <v>747</v>
      </c>
      <c r="F1504" s="883" t="s">
        <v>748</v>
      </c>
      <c r="G1504" s="883" t="s">
        <v>121</v>
      </c>
      <c r="H1504" s="883" t="s">
        <v>2063</v>
      </c>
      <c r="I1504" s="883" t="s">
        <v>2538</v>
      </c>
      <c r="J1504" s="885">
        <v>0</v>
      </c>
      <c r="K1504" s="885">
        <v>0.357</v>
      </c>
      <c r="L1504" s="886">
        <v>0.357</v>
      </c>
      <c r="M1504" s="882"/>
    </row>
    <row r="1505" spans="1:13" ht="12.75">
      <c r="A1505" s="882"/>
      <c r="B1505" s="882"/>
      <c r="C1505" s="882"/>
      <c r="D1505" s="882"/>
      <c r="E1505" s="883" t="s">
        <v>749</v>
      </c>
      <c r="F1505" s="883" t="s">
        <v>750</v>
      </c>
      <c r="G1505" s="883" t="s">
        <v>121</v>
      </c>
      <c r="H1505" s="883" t="s">
        <v>2063</v>
      </c>
      <c r="I1505" s="883" t="s">
        <v>2538</v>
      </c>
      <c r="J1505" s="885">
        <v>0</v>
      </c>
      <c r="K1505" s="885">
        <v>1.586</v>
      </c>
      <c r="L1505" s="886">
        <v>1.586</v>
      </c>
      <c r="M1505" s="882"/>
    </row>
    <row r="1506" spans="1:13" ht="12.75">
      <c r="A1506" s="882"/>
      <c r="B1506" s="882"/>
      <c r="C1506" s="882"/>
      <c r="D1506" s="882"/>
      <c r="E1506" s="883" t="s">
        <v>751</v>
      </c>
      <c r="F1506" s="883" t="s">
        <v>752</v>
      </c>
      <c r="G1506" s="883" t="s">
        <v>121</v>
      </c>
      <c r="H1506" s="883" t="s">
        <v>2063</v>
      </c>
      <c r="I1506" s="883" t="s">
        <v>2538</v>
      </c>
      <c r="J1506" s="885">
        <v>0</v>
      </c>
      <c r="K1506" s="885">
        <v>2.376</v>
      </c>
      <c r="L1506" s="886">
        <v>2.37524</v>
      </c>
      <c r="M1506" s="882"/>
    </row>
    <row r="1507" spans="1:13" ht="12.75">
      <c r="A1507" s="882"/>
      <c r="B1507" s="882"/>
      <c r="C1507" s="882"/>
      <c r="D1507" s="882"/>
      <c r="E1507" s="883" t="s">
        <v>753</v>
      </c>
      <c r="F1507" s="883" t="s">
        <v>754</v>
      </c>
      <c r="G1507" s="883" t="s">
        <v>121</v>
      </c>
      <c r="H1507" s="883" t="s">
        <v>2063</v>
      </c>
      <c r="I1507" s="883" t="s">
        <v>2538</v>
      </c>
      <c r="J1507" s="885">
        <v>0</v>
      </c>
      <c r="K1507" s="885">
        <v>0.353</v>
      </c>
      <c r="L1507" s="886">
        <v>0.35276</v>
      </c>
      <c r="M1507" s="882"/>
    </row>
    <row r="1508" spans="1:13" ht="12.75">
      <c r="A1508" s="882"/>
      <c r="B1508" s="882"/>
      <c r="C1508" s="882"/>
      <c r="D1508" s="882"/>
      <c r="E1508" s="883" t="s">
        <v>755</v>
      </c>
      <c r="F1508" s="883" t="s">
        <v>756</v>
      </c>
      <c r="G1508" s="883" t="s">
        <v>121</v>
      </c>
      <c r="H1508" s="883" t="s">
        <v>2063</v>
      </c>
      <c r="I1508" s="883" t="s">
        <v>2538</v>
      </c>
      <c r="J1508" s="885">
        <v>0</v>
      </c>
      <c r="K1508" s="885">
        <v>1.438</v>
      </c>
      <c r="L1508" s="886">
        <v>1.437743</v>
      </c>
      <c r="M1508" s="882"/>
    </row>
    <row r="1509" spans="1:13" ht="12.75">
      <c r="A1509" s="882"/>
      <c r="B1509" s="882"/>
      <c r="C1509" s="882"/>
      <c r="D1509" s="882"/>
      <c r="E1509" s="883" t="s">
        <v>757</v>
      </c>
      <c r="F1509" s="883" t="s">
        <v>758</v>
      </c>
      <c r="G1509" s="883" t="s">
        <v>121</v>
      </c>
      <c r="H1509" s="883" t="s">
        <v>2063</v>
      </c>
      <c r="I1509" s="883" t="s">
        <v>2538</v>
      </c>
      <c r="J1509" s="885">
        <v>0</v>
      </c>
      <c r="K1509" s="885">
        <v>0.24</v>
      </c>
      <c r="L1509" s="886">
        <v>0.239596</v>
      </c>
      <c r="M1509" s="882"/>
    </row>
    <row r="1510" spans="1:13" ht="12.75">
      <c r="A1510" s="882"/>
      <c r="B1510" s="882"/>
      <c r="C1510" s="882"/>
      <c r="D1510" s="882"/>
      <c r="E1510" s="883" t="s">
        <v>759</v>
      </c>
      <c r="F1510" s="883" t="s">
        <v>760</v>
      </c>
      <c r="G1510" s="883" t="s">
        <v>2955</v>
      </c>
      <c r="H1510" s="883" t="s">
        <v>2063</v>
      </c>
      <c r="I1510" s="883" t="s">
        <v>2538</v>
      </c>
      <c r="J1510" s="885">
        <v>0</v>
      </c>
      <c r="K1510" s="885">
        <v>2.43</v>
      </c>
      <c r="L1510" s="886">
        <v>2.4291</v>
      </c>
      <c r="M1510" s="882"/>
    </row>
    <row r="1511" spans="1:13" ht="12.75">
      <c r="A1511" s="882"/>
      <c r="B1511" s="882"/>
      <c r="C1511" s="882"/>
      <c r="D1511" s="882"/>
      <c r="E1511" s="883" t="s">
        <v>761</v>
      </c>
      <c r="F1511" s="883" t="s">
        <v>762</v>
      </c>
      <c r="G1511" s="883" t="s">
        <v>91</v>
      </c>
      <c r="H1511" s="883" t="s">
        <v>2063</v>
      </c>
      <c r="I1511" s="883" t="s">
        <v>2538</v>
      </c>
      <c r="J1511" s="885">
        <v>0</v>
      </c>
      <c r="K1511" s="885">
        <v>0.6</v>
      </c>
      <c r="L1511" s="886">
        <v>0.599344</v>
      </c>
      <c r="M1511" s="882"/>
    </row>
    <row r="1512" spans="1:13" ht="12.75">
      <c r="A1512" s="882"/>
      <c r="B1512" s="882"/>
      <c r="C1512" s="882"/>
      <c r="D1512" s="882"/>
      <c r="E1512" s="883" t="s">
        <v>763</v>
      </c>
      <c r="F1512" s="883" t="s">
        <v>764</v>
      </c>
      <c r="G1512" s="883" t="s">
        <v>132</v>
      </c>
      <c r="H1512" s="883" t="s">
        <v>2063</v>
      </c>
      <c r="I1512" s="883" t="s">
        <v>2538</v>
      </c>
      <c r="J1512" s="885">
        <v>0</v>
      </c>
      <c r="K1512" s="885">
        <v>0.119</v>
      </c>
      <c r="L1512" s="886">
        <v>0.118762</v>
      </c>
      <c r="M1512" s="882"/>
    </row>
    <row r="1513" spans="1:13" ht="12.75">
      <c r="A1513" s="882"/>
      <c r="B1513" s="882"/>
      <c r="C1513" s="882"/>
      <c r="D1513" s="882"/>
      <c r="E1513" s="883" t="s">
        <v>765</v>
      </c>
      <c r="F1513" s="883" t="s">
        <v>766</v>
      </c>
      <c r="G1513" s="883" t="s">
        <v>132</v>
      </c>
      <c r="H1513" s="883" t="s">
        <v>2063</v>
      </c>
      <c r="I1513" s="883" t="s">
        <v>2538</v>
      </c>
      <c r="J1513" s="885">
        <v>0</v>
      </c>
      <c r="K1513" s="885">
        <v>0.267</v>
      </c>
      <c r="L1513" s="886">
        <v>0.2664291</v>
      </c>
      <c r="M1513" s="882"/>
    </row>
    <row r="1514" spans="1:13" ht="12.75">
      <c r="A1514" s="882"/>
      <c r="B1514" s="882"/>
      <c r="C1514" s="882"/>
      <c r="D1514" s="882"/>
      <c r="E1514" s="883" t="s">
        <v>767</v>
      </c>
      <c r="F1514" s="883" t="s">
        <v>768</v>
      </c>
      <c r="G1514" s="883" t="s">
        <v>91</v>
      </c>
      <c r="H1514" s="883" t="s">
        <v>2063</v>
      </c>
      <c r="I1514" s="883" t="s">
        <v>2538</v>
      </c>
      <c r="J1514" s="885">
        <v>0</v>
      </c>
      <c r="K1514" s="885">
        <v>1.216</v>
      </c>
      <c r="L1514" s="886">
        <v>1.213805</v>
      </c>
      <c r="M1514" s="882"/>
    </row>
    <row r="1515" spans="1:13" ht="12.75">
      <c r="A1515" s="882"/>
      <c r="B1515" s="882"/>
      <c r="C1515" s="882"/>
      <c r="D1515" s="882"/>
      <c r="E1515" s="883" t="s">
        <v>769</v>
      </c>
      <c r="F1515" s="883" t="s">
        <v>770</v>
      </c>
      <c r="G1515" s="883" t="s">
        <v>91</v>
      </c>
      <c r="H1515" s="883" t="s">
        <v>2063</v>
      </c>
      <c r="I1515" s="883" t="s">
        <v>2538</v>
      </c>
      <c r="J1515" s="885">
        <v>0</v>
      </c>
      <c r="K1515" s="885">
        <v>1.3</v>
      </c>
      <c r="L1515" s="886">
        <v>1.29948</v>
      </c>
      <c r="M1515" s="882"/>
    </row>
    <row r="1516" spans="1:13" ht="12.75">
      <c r="A1516" s="882"/>
      <c r="B1516" s="882"/>
      <c r="C1516" s="882"/>
      <c r="D1516" s="882"/>
      <c r="E1516" s="883" t="s">
        <v>771</v>
      </c>
      <c r="F1516" s="883" t="s">
        <v>772</v>
      </c>
      <c r="G1516" s="883" t="s">
        <v>91</v>
      </c>
      <c r="H1516" s="883" t="s">
        <v>2063</v>
      </c>
      <c r="I1516" s="883" t="s">
        <v>2538</v>
      </c>
      <c r="J1516" s="885">
        <v>0</v>
      </c>
      <c r="K1516" s="885">
        <v>0.708</v>
      </c>
      <c r="L1516" s="886">
        <v>0.707215</v>
      </c>
      <c r="M1516" s="882"/>
    </row>
    <row r="1517" spans="1:13" ht="12.75">
      <c r="A1517" s="882"/>
      <c r="B1517" s="882"/>
      <c r="C1517" s="882"/>
      <c r="D1517" s="882"/>
      <c r="E1517" s="883" t="s">
        <v>773</v>
      </c>
      <c r="F1517" s="883" t="s">
        <v>774</v>
      </c>
      <c r="G1517" s="883" t="s">
        <v>91</v>
      </c>
      <c r="H1517" s="883" t="s">
        <v>2063</v>
      </c>
      <c r="I1517" s="883" t="s">
        <v>2538</v>
      </c>
      <c r="J1517" s="885">
        <v>0</v>
      </c>
      <c r="K1517" s="885">
        <v>0.151</v>
      </c>
      <c r="L1517" s="886">
        <v>0.150346</v>
      </c>
      <c r="M1517" s="882"/>
    </row>
    <row r="1518" spans="1:13" ht="12.75">
      <c r="A1518" s="882"/>
      <c r="B1518" s="882"/>
      <c r="C1518" s="882"/>
      <c r="D1518" s="882"/>
      <c r="E1518" s="883" t="s">
        <v>775</v>
      </c>
      <c r="F1518" s="883" t="s">
        <v>776</v>
      </c>
      <c r="G1518" s="883" t="s">
        <v>91</v>
      </c>
      <c r="H1518" s="883" t="s">
        <v>2063</v>
      </c>
      <c r="I1518" s="883" t="s">
        <v>2627</v>
      </c>
      <c r="J1518" s="885">
        <v>0</v>
      </c>
      <c r="K1518" s="885">
        <v>0</v>
      </c>
      <c r="L1518" s="886">
        <v>0.2165</v>
      </c>
      <c r="M1518" s="882"/>
    </row>
    <row r="1519" spans="1:13" ht="12.75">
      <c r="A1519" s="882"/>
      <c r="B1519" s="882"/>
      <c r="C1519" s="882"/>
      <c r="D1519" s="882"/>
      <c r="E1519" s="883" t="s">
        <v>777</v>
      </c>
      <c r="F1519" s="883" t="s">
        <v>778</v>
      </c>
      <c r="G1519" s="883" t="s">
        <v>132</v>
      </c>
      <c r="H1519" s="883" t="s">
        <v>2063</v>
      </c>
      <c r="I1519" s="883" t="s">
        <v>2538</v>
      </c>
      <c r="J1519" s="885">
        <v>0</v>
      </c>
      <c r="K1519" s="885">
        <v>0.115</v>
      </c>
      <c r="L1519" s="886">
        <v>0.115</v>
      </c>
      <c r="M1519" s="882"/>
    </row>
    <row r="1520" spans="1:13" ht="12.75">
      <c r="A1520" s="882"/>
      <c r="B1520" s="882"/>
      <c r="C1520" s="882"/>
      <c r="D1520" s="882"/>
      <c r="E1520" s="883" t="s">
        <v>779</v>
      </c>
      <c r="F1520" s="883" t="s">
        <v>780</v>
      </c>
      <c r="G1520" s="883" t="s">
        <v>2955</v>
      </c>
      <c r="H1520" s="883" t="s">
        <v>2063</v>
      </c>
      <c r="I1520" s="883" t="s">
        <v>2627</v>
      </c>
      <c r="J1520" s="885">
        <v>0</v>
      </c>
      <c r="K1520" s="885">
        <v>0</v>
      </c>
      <c r="L1520" s="886">
        <v>15.891</v>
      </c>
      <c r="M1520" s="882"/>
    </row>
    <row r="1521" spans="1:13" ht="12.75">
      <c r="A1521" s="882"/>
      <c r="B1521" s="882"/>
      <c r="C1521" s="882"/>
      <c r="D1521" s="882"/>
      <c r="E1521" s="883" t="s">
        <v>779</v>
      </c>
      <c r="F1521" s="883" t="s">
        <v>780</v>
      </c>
      <c r="G1521" s="883" t="s">
        <v>2955</v>
      </c>
      <c r="H1521" s="883" t="s">
        <v>2063</v>
      </c>
      <c r="I1521" s="883" t="s">
        <v>2538</v>
      </c>
      <c r="J1521" s="885">
        <v>0</v>
      </c>
      <c r="K1521" s="885">
        <v>7.864</v>
      </c>
      <c r="L1521" s="886">
        <v>7.863682</v>
      </c>
      <c r="M1521" s="882"/>
    </row>
    <row r="1522" spans="1:13" ht="12.75">
      <c r="A1522" s="882"/>
      <c r="B1522" s="882"/>
      <c r="C1522" s="882"/>
      <c r="D1522" s="882"/>
      <c r="E1522" s="883" t="s">
        <v>781</v>
      </c>
      <c r="F1522" s="883" t="s">
        <v>782</v>
      </c>
      <c r="G1522" s="883" t="s">
        <v>2955</v>
      </c>
      <c r="H1522" s="883" t="s">
        <v>2063</v>
      </c>
      <c r="I1522" s="883" t="s">
        <v>2627</v>
      </c>
      <c r="J1522" s="885">
        <v>0</v>
      </c>
      <c r="K1522" s="885">
        <v>0</v>
      </c>
      <c r="L1522" s="886">
        <v>7.2620196</v>
      </c>
      <c r="M1522" s="882"/>
    </row>
    <row r="1523" spans="1:13" ht="12.75">
      <c r="A1523" s="882"/>
      <c r="B1523" s="882"/>
      <c r="C1523" s="882"/>
      <c r="D1523" s="882"/>
      <c r="E1523" s="883" t="s">
        <v>781</v>
      </c>
      <c r="F1523" s="883" t="s">
        <v>782</v>
      </c>
      <c r="G1523" s="883" t="s">
        <v>2955</v>
      </c>
      <c r="H1523" s="883" t="s">
        <v>2063</v>
      </c>
      <c r="I1523" s="883" t="s">
        <v>2897</v>
      </c>
      <c r="J1523" s="885">
        <v>0</v>
      </c>
      <c r="K1523" s="885">
        <v>0</v>
      </c>
      <c r="L1523" s="886">
        <v>7.258</v>
      </c>
      <c r="M1523" s="882"/>
    </row>
    <row r="1524" spans="1:13" ht="12.75">
      <c r="A1524" s="882"/>
      <c r="B1524" s="882"/>
      <c r="C1524" s="882"/>
      <c r="D1524" s="882"/>
      <c r="E1524" s="883" t="s">
        <v>783</v>
      </c>
      <c r="F1524" s="883" t="s">
        <v>784</v>
      </c>
      <c r="G1524" s="883" t="s">
        <v>2955</v>
      </c>
      <c r="H1524" s="883" t="s">
        <v>2063</v>
      </c>
      <c r="I1524" s="883" t="s">
        <v>2897</v>
      </c>
      <c r="J1524" s="885">
        <v>0</v>
      </c>
      <c r="K1524" s="885">
        <v>0</v>
      </c>
      <c r="L1524" s="886">
        <v>7.847391</v>
      </c>
      <c r="M1524" s="882"/>
    </row>
    <row r="1525" spans="1:13" ht="12.75">
      <c r="A1525" s="882"/>
      <c r="B1525" s="882"/>
      <c r="C1525" s="882"/>
      <c r="D1525" s="882"/>
      <c r="E1525" s="883" t="s">
        <v>785</v>
      </c>
      <c r="F1525" s="883" t="s">
        <v>786</v>
      </c>
      <c r="G1525" s="883" t="s">
        <v>2955</v>
      </c>
      <c r="H1525" s="883" t="s">
        <v>2063</v>
      </c>
      <c r="I1525" s="883" t="s">
        <v>2627</v>
      </c>
      <c r="J1525" s="885">
        <v>0</v>
      </c>
      <c r="K1525" s="885">
        <v>0</v>
      </c>
      <c r="L1525" s="886">
        <v>17.1864</v>
      </c>
      <c r="M1525" s="882"/>
    </row>
    <row r="1526" spans="1:13" ht="12.75">
      <c r="A1526" s="882"/>
      <c r="B1526" s="882"/>
      <c r="C1526" s="882"/>
      <c r="D1526" s="882"/>
      <c r="E1526" s="883" t="s">
        <v>785</v>
      </c>
      <c r="F1526" s="883" t="s">
        <v>786</v>
      </c>
      <c r="G1526" s="883" t="s">
        <v>2955</v>
      </c>
      <c r="H1526" s="883" t="s">
        <v>2063</v>
      </c>
      <c r="I1526" s="883" t="s">
        <v>2538</v>
      </c>
      <c r="J1526" s="884">
        <v>90</v>
      </c>
      <c r="K1526" s="885">
        <v>128.469</v>
      </c>
      <c r="L1526" s="886">
        <v>128.46824779</v>
      </c>
      <c r="M1526" s="882"/>
    </row>
    <row r="1527" spans="1:13" ht="12.75">
      <c r="A1527" s="882"/>
      <c r="B1527" s="882"/>
      <c r="C1527" s="882"/>
      <c r="D1527" s="882"/>
      <c r="E1527" s="883" t="s">
        <v>787</v>
      </c>
      <c r="F1527" s="883" t="s">
        <v>788</v>
      </c>
      <c r="G1527" s="883" t="s">
        <v>2955</v>
      </c>
      <c r="H1527" s="883" t="s">
        <v>2063</v>
      </c>
      <c r="I1527" s="883" t="s">
        <v>2627</v>
      </c>
      <c r="J1527" s="885">
        <v>0</v>
      </c>
      <c r="K1527" s="885">
        <v>0</v>
      </c>
      <c r="L1527" s="886">
        <v>0.24</v>
      </c>
      <c r="M1527" s="882"/>
    </row>
    <row r="1528" spans="1:13" ht="12.75">
      <c r="A1528" s="882"/>
      <c r="B1528" s="882"/>
      <c r="C1528" s="882"/>
      <c r="D1528" s="882"/>
      <c r="E1528" s="883" t="s">
        <v>787</v>
      </c>
      <c r="F1528" s="883" t="s">
        <v>788</v>
      </c>
      <c r="G1528" s="883" t="s">
        <v>2955</v>
      </c>
      <c r="H1528" s="883" t="s">
        <v>2063</v>
      </c>
      <c r="I1528" s="883" t="s">
        <v>2538</v>
      </c>
      <c r="J1528" s="885">
        <v>0</v>
      </c>
      <c r="K1528" s="885">
        <v>0.238</v>
      </c>
      <c r="L1528" s="886">
        <v>0.23698345</v>
      </c>
      <c r="M1528" s="882"/>
    </row>
    <row r="1529" spans="1:13" ht="12.75">
      <c r="A1529" s="882"/>
      <c r="B1529" s="882"/>
      <c r="C1529" s="882"/>
      <c r="D1529" s="882"/>
      <c r="E1529" s="883" t="s">
        <v>789</v>
      </c>
      <c r="F1529" s="883" t="s">
        <v>790</v>
      </c>
      <c r="G1529" s="883" t="s">
        <v>2955</v>
      </c>
      <c r="H1529" s="883" t="s">
        <v>2063</v>
      </c>
      <c r="I1529" s="883" t="s">
        <v>2627</v>
      </c>
      <c r="J1529" s="885">
        <v>0</v>
      </c>
      <c r="K1529" s="885">
        <v>0</v>
      </c>
      <c r="L1529" s="886">
        <v>40.86036598</v>
      </c>
      <c r="M1529" s="882"/>
    </row>
    <row r="1530" spans="1:13" ht="12.75">
      <c r="A1530" s="882"/>
      <c r="B1530" s="882"/>
      <c r="C1530" s="882"/>
      <c r="D1530" s="882"/>
      <c r="E1530" s="883" t="s">
        <v>789</v>
      </c>
      <c r="F1530" s="883" t="s">
        <v>790</v>
      </c>
      <c r="G1530" s="883" t="s">
        <v>2955</v>
      </c>
      <c r="H1530" s="883" t="s">
        <v>2063</v>
      </c>
      <c r="I1530" s="883" t="s">
        <v>2538</v>
      </c>
      <c r="J1530" s="884">
        <v>13</v>
      </c>
      <c r="K1530" s="885">
        <v>0</v>
      </c>
      <c r="L1530" s="886">
        <v>0</v>
      </c>
      <c r="M1530" s="882"/>
    </row>
    <row r="1531" spans="1:13" ht="12.75">
      <c r="A1531" s="882"/>
      <c r="B1531" s="882"/>
      <c r="C1531" s="882"/>
      <c r="D1531" s="882"/>
      <c r="E1531" s="883" t="s">
        <v>791</v>
      </c>
      <c r="F1531" s="883" t="s">
        <v>792</v>
      </c>
      <c r="G1531" s="883" t="s">
        <v>2955</v>
      </c>
      <c r="H1531" s="883" t="s">
        <v>2543</v>
      </c>
      <c r="I1531" s="883" t="s">
        <v>2538</v>
      </c>
      <c r="J1531" s="884">
        <v>30</v>
      </c>
      <c r="K1531" s="885">
        <v>3.361</v>
      </c>
      <c r="L1531" s="886">
        <v>0</v>
      </c>
      <c r="M1531" s="882"/>
    </row>
    <row r="1532" spans="1:13" ht="12.75">
      <c r="A1532" s="882"/>
      <c r="B1532" s="882"/>
      <c r="C1532" s="882"/>
      <c r="D1532" s="882"/>
      <c r="E1532" s="883" t="s">
        <v>791</v>
      </c>
      <c r="F1532" s="883" t="s">
        <v>792</v>
      </c>
      <c r="G1532" s="883" t="s">
        <v>2955</v>
      </c>
      <c r="H1532" s="883" t="s">
        <v>2543</v>
      </c>
      <c r="I1532" s="883" t="s">
        <v>2564</v>
      </c>
      <c r="J1532" s="884">
        <v>120</v>
      </c>
      <c r="K1532" s="885">
        <v>118.116</v>
      </c>
      <c r="L1532" s="886">
        <v>0</v>
      </c>
      <c r="M1532" s="882"/>
    </row>
    <row r="1533" spans="1:13" ht="12.75">
      <c r="A1533" s="882"/>
      <c r="B1533" s="882"/>
      <c r="C1533" s="882"/>
      <c r="D1533" s="882"/>
      <c r="E1533" s="883" t="s">
        <v>793</v>
      </c>
      <c r="F1533" s="883" t="s">
        <v>794</v>
      </c>
      <c r="G1533" s="883" t="s">
        <v>132</v>
      </c>
      <c r="H1533" s="883" t="s">
        <v>2063</v>
      </c>
      <c r="I1533" s="883" t="s">
        <v>2538</v>
      </c>
      <c r="J1533" s="885">
        <v>0</v>
      </c>
      <c r="K1533" s="885">
        <v>1.209</v>
      </c>
      <c r="L1533" s="886">
        <v>1.208629</v>
      </c>
      <c r="M1533" s="882"/>
    </row>
    <row r="1534" spans="1:13" ht="12.75">
      <c r="A1534" s="882"/>
      <c r="B1534" s="882"/>
      <c r="C1534" s="882"/>
      <c r="D1534" s="882"/>
      <c r="E1534" s="883" t="s">
        <v>795</v>
      </c>
      <c r="F1534" s="883" t="s">
        <v>792</v>
      </c>
      <c r="G1534" s="883" t="s">
        <v>93</v>
      </c>
      <c r="H1534" s="883" t="s">
        <v>2543</v>
      </c>
      <c r="I1534" s="883" t="s">
        <v>2538</v>
      </c>
      <c r="J1534" s="885">
        <v>0</v>
      </c>
      <c r="K1534" s="885">
        <v>3.4</v>
      </c>
      <c r="L1534" s="886">
        <v>0</v>
      </c>
      <c r="M1534" s="882"/>
    </row>
    <row r="1535" spans="1:13" ht="12.75">
      <c r="A1535" s="882"/>
      <c r="B1535" s="882"/>
      <c r="C1535" s="882"/>
      <c r="D1535" s="882"/>
      <c r="E1535" s="883" t="s">
        <v>796</v>
      </c>
      <c r="F1535" s="883" t="s">
        <v>792</v>
      </c>
      <c r="G1535" s="883" t="s">
        <v>91</v>
      </c>
      <c r="H1535" s="883" t="s">
        <v>2543</v>
      </c>
      <c r="I1535" s="883" t="s">
        <v>2538</v>
      </c>
      <c r="J1535" s="885">
        <v>0</v>
      </c>
      <c r="K1535" s="885">
        <v>3.4</v>
      </c>
      <c r="L1535" s="886">
        <v>0</v>
      </c>
      <c r="M1535" s="882"/>
    </row>
    <row r="1536" spans="1:13" ht="12.75">
      <c r="A1536" s="882"/>
      <c r="B1536" s="882"/>
      <c r="C1536" s="882"/>
      <c r="D1536" s="882"/>
      <c r="E1536" s="883" t="s">
        <v>797</v>
      </c>
      <c r="F1536" s="883" t="s">
        <v>792</v>
      </c>
      <c r="G1536" s="883" t="s">
        <v>158</v>
      </c>
      <c r="H1536" s="883" t="s">
        <v>2543</v>
      </c>
      <c r="I1536" s="883" t="s">
        <v>2538</v>
      </c>
      <c r="J1536" s="885">
        <v>0</v>
      </c>
      <c r="K1536" s="885">
        <v>3.4</v>
      </c>
      <c r="L1536" s="886">
        <v>0</v>
      </c>
      <c r="M1536" s="882"/>
    </row>
    <row r="1537" spans="1:13" ht="12.75">
      <c r="A1537" s="882"/>
      <c r="B1537" s="882"/>
      <c r="C1537" s="882"/>
      <c r="D1537" s="882"/>
      <c r="E1537" s="883" t="s">
        <v>798</v>
      </c>
      <c r="F1537" s="883" t="s">
        <v>792</v>
      </c>
      <c r="G1537" s="883" t="s">
        <v>145</v>
      </c>
      <c r="H1537" s="883" t="s">
        <v>2543</v>
      </c>
      <c r="I1537" s="883" t="s">
        <v>2538</v>
      </c>
      <c r="J1537" s="885">
        <v>0</v>
      </c>
      <c r="K1537" s="885">
        <v>3.4</v>
      </c>
      <c r="L1537" s="886">
        <v>0</v>
      </c>
      <c r="M1537" s="882"/>
    </row>
    <row r="1538" spans="1:13" ht="12.75">
      <c r="A1538" s="882"/>
      <c r="B1538" s="882"/>
      <c r="C1538" s="882"/>
      <c r="D1538" s="882"/>
      <c r="E1538" s="883" t="s">
        <v>799</v>
      </c>
      <c r="F1538" s="883" t="s">
        <v>792</v>
      </c>
      <c r="G1538" s="883" t="s">
        <v>95</v>
      </c>
      <c r="H1538" s="883" t="s">
        <v>2543</v>
      </c>
      <c r="I1538" s="883" t="s">
        <v>2538</v>
      </c>
      <c r="J1538" s="885">
        <v>0</v>
      </c>
      <c r="K1538" s="885">
        <v>3.4</v>
      </c>
      <c r="L1538" s="886">
        <v>0</v>
      </c>
      <c r="M1538" s="882"/>
    </row>
    <row r="1539" spans="1:13" ht="12.75">
      <c r="A1539" s="882"/>
      <c r="B1539" s="882"/>
      <c r="C1539" s="882"/>
      <c r="D1539" s="882"/>
      <c r="E1539" s="883" t="s">
        <v>800</v>
      </c>
      <c r="F1539" s="883" t="s">
        <v>792</v>
      </c>
      <c r="G1539" s="883" t="s">
        <v>132</v>
      </c>
      <c r="H1539" s="883" t="s">
        <v>2543</v>
      </c>
      <c r="I1539" s="883" t="s">
        <v>2538</v>
      </c>
      <c r="J1539" s="885">
        <v>0</v>
      </c>
      <c r="K1539" s="885">
        <v>2.839</v>
      </c>
      <c r="L1539" s="886">
        <v>0</v>
      </c>
      <c r="M1539" s="882"/>
    </row>
    <row r="1540" spans="1:13" ht="12.75">
      <c r="A1540" s="882"/>
      <c r="B1540" s="882"/>
      <c r="C1540" s="882"/>
      <c r="D1540" s="882"/>
      <c r="E1540" s="883" t="s">
        <v>801</v>
      </c>
      <c r="F1540" s="883" t="s">
        <v>792</v>
      </c>
      <c r="G1540" s="883" t="s">
        <v>121</v>
      </c>
      <c r="H1540" s="883" t="s">
        <v>2543</v>
      </c>
      <c r="I1540" s="883" t="s">
        <v>2538</v>
      </c>
      <c r="J1540" s="885">
        <v>0</v>
      </c>
      <c r="K1540" s="885">
        <v>3.4</v>
      </c>
      <c r="L1540" s="886">
        <v>0</v>
      </c>
      <c r="M1540" s="882"/>
    </row>
    <row r="1541" spans="1:13" ht="13.5" thickBot="1">
      <c r="A1541" s="882"/>
      <c r="B1541" s="882"/>
      <c r="C1541" s="882"/>
      <c r="D1541" s="882"/>
      <c r="E1541" s="883" t="s">
        <v>802</v>
      </c>
      <c r="F1541" s="883" t="s">
        <v>792</v>
      </c>
      <c r="G1541" s="883" t="s">
        <v>110</v>
      </c>
      <c r="H1541" s="883" t="s">
        <v>2543</v>
      </c>
      <c r="I1541" s="883" t="s">
        <v>2538</v>
      </c>
      <c r="J1541" s="885">
        <v>0</v>
      </c>
      <c r="K1541" s="885">
        <v>3.4</v>
      </c>
      <c r="L1541" s="886">
        <v>0</v>
      </c>
      <c r="M1541" s="882"/>
    </row>
    <row r="1542" spans="1:13" ht="13.5" thickBot="1">
      <c r="A1542" s="882"/>
      <c r="B1542" s="882"/>
      <c r="C1542" s="882"/>
      <c r="D1542" s="882"/>
      <c r="E1542" s="1043" t="s">
        <v>803</v>
      </c>
      <c r="F1542" s="1044"/>
      <c r="G1542" s="1044"/>
      <c r="H1542" s="1044"/>
      <c r="I1542" s="1044"/>
      <c r="J1542" s="890">
        <f>SUM(J967:J1541)</f>
        <v>1560.8469999999998</v>
      </c>
      <c r="K1542" s="890">
        <f>SUM(K967:K1541)</f>
        <v>1739.558000000001</v>
      </c>
      <c r="L1542" s="891">
        <f>SUM(L967:L1541)</f>
        <v>1687.3466852400004</v>
      </c>
      <c r="M1542" s="882"/>
    </row>
    <row r="1543" spans="1:13" ht="12.75">
      <c r="A1543" s="882"/>
      <c r="B1543" s="882"/>
      <c r="C1543" s="882"/>
      <c r="D1543" s="882"/>
      <c r="E1543" s="883" t="s">
        <v>804</v>
      </c>
      <c r="F1543" s="883" t="s">
        <v>805</v>
      </c>
      <c r="G1543" s="883" t="s">
        <v>2180</v>
      </c>
      <c r="H1543" s="883" t="s">
        <v>2063</v>
      </c>
      <c r="I1543" s="883" t="s">
        <v>2627</v>
      </c>
      <c r="J1543" s="884">
        <v>0</v>
      </c>
      <c r="K1543" s="885">
        <v>0</v>
      </c>
      <c r="L1543" s="886">
        <v>5.942349</v>
      </c>
      <c r="M1543" s="882"/>
    </row>
    <row r="1544" spans="1:13" ht="12.75">
      <c r="A1544" s="882"/>
      <c r="B1544" s="882"/>
      <c r="C1544" s="882"/>
      <c r="D1544" s="882"/>
      <c r="E1544" s="883" t="s">
        <v>806</v>
      </c>
      <c r="F1544" s="883" t="s">
        <v>807</v>
      </c>
      <c r="G1544" s="883" t="s">
        <v>2279</v>
      </c>
      <c r="H1544" s="883" t="s">
        <v>2063</v>
      </c>
      <c r="I1544" s="883" t="s">
        <v>2627</v>
      </c>
      <c r="J1544" s="885">
        <v>0</v>
      </c>
      <c r="K1544" s="885">
        <v>0</v>
      </c>
      <c r="L1544" s="886">
        <v>0.661687</v>
      </c>
      <c r="M1544" s="882"/>
    </row>
    <row r="1545" spans="1:13" ht="12.75">
      <c r="A1545" s="882"/>
      <c r="B1545" s="882"/>
      <c r="C1545" s="882"/>
      <c r="D1545" s="882"/>
      <c r="E1545" s="883" t="s">
        <v>806</v>
      </c>
      <c r="F1545" s="883" t="s">
        <v>807</v>
      </c>
      <c r="G1545" s="883" t="s">
        <v>2279</v>
      </c>
      <c r="H1545" s="883" t="s">
        <v>2063</v>
      </c>
      <c r="I1545" s="883" t="s">
        <v>2538</v>
      </c>
      <c r="J1545" s="884">
        <v>16</v>
      </c>
      <c r="K1545" s="885">
        <v>15.826</v>
      </c>
      <c r="L1545" s="886">
        <v>15.825253</v>
      </c>
      <c r="M1545" s="882"/>
    </row>
    <row r="1546" spans="1:13" ht="12.75">
      <c r="A1546" s="882"/>
      <c r="B1546" s="882"/>
      <c r="C1546" s="882"/>
      <c r="D1546" s="882"/>
      <c r="E1546" s="883" t="s">
        <v>808</v>
      </c>
      <c r="F1546" s="883" t="s">
        <v>809</v>
      </c>
      <c r="G1546" s="883" t="s">
        <v>2185</v>
      </c>
      <c r="H1546" s="883" t="s">
        <v>2063</v>
      </c>
      <c r="I1546" s="883" t="s">
        <v>2538</v>
      </c>
      <c r="J1546" s="884">
        <v>20</v>
      </c>
      <c r="K1546" s="885">
        <v>12.091</v>
      </c>
      <c r="L1546" s="886">
        <v>12.091</v>
      </c>
      <c r="M1546" s="882"/>
    </row>
    <row r="1547" spans="1:13" ht="12.75">
      <c r="A1547" s="882"/>
      <c r="B1547" s="882"/>
      <c r="C1547" s="882"/>
      <c r="D1547" s="882"/>
      <c r="E1547" s="883" t="s">
        <v>810</v>
      </c>
      <c r="F1547" s="883" t="s">
        <v>811</v>
      </c>
      <c r="G1547" s="883" t="s">
        <v>2186</v>
      </c>
      <c r="H1547" s="883" t="s">
        <v>2063</v>
      </c>
      <c r="I1547" s="883" t="s">
        <v>2627</v>
      </c>
      <c r="J1547" s="884">
        <v>0</v>
      </c>
      <c r="K1547" s="885">
        <v>0</v>
      </c>
      <c r="L1547" s="886">
        <v>12.490138</v>
      </c>
      <c r="M1547" s="882"/>
    </row>
    <row r="1548" spans="1:13" ht="12.75">
      <c r="A1548" s="882"/>
      <c r="B1548" s="882"/>
      <c r="C1548" s="882"/>
      <c r="D1548" s="882"/>
      <c r="E1548" s="883" t="s">
        <v>810</v>
      </c>
      <c r="F1548" s="883" t="s">
        <v>811</v>
      </c>
      <c r="G1548" s="883" t="s">
        <v>2186</v>
      </c>
      <c r="H1548" s="883" t="s">
        <v>2063</v>
      </c>
      <c r="I1548" s="883" t="s">
        <v>2627</v>
      </c>
      <c r="J1548" s="885">
        <v>0</v>
      </c>
      <c r="K1548" s="885">
        <v>0</v>
      </c>
      <c r="L1548" s="886">
        <v>0.035704</v>
      </c>
      <c r="M1548" s="882"/>
    </row>
    <row r="1549" spans="1:13" ht="12.75">
      <c r="A1549" s="882"/>
      <c r="B1549" s="882"/>
      <c r="C1549" s="882"/>
      <c r="D1549" s="882"/>
      <c r="E1549" s="883" t="s">
        <v>810</v>
      </c>
      <c r="F1549" s="883" t="s">
        <v>811</v>
      </c>
      <c r="G1549" s="883" t="s">
        <v>2186</v>
      </c>
      <c r="H1549" s="883" t="s">
        <v>2063</v>
      </c>
      <c r="I1549" s="883" t="s">
        <v>2538</v>
      </c>
      <c r="J1549" s="884">
        <v>33</v>
      </c>
      <c r="K1549" s="885">
        <v>33.693</v>
      </c>
      <c r="L1549" s="886">
        <v>33.6925526</v>
      </c>
      <c r="M1549" s="882"/>
    </row>
    <row r="1550" spans="1:13" ht="12.75">
      <c r="A1550" s="882"/>
      <c r="B1550" s="882"/>
      <c r="C1550" s="882"/>
      <c r="D1550" s="882"/>
      <c r="E1550" s="883" t="s">
        <v>812</v>
      </c>
      <c r="F1550" s="883" t="s">
        <v>813</v>
      </c>
      <c r="G1550" s="883" t="s">
        <v>2184</v>
      </c>
      <c r="H1550" s="883" t="s">
        <v>2063</v>
      </c>
      <c r="I1550" s="883" t="s">
        <v>2627</v>
      </c>
      <c r="J1550" s="885">
        <v>0</v>
      </c>
      <c r="K1550" s="885">
        <v>0</v>
      </c>
      <c r="L1550" s="886">
        <v>0.047</v>
      </c>
      <c r="M1550" s="882"/>
    </row>
    <row r="1551" spans="1:13" ht="12.75">
      <c r="A1551" s="882"/>
      <c r="B1551" s="882"/>
      <c r="C1551" s="882"/>
      <c r="D1551" s="882"/>
      <c r="E1551" s="883" t="s">
        <v>812</v>
      </c>
      <c r="F1551" s="883" t="s">
        <v>813</v>
      </c>
      <c r="G1551" s="883" t="s">
        <v>2184</v>
      </c>
      <c r="H1551" s="883" t="s">
        <v>2063</v>
      </c>
      <c r="I1551" s="883" t="s">
        <v>2841</v>
      </c>
      <c r="J1551" s="885">
        <v>0</v>
      </c>
      <c r="K1551" s="885">
        <v>0.02</v>
      </c>
      <c r="L1551" s="886">
        <v>0.019278</v>
      </c>
      <c r="M1551" s="882"/>
    </row>
    <row r="1552" spans="1:13" ht="12.75">
      <c r="A1552" s="882"/>
      <c r="B1552" s="882"/>
      <c r="C1552" s="882"/>
      <c r="D1552" s="882"/>
      <c r="E1552" s="883" t="s">
        <v>812</v>
      </c>
      <c r="F1552" s="883" t="s">
        <v>813</v>
      </c>
      <c r="G1552" s="883" t="s">
        <v>2184</v>
      </c>
      <c r="H1552" s="883" t="s">
        <v>2063</v>
      </c>
      <c r="I1552" s="883" t="s">
        <v>2538</v>
      </c>
      <c r="J1552" s="884">
        <v>13</v>
      </c>
      <c r="K1552" s="885">
        <v>22.465</v>
      </c>
      <c r="L1552" s="886">
        <v>22.46494945</v>
      </c>
      <c r="M1552" s="882"/>
    </row>
    <row r="1553" spans="1:13" ht="12.75">
      <c r="A1553" s="882"/>
      <c r="B1553" s="882"/>
      <c r="C1553" s="882"/>
      <c r="D1553" s="882"/>
      <c r="E1553" s="883" t="s">
        <v>814</v>
      </c>
      <c r="F1553" s="883" t="s">
        <v>815</v>
      </c>
      <c r="G1553" s="883" t="s">
        <v>2184</v>
      </c>
      <c r="H1553" s="883" t="s">
        <v>2063</v>
      </c>
      <c r="I1553" s="883" t="s">
        <v>2538</v>
      </c>
      <c r="J1553" s="884">
        <v>2</v>
      </c>
      <c r="K1553" s="885">
        <v>0</v>
      </c>
      <c r="L1553" s="886">
        <v>0</v>
      </c>
      <c r="M1553" s="882"/>
    </row>
    <row r="1554" spans="1:13" ht="12.75">
      <c r="A1554" s="882"/>
      <c r="B1554" s="882"/>
      <c r="C1554" s="882"/>
      <c r="D1554" s="882"/>
      <c r="E1554" s="883" t="s">
        <v>816</v>
      </c>
      <c r="F1554" s="883" t="s">
        <v>817</v>
      </c>
      <c r="G1554" s="883" t="s">
        <v>2478</v>
      </c>
      <c r="H1554" s="883" t="s">
        <v>2063</v>
      </c>
      <c r="I1554" s="883" t="s">
        <v>2627</v>
      </c>
      <c r="J1554" s="885">
        <v>0</v>
      </c>
      <c r="K1554" s="885">
        <v>0</v>
      </c>
      <c r="L1554" s="886">
        <v>0.162</v>
      </c>
      <c r="M1554" s="882"/>
    </row>
    <row r="1555" spans="1:13" ht="12.75">
      <c r="A1555" s="882"/>
      <c r="B1555" s="882"/>
      <c r="C1555" s="882"/>
      <c r="D1555" s="882"/>
      <c r="E1555" s="883" t="s">
        <v>816</v>
      </c>
      <c r="F1555" s="883" t="s">
        <v>817</v>
      </c>
      <c r="G1555" s="883" t="s">
        <v>2478</v>
      </c>
      <c r="H1555" s="883" t="s">
        <v>2063</v>
      </c>
      <c r="I1555" s="883" t="s">
        <v>2538</v>
      </c>
      <c r="J1555" s="884">
        <v>15.7</v>
      </c>
      <c r="K1555" s="885">
        <v>15.248</v>
      </c>
      <c r="L1555" s="886">
        <v>15.248</v>
      </c>
      <c r="M1555" s="882"/>
    </row>
    <row r="1556" spans="1:13" ht="12.75">
      <c r="A1556" s="882"/>
      <c r="B1556" s="882"/>
      <c r="C1556" s="882"/>
      <c r="D1556" s="882"/>
      <c r="E1556" s="883" t="s">
        <v>818</v>
      </c>
      <c r="F1556" s="883" t="s">
        <v>819</v>
      </c>
      <c r="G1556" s="883" t="s">
        <v>2478</v>
      </c>
      <c r="H1556" s="883" t="s">
        <v>2063</v>
      </c>
      <c r="I1556" s="883" t="s">
        <v>2627</v>
      </c>
      <c r="J1556" s="884">
        <v>0</v>
      </c>
      <c r="K1556" s="885">
        <v>0</v>
      </c>
      <c r="L1556" s="886">
        <v>0.803814</v>
      </c>
      <c r="M1556" s="882"/>
    </row>
    <row r="1557" spans="1:13" ht="12.75">
      <c r="A1557" s="882"/>
      <c r="B1557" s="882"/>
      <c r="C1557" s="882"/>
      <c r="D1557" s="882"/>
      <c r="E1557" s="883" t="s">
        <v>820</v>
      </c>
      <c r="F1557" s="883" t="s">
        <v>821</v>
      </c>
      <c r="G1557" s="883" t="s">
        <v>2180</v>
      </c>
      <c r="H1557" s="883" t="s">
        <v>2063</v>
      </c>
      <c r="I1557" s="883" t="s">
        <v>2538</v>
      </c>
      <c r="J1557" s="884">
        <v>9</v>
      </c>
      <c r="K1557" s="885">
        <v>12.233</v>
      </c>
      <c r="L1557" s="886">
        <v>12.232765</v>
      </c>
      <c r="M1557" s="882"/>
    </row>
    <row r="1558" spans="1:13" ht="12.75">
      <c r="A1558" s="882"/>
      <c r="B1558" s="882"/>
      <c r="C1558" s="882"/>
      <c r="D1558" s="882"/>
      <c r="E1558" s="883" t="s">
        <v>822</v>
      </c>
      <c r="F1558" s="883" t="s">
        <v>823</v>
      </c>
      <c r="G1558" s="883" t="s">
        <v>2279</v>
      </c>
      <c r="H1558" s="883" t="s">
        <v>2063</v>
      </c>
      <c r="I1558" s="883" t="s">
        <v>2538</v>
      </c>
      <c r="J1558" s="884">
        <v>5</v>
      </c>
      <c r="K1558" s="885">
        <v>4.082</v>
      </c>
      <c r="L1558" s="886">
        <v>4.08142</v>
      </c>
      <c r="M1558" s="882"/>
    </row>
    <row r="1559" spans="1:13" ht="12.75">
      <c r="A1559" s="882"/>
      <c r="B1559" s="882"/>
      <c r="C1559" s="882"/>
      <c r="D1559" s="882"/>
      <c r="E1559" s="883" t="s">
        <v>824</v>
      </c>
      <c r="F1559" s="883" t="s">
        <v>825</v>
      </c>
      <c r="G1559" s="883" t="s">
        <v>2186</v>
      </c>
      <c r="H1559" s="883" t="s">
        <v>2063</v>
      </c>
      <c r="I1559" s="883" t="s">
        <v>2627</v>
      </c>
      <c r="J1559" s="884">
        <v>0</v>
      </c>
      <c r="K1559" s="885">
        <v>0</v>
      </c>
      <c r="L1559" s="886">
        <v>4</v>
      </c>
      <c r="M1559" s="882"/>
    </row>
    <row r="1560" spans="1:13" ht="12.75">
      <c r="A1560" s="882"/>
      <c r="B1560" s="882"/>
      <c r="C1560" s="882"/>
      <c r="D1560" s="882"/>
      <c r="E1560" s="883" t="s">
        <v>824</v>
      </c>
      <c r="F1560" s="883" t="s">
        <v>825</v>
      </c>
      <c r="G1560" s="883" t="s">
        <v>2186</v>
      </c>
      <c r="H1560" s="883" t="s">
        <v>2063</v>
      </c>
      <c r="I1560" s="883" t="s">
        <v>2538</v>
      </c>
      <c r="J1560" s="884">
        <v>6.9</v>
      </c>
      <c r="K1560" s="885">
        <v>2.335</v>
      </c>
      <c r="L1560" s="886">
        <v>2.335</v>
      </c>
      <c r="M1560" s="882"/>
    </row>
    <row r="1561" spans="1:13" ht="12.75">
      <c r="A1561" s="882"/>
      <c r="B1561" s="882"/>
      <c r="C1561" s="882"/>
      <c r="D1561" s="882"/>
      <c r="E1561" s="883" t="s">
        <v>826</v>
      </c>
      <c r="F1561" s="883" t="s">
        <v>827</v>
      </c>
      <c r="G1561" s="883" t="s">
        <v>2185</v>
      </c>
      <c r="H1561" s="883" t="s">
        <v>2063</v>
      </c>
      <c r="I1561" s="883" t="s">
        <v>2538</v>
      </c>
      <c r="J1561" s="884">
        <v>14</v>
      </c>
      <c r="K1561" s="885">
        <v>14</v>
      </c>
      <c r="L1561" s="886">
        <v>14</v>
      </c>
      <c r="M1561" s="882"/>
    </row>
    <row r="1562" spans="1:13" ht="12.75">
      <c r="A1562" s="882"/>
      <c r="B1562" s="882"/>
      <c r="C1562" s="882"/>
      <c r="D1562" s="882"/>
      <c r="E1562" s="883" t="s">
        <v>828</v>
      </c>
      <c r="F1562" s="883" t="s">
        <v>829</v>
      </c>
      <c r="G1562" s="883" t="s">
        <v>2182</v>
      </c>
      <c r="H1562" s="883" t="s">
        <v>2063</v>
      </c>
      <c r="I1562" s="883" t="s">
        <v>2627</v>
      </c>
      <c r="J1562" s="885">
        <v>0</v>
      </c>
      <c r="K1562" s="885">
        <v>0</v>
      </c>
      <c r="L1562" s="886">
        <v>12.349</v>
      </c>
      <c r="M1562" s="882"/>
    </row>
    <row r="1563" spans="1:13" ht="12.75">
      <c r="A1563" s="882"/>
      <c r="B1563" s="882"/>
      <c r="C1563" s="882"/>
      <c r="D1563" s="882"/>
      <c r="E1563" s="883" t="s">
        <v>828</v>
      </c>
      <c r="F1563" s="883" t="s">
        <v>829</v>
      </c>
      <c r="G1563" s="883" t="s">
        <v>2182</v>
      </c>
      <c r="H1563" s="883" t="s">
        <v>2063</v>
      </c>
      <c r="I1563" s="883" t="s">
        <v>2627</v>
      </c>
      <c r="J1563" s="885">
        <v>0</v>
      </c>
      <c r="K1563" s="885">
        <v>0</v>
      </c>
      <c r="L1563" s="886">
        <v>0.046875</v>
      </c>
      <c r="M1563" s="882"/>
    </row>
    <row r="1564" spans="1:13" ht="12.75">
      <c r="A1564" s="882"/>
      <c r="B1564" s="882"/>
      <c r="C1564" s="882"/>
      <c r="D1564" s="882"/>
      <c r="E1564" s="883" t="s">
        <v>828</v>
      </c>
      <c r="F1564" s="883" t="s">
        <v>829</v>
      </c>
      <c r="G1564" s="883" t="s">
        <v>2182</v>
      </c>
      <c r="H1564" s="883" t="s">
        <v>2063</v>
      </c>
      <c r="I1564" s="883" t="s">
        <v>2538</v>
      </c>
      <c r="J1564" s="884">
        <v>20</v>
      </c>
      <c r="K1564" s="885">
        <v>11.953</v>
      </c>
      <c r="L1564" s="886">
        <v>11.953</v>
      </c>
      <c r="M1564" s="882"/>
    </row>
    <row r="1565" spans="1:13" ht="12.75">
      <c r="A1565" s="882"/>
      <c r="B1565" s="882"/>
      <c r="C1565" s="882"/>
      <c r="D1565" s="882"/>
      <c r="E1565" s="883" t="s">
        <v>830</v>
      </c>
      <c r="F1565" s="883" t="s">
        <v>1324</v>
      </c>
      <c r="G1565" s="883" t="s">
        <v>2179</v>
      </c>
      <c r="H1565" s="883" t="s">
        <v>2063</v>
      </c>
      <c r="I1565" s="883" t="s">
        <v>2538</v>
      </c>
      <c r="J1565" s="884">
        <v>10</v>
      </c>
      <c r="K1565" s="885">
        <v>8</v>
      </c>
      <c r="L1565" s="886">
        <v>7.999775</v>
      </c>
      <c r="M1565" s="882"/>
    </row>
    <row r="1566" spans="1:13" ht="12.75">
      <c r="A1566" s="882"/>
      <c r="B1566" s="882"/>
      <c r="C1566" s="882"/>
      <c r="D1566" s="882"/>
      <c r="E1566" s="883" t="s">
        <v>831</v>
      </c>
      <c r="F1566" s="883" t="s">
        <v>832</v>
      </c>
      <c r="G1566" s="883" t="s">
        <v>2179</v>
      </c>
      <c r="H1566" s="883" t="s">
        <v>2063</v>
      </c>
      <c r="I1566" s="883" t="s">
        <v>2538</v>
      </c>
      <c r="J1566" s="884">
        <v>4.06</v>
      </c>
      <c r="K1566" s="885">
        <v>3.999</v>
      </c>
      <c r="L1566" s="886">
        <v>3.998995</v>
      </c>
      <c r="M1566" s="882"/>
    </row>
    <row r="1567" spans="1:13" ht="12.75">
      <c r="A1567" s="882"/>
      <c r="B1567" s="882"/>
      <c r="C1567" s="882"/>
      <c r="D1567" s="882"/>
      <c r="E1567" s="883" t="s">
        <v>833</v>
      </c>
      <c r="F1567" s="883" t="s">
        <v>834</v>
      </c>
      <c r="G1567" s="883" t="s">
        <v>2179</v>
      </c>
      <c r="H1567" s="883" t="s">
        <v>2063</v>
      </c>
      <c r="I1567" s="883" t="s">
        <v>2538</v>
      </c>
      <c r="J1567" s="884">
        <v>13</v>
      </c>
      <c r="K1567" s="885">
        <v>15.351</v>
      </c>
      <c r="L1567" s="886">
        <v>15.350405</v>
      </c>
      <c r="M1567" s="882"/>
    </row>
    <row r="1568" spans="1:13" ht="12.75">
      <c r="A1568" s="882"/>
      <c r="B1568" s="882"/>
      <c r="C1568" s="882"/>
      <c r="D1568" s="882"/>
      <c r="E1568" s="883" t="s">
        <v>835</v>
      </c>
      <c r="F1568" s="883" t="s">
        <v>836</v>
      </c>
      <c r="G1568" s="883" t="s">
        <v>2279</v>
      </c>
      <c r="H1568" s="883" t="s">
        <v>2063</v>
      </c>
      <c r="I1568" s="883" t="s">
        <v>2627</v>
      </c>
      <c r="J1568" s="885">
        <v>0</v>
      </c>
      <c r="K1568" s="885">
        <v>0</v>
      </c>
      <c r="L1568" s="886">
        <v>2</v>
      </c>
      <c r="M1568" s="882"/>
    </row>
    <row r="1569" spans="1:13" ht="12.75">
      <c r="A1569" s="882"/>
      <c r="B1569" s="882"/>
      <c r="C1569" s="882"/>
      <c r="D1569" s="882"/>
      <c r="E1569" s="883" t="s">
        <v>837</v>
      </c>
      <c r="F1569" s="883" t="s">
        <v>838</v>
      </c>
      <c r="G1569" s="883" t="s">
        <v>2279</v>
      </c>
      <c r="H1569" s="883" t="s">
        <v>2063</v>
      </c>
      <c r="I1569" s="883" t="s">
        <v>2627</v>
      </c>
      <c r="J1569" s="885">
        <v>0</v>
      </c>
      <c r="K1569" s="885">
        <v>0</v>
      </c>
      <c r="L1569" s="886">
        <v>2</v>
      </c>
      <c r="M1569" s="882"/>
    </row>
    <row r="1570" spans="1:13" ht="12.75">
      <c r="A1570" s="882"/>
      <c r="B1570" s="882"/>
      <c r="C1570" s="882"/>
      <c r="D1570" s="882"/>
      <c r="E1570" s="883" t="s">
        <v>839</v>
      </c>
      <c r="F1570" s="883" t="s">
        <v>840</v>
      </c>
      <c r="G1570" s="883" t="s">
        <v>2279</v>
      </c>
      <c r="H1570" s="883" t="s">
        <v>2063</v>
      </c>
      <c r="I1570" s="883" t="s">
        <v>2627</v>
      </c>
      <c r="J1570" s="885">
        <v>0</v>
      </c>
      <c r="K1570" s="885">
        <v>0</v>
      </c>
      <c r="L1570" s="886">
        <v>2</v>
      </c>
      <c r="M1570" s="882"/>
    </row>
    <row r="1571" spans="1:13" ht="13.5" thickBot="1">
      <c r="A1571" s="882"/>
      <c r="B1571" s="882"/>
      <c r="C1571" s="882"/>
      <c r="D1571" s="882"/>
      <c r="E1571" s="883" t="s">
        <v>841</v>
      </c>
      <c r="F1571" s="883" t="s">
        <v>842</v>
      </c>
      <c r="G1571" s="883" t="s">
        <v>2186</v>
      </c>
      <c r="H1571" s="883" t="s">
        <v>2063</v>
      </c>
      <c r="I1571" s="883" t="s">
        <v>2627</v>
      </c>
      <c r="J1571" s="884">
        <v>0</v>
      </c>
      <c r="K1571" s="885">
        <v>0</v>
      </c>
      <c r="L1571" s="886">
        <v>0.497564</v>
      </c>
      <c r="M1571" s="882"/>
    </row>
    <row r="1572" spans="1:13" ht="13.5" thickBot="1">
      <c r="A1572" s="882"/>
      <c r="B1572" s="882"/>
      <c r="C1572" s="882"/>
      <c r="D1572" s="882"/>
      <c r="E1572" s="1043" t="s">
        <v>843</v>
      </c>
      <c r="F1572" s="1044"/>
      <c r="G1572" s="1044"/>
      <c r="H1572" s="1044"/>
      <c r="I1572" s="1044"/>
      <c r="J1572" s="890">
        <f>SUM(J1543:J1571)</f>
        <v>181.66000000000003</v>
      </c>
      <c r="K1572" s="890">
        <f>SUM(K1543:K1571)</f>
        <v>171.296</v>
      </c>
      <c r="L1572" s="891">
        <f>SUM(L1543:L1571)</f>
        <v>214.32852405000003</v>
      </c>
      <c r="M1572" s="882"/>
    </row>
    <row r="1573" spans="1:13" ht="12.75">
      <c r="A1573" s="882"/>
      <c r="B1573" s="882"/>
      <c r="C1573" s="882"/>
      <c r="D1573" s="882"/>
      <c r="E1573" s="883" t="s">
        <v>844</v>
      </c>
      <c r="F1573" s="883" t="s">
        <v>845</v>
      </c>
      <c r="G1573" s="883" t="s">
        <v>2469</v>
      </c>
      <c r="H1573" s="883" t="s">
        <v>2063</v>
      </c>
      <c r="I1573" s="883" t="s">
        <v>2841</v>
      </c>
      <c r="J1573" s="885">
        <v>0</v>
      </c>
      <c r="K1573" s="885">
        <v>0.937</v>
      </c>
      <c r="L1573" s="886">
        <v>0.93545543</v>
      </c>
      <c r="M1573" s="882"/>
    </row>
    <row r="1574" spans="1:13" ht="13.5" thickBot="1">
      <c r="A1574" s="882"/>
      <c r="B1574" s="882"/>
      <c r="C1574" s="882"/>
      <c r="D1574" s="882"/>
      <c r="E1574" s="883" t="s">
        <v>844</v>
      </c>
      <c r="F1574" s="883" t="s">
        <v>845</v>
      </c>
      <c r="G1574" s="883" t="s">
        <v>2469</v>
      </c>
      <c r="H1574" s="883" t="s">
        <v>2063</v>
      </c>
      <c r="I1574" s="883" t="s">
        <v>2538</v>
      </c>
      <c r="J1574" s="885">
        <v>0</v>
      </c>
      <c r="K1574" s="885">
        <v>31.953</v>
      </c>
      <c r="L1574" s="886">
        <v>31.9523092</v>
      </c>
      <c r="M1574" s="882"/>
    </row>
    <row r="1575" spans="1:13" ht="13.5" thickBot="1">
      <c r="A1575" s="882"/>
      <c r="B1575" s="882"/>
      <c r="C1575" s="882"/>
      <c r="D1575" s="882"/>
      <c r="E1575" s="1043" t="s">
        <v>846</v>
      </c>
      <c r="F1575" s="1044"/>
      <c r="G1575" s="1044"/>
      <c r="H1575" s="1044"/>
      <c r="I1575" s="1044"/>
      <c r="J1575" s="890">
        <f>SUM(J1573:J1574)</f>
        <v>0</v>
      </c>
      <c r="K1575" s="890">
        <f>SUM(K1573:K1574)</f>
        <v>32.89</v>
      </c>
      <c r="L1575" s="891">
        <f>SUM(L1573:L1574)</f>
        <v>32.88776463</v>
      </c>
      <c r="M1575" s="882"/>
    </row>
    <row r="1576" spans="1:13" ht="12.75">
      <c r="A1576" s="882"/>
      <c r="B1576" s="882"/>
      <c r="C1576" s="882"/>
      <c r="D1576" s="882"/>
      <c r="E1576" s="883" t="s">
        <v>847</v>
      </c>
      <c r="F1576" s="883" t="s">
        <v>848</v>
      </c>
      <c r="G1576" s="883" t="s">
        <v>2469</v>
      </c>
      <c r="H1576" s="883" t="s">
        <v>2063</v>
      </c>
      <c r="I1576" s="883" t="s">
        <v>2627</v>
      </c>
      <c r="J1576" s="885">
        <v>0</v>
      </c>
      <c r="K1576" s="885">
        <v>0</v>
      </c>
      <c r="L1576" s="886">
        <v>4.3951815</v>
      </c>
      <c r="M1576" s="882"/>
    </row>
    <row r="1577" spans="1:13" ht="12.75">
      <c r="A1577" s="882"/>
      <c r="B1577" s="882"/>
      <c r="C1577" s="882"/>
      <c r="D1577" s="882"/>
      <c r="E1577" s="883" t="s">
        <v>849</v>
      </c>
      <c r="F1577" s="883" t="s">
        <v>850</v>
      </c>
      <c r="G1577" s="883" t="s">
        <v>2469</v>
      </c>
      <c r="H1577" s="883" t="s">
        <v>2063</v>
      </c>
      <c r="I1577" s="883" t="s">
        <v>2538</v>
      </c>
      <c r="J1577" s="885">
        <v>0</v>
      </c>
      <c r="K1577" s="885">
        <v>0.702</v>
      </c>
      <c r="L1577" s="886">
        <v>0.7017535</v>
      </c>
      <c r="M1577" s="882"/>
    </row>
    <row r="1578" spans="1:13" ht="12.75">
      <c r="A1578" s="882"/>
      <c r="B1578" s="882"/>
      <c r="C1578" s="882"/>
      <c r="D1578" s="882"/>
      <c r="E1578" s="883" t="s">
        <v>851</v>
      </c>
      <c r="F1578" s="883" t="s">
        <v>852</v>
      </c>
      <c r="G1578" s="883" t="s">
        <v>2469</v>
      </c>
      <c r="H1578" s="883" t="s">
        <v>2063</v>
      </c>
      <c r="I1578" s="883" t="s">
        <v>2627</v>
      </c>
      <c r="J1578" s="885">
        <v>0</v>
      </c>
      <c r="K1578" s="885">
        <v>0</v>
      </c>
      <c r="L1578" s="886">
        <v>29.025</v>
      </c>
      <c r="M1578" s="882"/>
    </row>
    <row r="1579" spans="1:13" ht="12.75">
      <c r="A1579" s="882"/>
      <c r="B1579" s="882"/>
      <c r="C1579" s="882"/>
      <c r="D1579" s="882"/>
      <c r="E1579" s="883" t="s">
        <v>851</v>
      </c>
      <c r="F1579" s="883" t="s">
        <v>852</v>
      </c>
      <c r="G1579" s="883" t="s">
        <v>2469</v>
      </c>
      <c r="H1579" s="883" t="s">
        <v>2063</v>
      </c>
      <c r="I1579" s="883" t="s">
        <v>2538</v>
      </c>
      <c r="J1579" s="884">
        <v>71</v>
      </c>
      <c r="K1579" s="885">
        <v>13.427</v>
      </c>
      <c r="L1579" s="886">
        <v>5.1339619</v>
      </c>
      <c r="M1579" s="882"/>
    </row>
    <row r="1580" spans="1:13" ht="12.75">
      <c r="A1580" s="882"/>
      <c r="B1580" s="882"/>
      <c r="C1580" s="882"/>
      <c r="D1580" s="882"/>
      <c r="E1580" s="883" t="s">
        <v>853</v>
      </c>
      <c r="F1580" s="883" t="s">
        <v>854</v>
      </c>
      <c r="G1580" s="883" t="s">
        <v>2469</v>
      </c>
      <c r="H1580" s="883" t="s">
        <v>2063</v>
      </c>
      <c r="I1580" s="883" t="s">
        <v>2841</v>
      </c>
      <c r="J1580" s="885">
        <v>0</v>
      </c>
      <c r="K1580" s="885">
        <v>0.275</v>
      </c>
      <c r="L1580" s="886">
        <v>0.2741144</v>
      </c>
      <c r="M1580" s="882"/>
    </row>
    <row r="1581" spans="1:13" ht="12.75">
      <c r="A1581" s="882"/>
      <c r="B1581" s="882"/>
      <c r="C1581" s="882"/>
      <c r="D1581" s="882"/>
      <c r="E1581" s="883" t="s">
        <v>853</v>
      </c>
      <c r="F1581" s="883" t="s">
        <v>854</v>
      </c>
      <c r="G1581" s="883" t="s">
        <v>2469</v>
      </c>
      <c r="H1581" s="883" t="s">
        <v>2063</v>
      </c>
      <c r="I1581" s="883" t="s">
        <v>2538</v>
      </c>
      <c r="J1581" s="884">
        <v>5.6</v>
      </c>
      <c r="K1581" s="885">
        <v>7.903</v>
      </c>
      <c r="L1581" s="886">
        <v>6.90940451</v>
      </c>
      <c r="M1581" s="882"/>
    </row>
    <row r="1582" spans="1:13" ht="12.75">
      <c r="A1582" s="882"/>
      <c r="B1582" s="882"/>
      <c r="C1582" s="882"/>
      <c r="D1582" s="882"/>
      <c r="E1582" s="883" t="s">
        <v>855</v>
      </c>
      <c r="F1582" s="883" t="s">
        <v>856</v>
      </c>
      <c r="G1582" s="883" t="s">
        <v>2469</v>
      </c>
      <c r="H1582" s="883" t="s">
        <v>2063</v>
      </c>
      <c r="I1582" s="883" t="s">
        <v>2841</v>
      </c>
      <c r="J1582" s="885">
        <v>0</v>
      </c>
      <c r="K1582" s="885">
        <v>0.476</v>
      </c>
      <c r="L1582" s="886">
        <v>0.476</v>
      </c>
      <c r="M1582" s="882"/>
    </row>
    <row r="1583" spans="1:13" ht="12.75">
      <c r="A1583" s="882"/>
      <c r="B1583" s="882"/>
      <c r="C1583" s="882"/>
      <c r="D1583" s="882"/>
      <c r="E1583" s="883" t="s">
        <v>855</v>
      </c>
      <c r="F1583" s="883" t="s">
        <v>856</v>
      </c>
      <c r="G1583" s="883" t="s">
        <v>2469</v>
      </c>
      <c r="H1583" s="883" t="s">
        <v>2063</v>
      </c>
      <c r="I1583" s="883" t="s">
        <v>2538</v>
      </c>
      <c r="J1583" s="884">
        <v>3.4</v>
      </c>
      <c r="K1583" s="885">
        <v>1.791</v>
      </c>
      <c r="L1583" s="886">
        <v>0</v>
      </c>
      <c r="M1583" s="882"/>
    </row>
    <row r="1584" spans="1:13" ht="12.75">
      <c r="A1584" s="882"/>
      <c r="B1584" s="882"/>
      <c r="C1584" s="882"/>
      <c r="D1584" s="882"/>
      <c r="E1584" s="883" t="s">
        <v>857</v>
      </c>
      <c r="F1584" s="883" t="s">
        <v>858</v>
      </c>
      <c r="G1584" s="883" t="s">
        <v>2469</v>
      </c>
      <c r="H1584" s="883" t="s">
        <v>2063</v>
      </c>
      <c r="I1584" s="883" t="s">
        <v>2538</v>
      </c>
      <c r="J1584" s="884">
        <v>37.75</v>
      </c>
      <c r="K1584" s="885">
        <v>18.4</v>
      </c>
      <c r="L1584" s="886">
        <v>2.4096548</v>
      </c>
      <c r="M1584" s="882"/>
    </row>
    <row r="1585" spans="1:13" ht="12.75">
      <c r="A1585" s="882"/>
      <c r="B1585" s="882"/>
      <c r="C1585" s="882"/>
      <c r="D1585" s="882"/>
      <c r="E1585" s="883" t="s">
        <v>859</v>
      </c>
      <c r="F1585" s="883" t="s">
        <v>860</v>
      </c>
      <c r="G1585" s="883" t="s">
        <v>2469</v>
      </c>
      <c r="H1585" s="883" t="s">
        <v>2543</v>
      </c>
      <c r="I1585" s="883" t="s">
        <v>2538</v>
      </c>
      <c r="J1585" s="884">
        <v>20.456</v>
      </c>
      <c r="K1585" s="885">
        <v>0</v>
      </c>
      <c r="L1585" s="886">
        <v>0</v>
      </c>
      <c r="M1585" s="882"/>
    </row>
    <row r="1586" spans="1:13" ht="12.75">
      <c r="A1586" s="882"/>
      <c r="B1586" s="882"/>
      <c r="C1586" s="882"/>
      <c r="D1586" s="882"/>
      <c r="E1586" s="883" t="s">
        <v>861</v>
      </c>
      <c r="F1586" s="883" t="s">
        <v>862</v>
      </c>
      <c r="G1586" s="883" t="s">
        <v>2469</v>
      </c>
      <c r="H1586" s="883" t="s">
        <v>2063</v>
      </c>
      <c r="I1586" s="883" t="s">
        <v>2897</v>
      </c>
      <c r="J1586" s="885">
        <v>0</v>
      </c>
      <c r="K1586" s="885">
        <v>0</v>
      </c>
      <c r="L1586" s="886">
        <v>0.9554629</v>
      </c>
      <c r="M1586" s="882"/>
    </row>
    <row r="1587" spans="1:13" ht="12.75">
      <c r="A1587" s="882"/>
      <c r="B1587" s="882"/>
      <c r="C1587" s="882"/>
      <c r="D1587" s="882"/>
      <c r="E1587" s="883" t="s">
        <v>861</v>
      </c>
      <c r="F1587" s="883" t="s">
        <v>862</v>
      </c>
      <c r="G1587" s="883" t="s">
        <v>2469</v>
      </c>
      <c r="H1587" s="883" t="s">
        <v>2063</v>
      </c>
      <c r="I1587" s="883" t="s">
        <v>2627</v>
      </c>
      <c r="J1587" s="885">
        <v>0</v>
      </c>
      <c r="K1587" s="885">
        <v>0</v>
      </c>
      <c r="L1587" s="886">
        <v>14.54589574</v>
      </c>
      <c r="M1587" s="882"/>
    </row>
    <row r="1588" spans="1:13" ht="12.75">
      <c r="A1588" s="882"/>
      <c r="B1588" s="882"/>
      <c r="C1588" s="882"/>
      <c r="D1588" s="882"/>
      <c r="E1588" s="883" t="s">
        <v>863</v>
      </c>
      <c r="F1588" s="883" t="s">
        <v>864</v>
      </c>
      <c r="G1588" s="883" t="s">
        <v>2469</v>
      </c>
      <c r="H1588" s="883" t="s">
        <v>2063</v>
      </c>
      <c r="I1588" s="883" t="s">
        <v>2538</v>
      </c>
      <c r="J1588" s="885">
        <v>0</v>
      </c>
      <c r="K1588" s="885">
        <v>15.898</v>
      </c>
      <c r="L1588" s="886">
        <v>15.66547413</v>
      </c>
      <c r="M1588" s="882"/>
    </row>
    <row r="1589" spans="1:13" ht="12.75">
      <c r="A1589" s="882"/>
      <c r="B1589" s="882"/>
      <c r="C1589" s="882"/>
      <c r="D1589" s="882"/>
      <c r="E1589" s="883" t="s">
        <v>863</v>
      </c>
      <c r="F1589" s="883" t="s">
        <v>864</v>
      </c>
      <c r="G1589" s="883" t="s">
        <v>2469</v>
      </c>
      <c r="H1589" s="883" t="s">
        <v>2063</v>
      </c>
      <c r="I1589" s="883" t="s">
        <v>2841</v>
      </c>
      <c r="J1589" s="885">
        <v>0</v>
      </c>
      <c r="K1589" s="885">
        <v>1.276</v>
      </c>
      <c r="L1589" s="886">
        <v>0.88895975</v>
      </c>
      <c r="M1589" s="882"/>
    </row>
    <row r="1590" spans="1:13" ht="12.75">
      <c r="A1590" s="882"/>
      <c r="B1590" s="882"/>
      <c r="C1590" s="882"/>
      <c r="D1590" s="882"/>
      <c r="E1590" s="883" t="s">
        <v>863</v>
      </c>
      <c r="F1590" s="883" t="s">
        <v>864</v>
      </c>
      <c r="G1590" s="883" t="s">
        <v>2469</v>
      </c>
      <c r="H1590" s="883" t="s">
        <v>2063</v>
      </c>
      <c r="I1590" s="883" t="s">
        <v>2627</v>
      </c>
      <c r="J1590" s="885">
        <v>0</v>
      </c>
      <c r="K1590" s="885">
        <v>0</v>
      </c>
      <c r="L1590" s="886">
        <v>0.42543214</v>
      </c>
      <c r="M1590" s="882"/>
    </row>
    <row r="1591" spans="1:13" ht="12.75">
      <c r="A1591" s="882"/>
      <c r="B1591" s="882"/>
      <c r="C1591" s="882"/>
      <c r="D1591" s="882"/>
      <c r="E1591" s="883" t="s">
        <v>865</v>
      </c>
      <c r="F1591" s="883" t="s">
        <v>866</v>
      </c>
      <c r="G1591" s="883" t="s">
        <v>2469</v>
      </c>
      <c r="H1591" s="883" t="s">
        <v>2063</v>
      </c>
      <c r="I1591" s="883" t="s">
        <v>2897</v>
      </c>
      <c r="J1591" s="885">
        <v>0</v>
      </c>
      <c r="K1591" s="885">
        <v>0</v>
      </c>
      <c r="L1591" s="886">
        <v>1.6127475</v>
      </c>
      <c r="M1591" s="882"/>
    </row>
    <row r="1592" spans="1:13" ht="12.75">
      <c r="A1592" s="882"/>
      <c r="B1592" s="882"/>
      <c r="C1592" s="882"/>
      <c r="D1592" s="882"/>
      <c r="E1592" s="883" t="s">
        <v>865</v>
      </c>
      <c r="F1592" s="883" t="s">
        <v>866</v>
      </c>
      <c r="G1592" s="883" t="s">
        <v>2469</v>
      </c>
      <c r="H1592" s="883" t="s">
        <v>2063</v>
      </c>
      <c r="I1592" s="883" t="s">
        <v>2627</v>
      </c>
      <c r="J1592" s="885">
        <v>0</v>
      </c>
      <c r="K1592" s="885">
        <v>0</v>
      </c>
      <c r="L1592" s="886">
        <v>12.1094876</v>
      </c>
      <c r="M1592" s="882"/>
    </row>
    <row r="1593" spans="1:13" ht="12.75">
      <c r="A1593" s="882"/>
      <c r="B1593" s="882"/>
      <c r="C1593" s="882"/>
      <c r="D1593" s="882"/>
      <c r="E1593" s="883" t="s">
        <v>865</v>
      </c>
      <c r="F1593" s="883" t="s">
        <v>866</v>
      </c>
      <c r="G1593" s="883" t="s">
        <v>2469</v>
      </c>
      <c r="H1593" s="883" t="s">
        <v>2063</v>
      </c>
      <c r="I1593" s="883" t="s">
        <v>2538</v>
      </c>
      <c r="J1593" s="884">
        <v>31.2</v>
      </c>
      <c r="K1593" s="885">
        <v>0</v>
      </c>
      <c r="L1593" s="886">
        <v>0</v>
      </c>
      <c r="M1593" s="882"/>
    </row>
    <row r="1594" spans="1:13" ht="12.75">
      <c r="A1594" s="882"/>
      <c r="B1594" s="882"/>
      <c r="C1594" s="882"/>
      <c r="D1594" s="882"/>
      <c r="E1594" s="883" t="s">
        <v>867</v>
      </c>
      <c r="F1594" s="883" t="s">
        <v>868</v>
      </c>
      <c r="G1594" s="883" t="s">
        <v>2469</v>
      </c>
      <c r="H1594" s="883" t="s">
        <v>2063</v>
      </c>
      <c r="I1594" s="883" t="s">
        <v>2538</v>
      </c>
      <c r="J1594" s="884">
        <v>3.595</v>
      </c>
      <c r="K1594" s="885">
        <v>6.286</v>
      </c>
      <c r="L1594" s="886">
        <v>2.0744437</v>
      </c>
      <c r="M1594" s="882"/>
    </row>
    <row r="1595" spans="1:13" ht="12.75">
      <c r="A1595" s="882"/>
      <c r="B1595" s="882"/>
      <c r="C1595" s="882"/>
      <c r="D1595" s="882"/>
      <c r="E1595" s="883" t="s">
        <v>869</v>
      </c>
      <c r="F1595" s="883" t="s">
        <v>870</v>
      </c>
      <c r="G1595" s="883" t="s">
        <v>2469</v>
      </c>
      <c r="H1595" s="883" t="s">
        <v>2063</v>
      </c>
      <c r="I1595" s="883" t="s">
        <v>2538</v>
      </c>
      <c r="J1595" s="885">
        <v>0</v>
      </c>
      <c r="K1595" s="885">
        <v>0.674</v>
      </c>
      <c r="L1595" s="886">
        <v>0.67376942</v>
      </c>
      <c r="M1595" s="882"/>
    </row>
    <row r="1596" spans="1:13" ht="12.75">
      <c r="A1596" s="882"/>
      <c r="B1596" s="882"/>
      <c r="C1596" s="882"/>
      <c r="D1596" s="882"/>
      <c r="E1596" s="883" t="s">
        <v>871</v>
      </c>
      <c r="F1596" s="883" t="s">
        <v>872</v>
      </c>
      <c r="G1596" s="883" t="s">
        <v>2469</v>
      </c>
      <c r="H1596" s="883" t="s">
        <v>2063</v>
      </c>
      <c r="I1596" s="883" t="s">
        <v>2627</v>
      </c>
      <c r="J1596" s="885">
        <v>0</v>
      </c>
      <c r="K1596" s="885">
        <v>0</v>
      </c>
      <c r="L1596" s="886">
        <v>11.14379982</v>
      </c>
      <c r="M1596" s="882"/>
    </row>
    <row r="1597" spans="1:13" ht="12.75">
      <c r="A1597" s="882"/>
      <c r="B1597" s="882"/>
      <c r="C1597" s="882"/>
      <c r="D1597" s="882"/>
      <c r="E1597" s="883" t="s">
        <v>873</v>
      </c>
      <c r="F1597" s="883" t="s">
        <v>874</v>
      </c>
      <c r="G1597" s="883" t="s">
        <v>2469</v>
      </c>
      <c r="H1597" s="883" t="s">
        <v>2063</v>
      </c>
      <c r="I1597" s="883" t="s">
        <v>2538</v>
      </c>
      <c r="J1597" s="884">
        <v>134.599</v>
      </c>
      <c r="K1597" s="885">
        <v>92.603</v>
      </c>
      <c r="L1597" s="886">
        <v>92.59978702</v>
      </c>
      <c r="M1597" s="882"/>
    </row>
    <row r="1598" spans="1:13" ht="12.75">
      <c r="A1598" s="882"/>
      <c r="B1598" s="882"/>
      <c r="C1598" s="882"/>
      <c r="D1598" s="882"/>
      <c r="E1598" s="883" t="s">
        <v>873</v>
      </c>
      <c r="F1598" s="883" t="s">
        <v>874</v>
      </c>
      <c r="G1598" s="883" t="s">
        <v>2469</v>
      </c>
      <c r="H1598" s="883" t="s">
        <v>2063</v>
      </c>
      <c r="I1598" s="883" t="s">
        <v>2841</v>
      </c>
      <c r="J1598" s="884">
        <v>15.401</v>
      </c>
      <c r="K1598" s="885">
        <v>5.684</v>
      </c>
      <c r="L1598" s="886">
        <v>5.65851611</v>
      </c>
      <c r="M1598" s="882"/>
    </row>
    <row r="1599" spans="1:13" ht="12.75">
      <c r="A1599" s="882"/>
      <c r="B1599" s="882"/>
      <c r="C1599" s="882"/>
      <c r="D1599" s="882"/>
      <c r="E1599" s="883" t="s">
        <v>875</v>
      </c>
      <c r="F1599" s="883" t="s">
        <v>876</v>
      </c>
      <c r="G1599" s="883" t="s">
        <v>2469</v>
      </c>
      <c r="H1599" s="883" t="s">
        <v>2063</v>
      </c>
      <c r="I1599" s="883" t="s">
        <v>2538</v>
      </c>
      <c r="J1599" s="885">
        <v>0</v>
      </c>
      <c r="K1599" s="885">
        <v>3.85</v>
      </c>
      <c r="L1599" s="886">
        <v>3.8282007</v>
      </c>
      <c r="M1599" s="882"/>
    </row>
    <row r="1600" spans="1:13" ht="12.75">
      <c r="A1600" s="882"/>
      <c r="B1600" s="882"/>
      <c r="C1600" s="882"/>
      <c r="D1600" s="882"/>
      <c r="E1600" s="883" t="s">
        <v>877</v>
      </c>
      <c r="F1600" s="883" t="s">
        <v>878</v>
      </c>
      <c r="G1600" s="883" t="s">
        <v>2469</v>
      </c>
      <c r="H1600" s="883" t="s">
        <v>2063</v>
      </c>
      <c r="I1600" s="883" t="s">
        <v>2538</v>
      </c>
      <c r="J1600" s="885">
        <v>0</v>
      </c>
      <c r="K1600" s="885">
        <v>0.511</v>
      </c>
      <c r="L1600" s="886">
        <v>0.29988</v>
      </c>
      <c r="M1600" s="882"/>
    </row>
    <row r="1601" spans="1:13" ht="12.75">
      <c r="A1601" s="882"/>
      <c r="B1601" s="882"/>
      <c r="C1601" s="882"/>
      <c r="D1601" s="882"/>
      <c r="E1601" s="883" t="s">
        <v>879</v>
      </c>
      <c r="F1601" s="883" t="s">
        <v>880</v>
      </c>
      <c r="G1601" s="883" t="s">
        <v>2469</v>
      </c>
      <c r="H1601" s="883" t="s">
        <v>2063</v>
      </c>
      <c r="I1601" s="883" t="s">
        <v>2538</v>
      </c>
      <c r="J1601" s="884">
        <v>26.185</v>
      </c>
      <c r="K1601" s="885">
        <v>52.027</v>
      </c>
      <c r="L1601" s="886">
        <v>51.9980181</v>
      </c>
      <c r="M1601" s="882"/>
    </row>
    <row r="1602" spans="1:13" ht="12.75">
      <c r="A1602" s="882"/>
      <c r="B1602" s="882"/>
      <c r="C1602" s="882"/>
      <c r="D1602" s="882"/>
      <c r="E1602" s="883" t="s">
        <v>879</v>
      </c>
      <c r="F1602" s="883" t="s">
        <v>880</v>
      </c>
      <c r="G1602" s="883" t="s">
        <v>2469</v>
      </c>
      <c r="H1602" s="883" t="s">
        <v>2063</v>
      </c>
      <c r="I1602" s="883" t="s">
        <v>2841</v>
      </c>
      <c r="J1602" s="885">
        <v>0</v>
      </c>
      <c r="K1602" s="885">
        <v>3.815</v>
      </c>
      <c r="L1602" s="886">
        <v>3.81271954</v>
      </c>
      <c r="M1602" s="882"/>
    </row>
    <row r="1603" spans="1:13" ht="12.75">
      <c r="A1603" s="882"/>
      <c r="B1603" s="882"/>
      <c r="C1603" s="882"/>
      <c r="D1603" s="882"/>
      <c r="E1603" s="883" t="s">
        <v>881</v>
      </c>
      <c r="F1603" s="883" t="s">
        <v>882</v>
      </c>
      <c r="G1603" s="883" t="s">
        <v>2469</v>
      </c>
      <c r="H1603" s="883" t="s">
        <v>2063</v>
      </c>
      <c r="I1603" s="883" t="s">
        <v>2841</v>
      </c>
      <c r="J1603" s="884">
        <v>3</v>
      </c>
      <c r="K1603" s="885">
        <v>0</v>
      </c>
      <c r="L1603" s="886">
        <v>0</v>
      </c>
      <c r="M1603" s="882"/>
    </row>
    <row r="1604" spans="1:13" ht="12.75">
      <c r="A1604" s="882"/>
      <c r="B1604" s="882"/>
      <c r="C1604" s="882"/>
      <c r="D1604" s="882"/>
      <c r="E1604" s="883" t="s">
        <v>881</v>
      </c>
      <c r="F1604" s="883" t="s">
        <v>882</v>
      </c>
      <c r="G1604" s="883" t="s">
        <v>2469</v>
      </c>
      <c r="H1604" s="883" t="s">
        <v>2063</v>
      </c>
      <c r="I1604" s="883" t="s">
        <v>2538</v>
      </c>
      <c r="J1604" s="884">
        <v>29</v>
      </c>
      <c r="K1604" s="885">
        <v>0</v>
      </c>
      <c r="L1604" s="886">
        <v>0</v>
      </c>
      <c r="M1604" s="882"/>
    </row>
    <row r="1605" spans="1:13" ht="12.75">
      <c r="A1605" s="882"/>
      <c r="B1605" s="882"/>
      <c r="C1605" s="882"/>
      <c r="D1605" s="882"/>
      <c r="E1605" s="883" t="s">
        <v>883</v>
      </c>
      <c r="F1605" s="883" t="s">
        <v>884</v>
      </c>
      <c r="G1605" s="883" t="s">
        <v>2469</v>
      </c>
      <c r="H1605" s="883" t="s">
        <v>2543</v>
      </c>
      <c r="I1605" s="883" t="s">
        <v>2841</v>
      </c>
      <c r="J1605" s="884">
        <v>1.599</v>
      </c>
      <c r="K1605" s="885">
        <v>0</v>
      </c>
      <c r="L1605" s="886">
        <v>0</v>
      </c>
      <c r="M1605" s="882"/>
    </row>
    <row r="1606" spans="1:13" ht="12.75">
      <c r="A1606" s="882"/>
      <c r="B1606" s="882"/>
      <c r="C1606" s="882"/>
      <c r="D1606" s="882"/>
      <c r="E1606" s="883" t="s">
        <v>883</v>
      </c>
      <c r="F1606" s="883" t="s">
        <v>884</v>
      </c>
      <c r="G1606" s="883" t="s">
        <v>2469</v>
      </c>
      <c r="H1606" s="883" t="s">
        <v>2543</v>
      </c>
      <c r="I1606" s="883" t="s">
        <v>2538</v>
      </c>
      <c r="J1606" s="884">
        <v>3.401</v>
      </c>
      <c r="K1606" s="885">
        <v>0</v>
      </c>
      <c r="L1606" s="886">
        <v>0</v>
      </c>
      <c r="M1606" s="882"/>
    </row>
    <row r="1607" spans="1:13" ht="12.75">
      <c r="A1607" s="882"/>
      <c r="B1607" s="882"/>
      <c r="C1607" s="882"/>
      <c r="D1607" s="882"/>
      <c r="E1607" s="883" t="s">
        <v>885</v>
      </c>
      <c r="F1607" s="883" t="s">
        <v>886</v>
      </c>
      <c r="G1607" s="883" t="s">
        <v>2469</v>
      </c>
      <c r="H1607" s="883" t="s">
        <v>2063</v>
      </c>
      <c r="I1607" s="883" t="s">
        <v>2538</v>
      </c>
      <c r="J1607" s="884">
        <v>33</v>
      </c>
      <c r="K1607" s="885">
        <v>7.114</v>
      </c>
      <c r="L1607" s="886">
        <v>7.09942642</v>
      </c>
      <c r="M1607" s="882"/>
    </row>
    <row r="1608" spans="1:13" ht="12.75">
      <c r="A1608" s="882"/>
      <c r="B1608" s="882"/>
      <c r="C1608" s="882"/>
      <c r="D1608" s="882"/>
      <c r="E1608" s="883" t="s">
        <v>885</v>
      </c>
      <c r="F1608" s="883" t="s">
        <v>886</v>
      </c>
      <c r="G1608" s="883" t="s">
        <v>2469</v>
      </c>
      <c r="H1608" s="883" t="s">
        <v>2063</v>
      </c>
      <c r="I1608" s="883" t="s">
        <v>2841</v>
      </c>
      <c r="J1608" s="884">
        <v>3</v>
      </c>
      <c r="K1608" s="885">
        <v>0</v>
      </c>
      <c r="L1608" s="886">
        <v>0</v>
      </c>
      <c r="M1608" s="882"/>
    </row>
    <row r="1609" spans="1:13" ht="12.75">
      <c r="A1609" s="882"/>
      <c r="B1609" s="882"/>
      <c r="C1609" s="882"/>
      <c r="D1609" s="882"/>
      <c r="E1609" s="883" t="s">
        <v>887</v>
      </c>
      <c r="F1609" s="883" t="s">
        <v>888</v>
      </c>
      <c r="G1609" s="883" t="s">
        <v>2469</v>
      </c>
      <c r="H1609" s="883" t="s">
        <v>2063</v>
      </c>
      <c r="I1609" s="883" t="s">
        <v>2538</v>
      </c>
      <c r="J1609" s="885">
        <v>0</v>
      </c>
      <c r="K1609" s="885">
        <v>2.239</v>
      </c>
      <c r="L1609" s="886">
        <v>2.21000374</v>
      </c>
      <c r="M1609" s="882"/>
    </row>
    <row r="1610" spans="1:13" ht="12.75">
      <c r="A1610" s="882"/>
      <c r="B1610" s="882"/>
      <c r="C1610" s="882"/>
      <c r="D1610" s="882"/>
      <c r="E1610" s="883" t="s">
        <v>887</v>
      </c>
      <c r="F1610" s="883" t="s">
        <v>888</v>
      </c>
      <c r="G1610" s="883" t="s">
        <v>2469</v>
      </c>
      <c r="H1610" s="883" t="s">
        <v>2063</v>
      </c>
      <c r="I1610" s="883" t="s">
        <v>2841</v>
      </c>
      <c r="J1610" s="885">
        <v>0</v>
      </c>
      <c r="K1610" s="885">
        <v>0.141</v>
      </c>
      <c r="L1610" s="886">
        <v>0.14035098</v>
      </c>
      <c r="M1610" s="882"/>
    </row>
    <row r="1611" spans="1:13" ht="12.75">
      <c r="A1611" s="882"/>
      <c r="B1611" s="882"/>
      <c r="C1611" s="882"/>
      <c r="D1611" s="882"/>
      <c r="E1611" s="883" t="s">
        <v>889</v>
      </c>
      <c r="F1611" s="883" t="s">
        <v>890</v>
      </c>
      <c r="G1611" s="883" t="s">
        <v>2469</v>
      </c>
      <c r="H1611" s="883" t="s">
        <v>2063</v>
      </c>
      <c r="I1611" s="883" t="s">
        <v>2538</v>
      </c>
      <c r="J1611" s="885">
        <v>0</v>
      </c>
      <c r="K1611" s="885">
        <v>0.599</v>
      </c>
      <c r="L1611" s="886">
        <v>0.5982606</v>
      </c>
      <c r="M1611" s="882"/>
    </row>
    <row r="1612" spans="1:13" ht="12.75">
      <c r="A1612" s="882"/>
      <c r="B1612" s="882"/>
      <c r="C1612" s="882"/>
      <c r="D1612" s="882"/>
      <c r="E1612" s="883" t="s">
        <v>889</v>
      </c>
      <c r="F1612" s="883" t="s">
        <v>890</v>
      </c>
      <c r="G1612" s="883" t="s">
        <v>2469</v>
      </c>
      <c r="H1612" s="883" t="s">
        <v>2063</v>
      </c>
      <c r="I1612" s="883" t="s">
        <v>2841</v>
      </c>
      <c r="J1612" s="885">
        <v>0</v>
      </c>
      <c r="K1612" s="885">
        <v>0.09</v>
      </c>
      <c r="L1612" s="886">
        <v>0</v>
      </c>
      <c r="M1612" s="882"/>
    </row>
    <row r="1613" spans="1:13" ht="13.5" thickBot="1">
      <c r="A1613" s="882"/>
      <c r="B1613" s="882"/>
      <c r="C1613" s="882"/>
      <c r="D1613" s="882"/>
      <c r="E1613" s="883" t="s">
        <v>891</v>
      </c>
      <c r="F1613" s="883" t="s">
        <v>892</v>
      </c>
      <c r="G1613" s="883" t="s">
        <v>2469</v>
      </c>
      <c r="H1613" s="883" t="s">
        <v>2063</v>
      </c>
      <c r="I1613" s="883" t="s">
        <v>2538</v>
      </c>
      <c r="J1613" s="885">
        <v>0</v>
      </c>
      <c r="K1613" s="885">
        <v>0.959</v>
      </c>
      <c r="L1613" s="886">
        <v>0.1785</v>
      </c>
      <c r="M1613" s="882"/>
    </row>
    <row r="1614" spans="1:13" ht="13.5" customHeight="1" thickBot="1">
      <c r="A1614" s="882"/>
      <c r="B1614" s="882"/>
      <c r="C1614" s="882"/>
      <c r="D1614" s="882"/>
      <c r="E1614" s="1043" t="s">
        <v>893</v>
      </c>
      <c r="F1614" s="1044"/>
      <c r="G1614" s="1044"/>
      <c r="H1614" s="1044"/>
      <c r="I1614" s="1044"/>
      <c r="J1614" s="890">
        <f>SUM(J1576:J1613)</f>
        <v>422.186</v>
      </c>
      <c r="K1614" s="890">
        <f>SUM(K1576:K1613)</f>
        <v>236.74</v>
      </c>
      <c r="L1614" s="891">
        <f>SUM(L1576:L1613)</f>
        <v>277.84420651999994</v>
      </c>
      <c r="M1614" s="882"/>
    </row>
    <row r="1615" spans="1:13" ht="17.25" customHeight="1" thickBot="1">
      <c r="A1615" s="882"/>
      <c r="B1615" s="882"/>
      <c r="C1615" s="882"/>
      <c r="D1615" s="882"/>
      <c r="E1615" s="1045" t="s">
        <v>894</v>
      </c>
      <c r="F1615" s="1046"/>
      <c r="G1615" s="1046"/>
      <c r="H1615" s="1046"/>
      <c r="I1615" s="1046"/>
      <c r="J1615" s="890">
        <f>SUM(J51,J162,J284,J287,J782,J810,J843,J845,J912,J966,J1542,J1572,J1575,J1614)</f>
        <v>5916.056999999999</v>
      </c>
      <c r="K1615" s="890">
        <f>SUM(K51,K162,K284,K287,K782,K810,K843,K845,K912,K966,K1542,K1572,K1575,K1614)</f>
        <v>5459.175000000002</v>
      </c>
      <c r="L1615" s="891">
        <f>SUM(L51,L162,L284,L287,L782,L810,L843,L845,L912,L966,L1542,L1572,L1575,L1614)</f>
        <v>3743.5329695400005</v>
      </c>
      <c r="M1615" s="882"/>
    </row>
    <row r="1616" spans="1:13" ht="12.75">
      <c r="A1616" s="882"/>
      <c r="B1616" s="882"/>
      <c r="C1616" s="882"/>
      <c r="D1616" s="882"/>
      <c r="J1616" s="895"/>
      <c r="K1616" s="895"/>
      <c r="L1616" s="896"/>
      <c r="M1616" s="882"/>
    </row>
    <row r="1618" spans="5:12" s="250" customFormat="1" ht="15">
      <c r="E1618" s="64" t="s">
        <v>919</v>
      </c>
      <c r="J1618" s="1047" t="s">
        <v>2137</v>
      </c>
      <c r="K1618" s="1047"/>
      <c r="L1618" s="1047"/>
    </row>
  </sheetData>
  <mergeCells count="17">
    <mergeCell ref="J1618:L1618"/>
    <mergeCell ref="E1:L1"/>
    <mergeCell ref="E51:I51"/>
    <mergeCell ref="E162:I162"/>
    <mergeCell ref="E284:I284"/>
    <mergeCell ref="E287:I287"/>
    <mergeCell ref="E782:I782"/>
    <mergeCell ref="E810:I810"/>
    <mergeCell ref="E843:I843"/>
    <mergeCell ref="E845:I845"/>
    <mergeCell ref="E1575:I1575"/>
    <mergeCell ref="E1614:I1614"/>
    <mergeCell ref="E1615:I1615"/>
    <mergeCell ref="E912:I912"/>
    <mergeCell ref="E966:I966"/>
    <mergeCell ref="E1542:I1542"/>
    <mergeCell ref="E1572:I1572"/>
  </mergeCells>
  <printOptions horizontalCentered="1"/>
  <pageMargins left="0.3937007874015748" right="0.3937007874015748" top="1.1811023622047245" bottom="1.1811023622047245" header="0.9055118110236221" footer="0.07874015748031496"/>
  <pageSetup fitToHeight="45" fitToWidth="1" horizontalDpi="600" verticalDpi="600" orientation="landscape" paperSize="9" scale="72" r:id="rId1"/>
  <headerFooter alignWithMargins="0">
    <oddHeader>&amp;L&amp;"Arial CE,Tučné"&amp;12Kapitola: 314 - Ministerstvo vnitra
&amp;R&amp;"Arial CE,Tučné"&amp;12  Tabulka č. 14/2&amp;"Arial CE,Obyčejné"
  &amp;11List: &amp;P/&amp;N</oddHeader>
    <oddFooter>&amp;C&amp;11
&amp;P+117
&amp;12
</oddFooter>
  </headerFooter>
  <rowBreaks count="1" manualBreakCount="1">
    <brk id="5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1">
      <selection activeCell="E30" sqref="E30"/>
    </sheetView>
  </sheetViews>
  <sheetFormatPr defaultColWidth="9.00390625" defaultRowHeight="12.75"/>
  <cols>
    <col min="1" max="1" width="47.375" style="62" customWidth="1"/>
    <col min="2" max="2" width="19.75390625" style="63" customWidth="1"/>
    <col min="3" max="3" width="19.75390625" style="62" customWidth="1"/>
    <col min="4" max="4" width="10.25390625" style="62" customWidth="1"/>
    <col min="5" max="5" width="19.75390625" style="62" customWidth="1"/>
    <col min="6" max="6" width="10.25390625" style="62" customWidth="1"/>
    <col min="7" max="7" width="19.75390625" style="62" customWidth="1"/>
    <col min="8" max="8" width="10.25390625" style="62" customWidth="1"/>
    <col min="9" max="9" width="19.75390625" style="62" customWidth="1"/>
    <col min="10" max="10" width="10.25390625" style="62" customWidth="1"/>
    <col min="11" max="16384" width="9.125" style="62" customWidth="1"/>
  </cols>
  <sheetData>
    <row r="1" spans="1:10" s="579" customFormat="1" ht="24.75" customHeight="1">
      <c r="A1" s="580" t="s">
        <v>2106</v>
      </c>
      <c r="I1" s="1049" t="s">
        <v>2353</v>
      </c>
      <c r="J1" s="1049"/>
    </row>
    <row r="2" ht="17.25" customHeight="1"/>
    <row r="3" spans="1:10" ht="18">
      <c r="A3" s="1050" t="s">
        <v>2316</v>
      </c>
      <c r="B3" s="1050"/>
      <c r="C3" s="1050"/>
      <c r="D3" s="1050"/>
      <c r="E3" s="1050"/>
      <c r="F3" s="1050"/>
      <c r="G3" s="1050"/>
      <c r="H3" s="1050"/>
      <c r="I3" s="1050"/>
      <c r="J3" s="1050"/>
    </row>
    <row r="4" spans="1:3" ht="18">
      <c r="A4" s="581"/>
      <c r="B4" s="579"/>
      <c r="C4" s="155"/>
    </row>
    <row r="5" spans="1:10" ht="18.75" thickBot="1">
      <c r="A5" s="581"/>
      <c r="J5" s="511" t="s">
        <v>2109</v>
      </c>
    </row>
    <row r="6" spans="1:10" ht="19.5" customHeight="1" thickBot="1">
      <c r="A6" s="582"/>
      <c r="B6" s="583" t="s">
        <v>2317</v>
      </c>
      <c r="C6" s="168"/>
      <c r="D6" s="168"/>
      <c r="E6" s="168" t="s">
        <v>2318</v>
      </c>
      <c r="F6" s="168"/>
      <c r="G6" s="168"/>
      <c r="H6" s="168"/>
      <c r="I6" s="168"/>
      <c r="J6" s="584"/>
    </row>
    <row r="7" spans="1:10" ht="13.5" thickBot="1">
      <c r="A7" s="585"/>
      <c r="B7" s="586" t="s">
        <v>2319</v>
      </c>
      <c r="C7" s="587" t="s">
        <v>2320</v>
      </c>
      <c r="D7" s="588"/>
      <c r="E7" s="587" t="s">
        <v>2321</v>
      </c>
      <c r="F7" s="588"/>
      <c r="G7" s="587" t="s">
        <v>2322</v>
      </c>
      <c r="H7" s="588"/>
      <c r="I7" s="587" t="s">
        <v>2323</v>
      </c>
      <c r="J7" s="588"/>
    </row>
    <row r="8" spans="1:10" ht="13.5" thickBot="1">
      <c r="A8" s="589" t="s">
        <v>2324</v>
      </c>
      <c r="B8" s="590"/>
      <c r="C8" s="591" t="s">
        <v>2121</v>
      </c>
      <c r="D8" s="591" t="s">
        <v>2325</v>
      </c>
      <c r="E8" s="591" t="s">
        <v>2121</v>
      </c>
      <c r="F8" s="591" t="s">
        <v>2326</v>
      </c>
      <c r="G8" s="592" t="s">
        <v>2121</v>
      </c>
      <c r="H8" s="591" t="s">
        <v>2326</v>
      </c>
      <c r="I8" s="592" t="s">
        <v>2121</v>
      </c>
      <c r="J8" s="591" t="s">
        <v>2326</v>
      </c>
    </row>
    <row r="9" spans="1:10" ht="13.5" hidden="1" thickBot="1">
      <c r="A9" s="593" t="s">
        <v>2327</v>
      </c>
      <c r="B9" s="594">
        <v>8154043.247</v>
      </c>
      <c r="C9" s="595">
        <v>1247537.572</v>
      </c>
      <c r="D9" s="596">
        <f aca="true" t="shared" si="0" ref="D9:D42">C9*100/B9</f>
        <v>15.299619271200068</v>
      </c>
      <c r="E9" s="597">
        <f>3081835.961-C9</f>
        <v>1834298.3890000002</v>
      </c>
      <c r="F9" s="598">
        <f aca="true" t="shared" si="1" ref="F9:F42">E9*100/B9</f>
        <v>22.495568559497976</v>
      </c>
      <c r="G9" s="597">
        <f>5081753.315-E9-C9</f>
        <v>1999917.354</v>
      </c>
      <c r="H9" s="598">
        <f aca="true" t="shared" si="2" ref="H9:H42">G9*100/B9</f>
        <v>24.526695449350246</v>
      </c>
      <c r="I9" s="597">
        <f>B9-C9-E9-G9</f>
        <v>3072289.932</v>
      </c>
      <c r="J9" s="598">
        <f aca="true" t="shared" si="3" ref="J9:J45">I9*100/B9</f>
        <v>37.6781167199517</v>
      </c>
    </row>
    <row r="10" spans="1:10" ht="13.5" hidden="1" thickBot="1">
      <c r="A10" s="599" t="s">
        <v>2328</v>
      </c>
      <c r="B10" s="600">
        <v>25808227.211</v>
      </c>
      <c r="C10" s="601">
        <v>4299588.595</v>
      </c>
      <c r="D10" s="602">
        <f>C10*100/B10</f>
        <v>16.659759540428357</v>
      </c>
      <c r="E10" s="600">
        <f>10252649.094-C10</f>
        <v>5953060.499000001</v>
      </c>
      <c r="F10" s="598">
        <f>E10*100/B10</f>
        <v>23.066522354788802</v>
      </c>
      <c r="G10" s="600">
        <f>16463595.802-E10-C10</f>
        <v>6210946.708</v>
      </c>
      <c r="H10" s="598">
        <f>G10*100/B10</f>
        <v>24.065762662507737</v>
      </c>
      <c r="I10" s="600">
        <f>B10-C10-E10-G10</f>
        <v>9344631.408999998</v>
      </c>
      <c r="J10" s="598">
        <f>I10*100/B10</f>
        <v>36.20795544227511</v>
      </c>
    </row>
    <row r="11" spans="1:10" ht="13.5" hidden="1" thickBot="1">
      <c r="A11" s="603" t="s">
        <v>2329</v>
      </c>
      <c r="B11" s="604">
        <v>838697.765</v>
      </c>
      <c r="C11" s="605">
        <v>125679.262</v>
      </c>
      <c r="D11" s="606">
        <f t="shared" si="0"/>
        <v>14.985047921285448</v>
      </c>
      <c r="E11" s="607">
        <f>291825.773-C11</f>
        <v>166146.511</v>
      </c>
      <c r="F11" s="608">
        <f t="shared" si="1"/>
        <v>19.810057679121154</v>
      </c>
      <c r="G11" s="607">
        <f>541387.599-E11-C11</f>
        <v>249561.82600000006</v>
      </c>
      <c r="H11" s="608">
        <f t="shared" si="2"/>
        <v>29.755871115264036</v>
      </c>
      <c r="I11" s="607">
        <f>B11-C11-E11-G11</f>
        <v>297310.166</v>
      </c>
      <c r="J11" s="608">
        <f t="shared" si="3"/>
        <v>35.44902328432937</v>
      </c>
    </row>
    <row r="12" spans="1:10" s="656" customFormat="1" ht="15.75" thickBot="1">
      <c r="A12" s="651" t="s">
        <v>2330</v>
      </c>
      <c r="B12" s="657">
        <f>SUM(B9:B11)</f>
        <v>34800968.223</v>
      </c>
      <c r="C12" s="653">
        <f>SUM(C9:C11)</f>
        <v>5672805.429</v>
      </c>
      <c r="D12" s="658">
        <f t="shared" si="0"/>
        <v>16.300711499316378</v>
      </c>
      <c r="E12" s="657">
        <f>SUM(E9:E11)</f>
        <v>7953505.399000001</v>
      </c>
      <c r="F12" s="659">
        <f t="shared" si="1"/>
        <v>22.854264709059215</v>
      </c>
      <c r="G12" s="657">
        <f>SUM(G9:G11)</f>
        <v>8460425.888</v>
      </c>
      <c r="H12" s="659">
        <f t="shared" si="2"/>
        <v>24.310892253878432</v>
      </c>
      <c r="I12" s="657">
        <f>SUM(I9:I11)</f>
        <v>12714231.506999997</v>
      </c>
      <c r="J12" s="659">
        <f t="shared" si="3"/>
        <v>36.53413153774598</v>
      </c>
    </row>
    <row r="13" spans="1:10" ht="12.75">
      <c r="A13" s="610" t="s">
        <v>2158</v>
      </c>
      <c r="B13" s="611">
        <v>12376536.372</v>
      </c>
      <c r="C13" s="612">
        <v>2460026.182</v>
      </c>
      <c r="D13" s="613">
        <f>C13*100/B13</f>
        <v>19.876531753790413</v>
      </c>
      <c r="E13" s="614">
        <f>5364146.18-C13</f>
        <v>2904119.9979999997</v>
      </c>
      <c r="F13" s="615">
        <f>E13*100/B13</f>
        <v>23.46472317222872</v>
      </c>
      <c r="G13" s="614">
        <f>8602475.363-E13-C13</f>
        <v>3238329.183</v>
      </c>
      <c r="H13" s="615">
        <f>G13*100/B13</f>
        <v>26.165068203784536</v>
      </c>
      <c r="I13" s="614">
        <f>B13-C13-E13-G13</f>
        <v>3774061.0089999996</v>
      </c>
      <c r="J13" s="615">
        <f>I13*100/B13</f>
        <v>30.493676870196328</v>
      </c>
    </row>
    <row r="14" spans="1:10" ht="12.75">
      <c r="A14" s="610" t="s">
        <v>2155</v>
      </c>
      <c r="B14" s="604">
        <v>1184213.194</v>
      </c>
      <c r="C14" s="605">
        <v>119807.682</v>
      </c>
      <c r="D14" s="613">
        <f t="shared" si="0"/>
        <v>10.117070355829865</v>
      </c>
      <c r="E14" s="607">
        <f>419079.374-C14</f>
        <v>299271.69200000004</v>
      </c>
      <c r="F14" s="615">
        <f t="shared" si="1"/>
        <v>25.271774838880916</v>
      </c>
      <c r="G14" s="607">
        <f>722739.524-E14-C14</f>
        <v>303660.1499999999</v>
      </c>
      <c r="H14" s="615">
        <f t="shared" si="2"/>
        <v>25.64235490184886</v>
      </c>
      <c r="I14" s="614">
        <f>B14-C14-E14-G14</f>
        <v>461473.6699999999</v>
      </c>
      <c r="J14" s="615">
        <f t="shared" si="3"/>
        <v>38.968799903440356</v>
      </c>
    </row>
    <row r="15" spans="1:10" ht="12.75">
      <c r="A15" s="599" t="s">
        <v>2178</v>
      </c>
      <c r="B15" s="616">
        <v>7543290.349</v>
      </c>
      <c r="C15" s="617">
        <v>1068753.335</v>
      </c>
      <c r="D15" s="602">
        <f t="shared" si="0"/>
        <v>14.168264584190142</v>
      </c>
      <c r="E15" s="618">
        <f>2702229.33-C15</f>
        <v>1633475.995</v>
      </c>
      <c r="F15" s="598">
        <f t="shared" si="1"/>
        <v>21.654688066150694</v>
      </c>
      <c r="G15" s="618">
        <f>4522002.861-E15-C15</f>
        <v>1819773.5309999995</v>
      </c>
      <c r="H15" s="598">
        <f t="shared" si="2"/>
        <v>24.124399921066853</v>
      </c>
      <c r="I15" s="614">
        <f>B15-C15-E15-G15</f>
        <v>3021287.488000001</v>
      </c>
      <c r="J15" s="598">
        <f t="shared" si="3"/>
        <v>40.052647428592316</v>
      </c>
    </row>
    <row r="16" spans="1:10" ht="13.5" thickBot="1">
      <c r="A16" s="603" t="s">
        <v>2209</v>
      </c>
      <c r="B16" s="616">
        <v>28739.529</v>
      </c>
      <c r="C16" s="617">
        <v>4675.115</v>
      </c>
      <c r="D16" s="619">
        <f t="shared" si="0"/>
        <v>16.267194218805745</v>
      </c>
      <c r="E16" s="618">
        <f>10829.979-C16</f>
        <v>6154.864</v>
      </c>
      <c r="F16" s="620">
        <f t="shared" si="1"/>
        <v>21.41602251032019</v>
      </c>
      <c r="G16" s="618">
        <f>17995.397-E16-C16</f>
        <v>7165.4180000000015</v>
      </c>
      <c r="H16" s="620">
        <f t="shared" si="2"/>
        <v>24.9322735943237</v>
      </c>
      <c r="I16" s="607">
        <f>B16-C16-E16-G16</f>
        <v>10744.131999999994</v>
      </c>
      <c r="J16" s="620">
        <f t="shared" si="3"/>
        <v>37.38450967655035</v>
      </c>
    </row>
    <row r="17" spans="1:10" s="656" customFormat="1" ht="15.75" thickBot="1">
      <c r="A17" s="651" t="s">
        <v>2331</v>
      </c>
      <c r="B17" s="657">
        <f>SUM(B14:B16)</f>
        <v>8756243.071999999</v>
      </c>
      <c r="C17" s="653">
        <f>SUM(C14:C16)</f>
        <v>1193236.132</v>
      </c>
      <c r="D17" s="658">
        <f t="shared" si="0"/>
        <v>13.627261397249619</v>
      </c>
      <c r="E17" s="652">
        <f>SUM(E14:E16)</f>
        <v>1938902.5510000002</v>
      </c>
      <c r="F17" s="659">
        <f t="shared" si="1"/>
        <v>22.143087338450723</v>
      </c>
      <c r="G17" s="652">
        <f>SUM(G14:G16)</f>
        <v>2130599.0989999995</v>
      </c>
      <c r="H17" s="659">
        <f t="shared" si="2"/>
        <v>24.332343009218825</v>
      </c>
      <c r="I17" s="652">
        <f>SUM(I14:I16)</f>
        <v>3493505.290000001</v>
      </c>
      <c r="J17" s="659">
        <f t="shared" si="3"/>
        <v>39.89730825508086</v>
      </c>
    </row>
    <row r="18" spans="1:10" ht="12.75">
      <c r="A18" s="610" t="s">
        <v>2090</v>
      </c>
      <c r="B18" s="604">
        <v>109696.851</v>
      </c>
      <c r="C18" s="605">
        <v>19071.385</v>
      </c>
      <c r="D18" s="613">
        <f t="shared" si="0"/>
        <v>17.38553552462504</v>
      </c>
      <c r="E18" s="607">
        <f>43905.526-C18</f>
        <v>24834.141</v>
      </c>
      <c r="F18" s="615">
        <f t="shared" si="1"/>
        <v>22.638882313950837</v>
      </c>
      <c r="G18" s="607">
        <f>68252.843-E18-C18</f>
        <v>24347.316999999992</v>
      </c>
      <c r="H18" s="615">
        <f t="shared" si="2"/>
        <v>22.19509199949595</v>
      </c>
      <c r="I18" s="614">
        <f aca="true" t="shared" si="4" ref="I18:I25">B18-C18-E18-G18</f>
        <v>41444.008</v>
      </c>
      <c r="J18" s="615">
        <f t="shared" si="3"/>
        <v>37.78049016192817</v>
      </c>
    </row>
    <row r="19" spans="1:10" ht="12.75">
      <c r="A19" s="599" t="s">
        <v>2332</v>
      </c>
      <c r="B19" s="616">
        <v>86794.727</v>
      </c>
      <c r="C19" s="617">
        <v>14549.206</v>
      </c>
      <c r="D19" s="602">
        <f t="shared" si="0"/>
        <v>16.762776383869497</v>
      </c>
      <c r="E19" s="618">
        <f>32996.516-C19</f>
        <v>18447.310000000005</v>
      </c>
      <c r="F19" s="598">
        <f t="shared" si="1"/>
        <v>21.253952443447407</v>
      </c>
      <c r="G19" s="618">
        <f>52071.139-E19-C19</f>
        <v>19074.623</v>
      </c>
      <c r="H19" s="598">
        <f t="shared" si="2"/>
        <v>21.976707179458035</v>
      </c>
      <c r="I19" s="614">
        <f t="shared" si="4"/>
        <v>34723.58799999999</v>
      </c>
      <c r="J19" s="598">
        <f t="shared" si="3"/>
        <v>40.00656399322506</v>
      </c>
    </row>
    <row r="20" spans="1:10" ht="12.75">
      <c r="A20" s="599" t="s">
        <v>2333</v>
      </c>
      <c r="B20" s="616">
        <v>89876.604</v>
      </c>
      <c r="C20" s="617">
        <v>9196.119</v>
      </c>
      <c r="D20" s="602">
        <f t="shared" si="0"/>
        <v>10.231938670045878</v>
      </c>
      <c r="E20" s="618">
        <f>22921.236-C20</f>
        <v>13725.117</v>
      </c>
      <c r="F20" s="598">
        <f t="shared" si="1"/>
        <v>15.271067651821824</v>
      </c>
      <c r="G20" s="618">
        <f>37589.692-E20-C20</f>
        <v>14668.456000000004</v>
      </c>
      <c r="H20" s="598">
        <f t="shared" si="2"/>
        <v>16.320661158937426</v>
      </c>
      <c r="I20" s="614">
        <f t="shared" si="4"/>
        <v>52286.912</v>
      </c>
      <c r="J20" s="598">
        <f t="shared" si="3"/>
        <v>58.17633251919486</v>
      </c>
    </row>
    <row r="21" spans="1:10" ht="12.75">
      <c r="A21" s="599" t="s">
        <v>2334</v>
      </c>
      <c r="B21" s="616">
        <v>67794.137</v>
      </c>
      <c r="C21" s="617">
        <v>10297.045</v>
      </c>
      <c r="D21" s="619">
        <f t="shared" si="0"/>
        <v>15.188695447218393</v>
      </c>
      <c r="E21" s="618">
        <f>25479.415-C21</f>
        <v>15182.37</v>
      </c>
      <c r="F21" s="620">
        <f t="shared" si="1"/>
        <v>22.394812695971037</v>
      </c>
      <c r="G21" s="618">
        <f>41897.778-E21-C21</f>
        <v>16418.362999999998</v>
      </c>
      <c r="H21" s="620">
        <f t="shared" si="2"/>
        <v>24.217968878341203</v>
      </c>
      <c r="I21" s="607">
        <f t="shared" si="4"/>
        <v>25896.359000000004</v>
      </c>
      <c r="J21" s="620">
        <f t="shared" si="3"/>
        <v>38.19852297846936</v>
      </c>
    </row>
    <row r="22" spans="1:10" ht="12.75">
      <c r="A22" s="599" t="s">
        <v>2335</v>
      </c>
      <c r="B22" s="600">
        <v>78692.859</v>
      </c>
      <c r="C22" s="601">
        <v>10654.822</v>
      </c>
      <c r="D22" s="602">
        <f t="shared" si="0"/>
        <v>13.53975714619798</v>
      </c>
      <c r="E22" s="600">
        <f>28146.059-C22</f>
        <v>17491.237</v>
      </c>
      <c r="F22" s="598">
        <f t="shared" si="1"/>
        <v>22.227222675948276</v>
      </c>
      <c r="G22" s="600">
        <f>48400.247-E22-C22</f>
        <v>20254.188000000002</v>
      </c>
      <c r="H22" s="598">
        <f t="shared" si="2"/>
        <v>25.738279505132738</v>
      </c>
      <c r="I22" s="600">
        <f t="shared" si="4"/>
        <v>30292.611999999994</v>
      </c>
      <c r="J22" s="598">
        <f t="shared" si="3"/>
        <v>38.49474067272101</v>
      </c>
    </row>
    <row r="23" spans="1:10" ht="12.75">
      <c r="A23" s="599" t="s">
        <v>2336</v>
      </c>
      <c r="B23" s="621">
        <v>72900.576</v>
      </c>
      <c r="C23" s="601">
        <v>12664.565</v>
      </c>
      <c r="D23" s="602">
        <f t="shared" si="0"/>
        <v>17.372379883527945</v>
      </c>
      <c r="E23" s="600">
        <f>28278.245-C23</f>
        <v>15613.679999999998</v>
      </c>
      <c r="F23" s="598">
        <f t="shared" si="1"/>
        <v>21.417773159981614</v>
      </c>
      <c r="G23" s="600">
        <f>44765.395-E23-C23</f>
        <v>16487.149999999994</v>
      </c>
      <c r="H23" s="598">
        <f t="shared" si="2"/>
        <v>22.615939275980473</v>
      </c>
      <c r="I23" s="614">
        <f t="shared" si="4"/>
        <v>28135.181000000004</v>
      </c>
      <c r="J23" s="598">
        <f t="shared" si="3"/>
        <v>38.593907680509965</v>
      </c>
    </row>
    <row r="24" spans="1:10" ht="12.75">
      <c r="A24" s="599" t="s">
        <v>2337</v>
      </c>
      <c r="B24" s="621">
        <v>264148.303</v>
      </c>
      <c r="C24" s="601">
        <v>23867.539</v>
      </c>
      <c r="D24" s="602">
        <f t="shared" si="0"/>
        <v>9.03565865422198</v>
      </c>
      <c r="E24" s="600">
        <f>54144.206-C24</f>
        <v>30276.666999999998</v>
      </c>
      <c r="F24" s="598">
        <f t="shared" si="1"/>
        <v>11.461995650223805</v>
      </c>
      <c r="G24" s="600">
        <f>82328.752-E24-C24</f>
        <v>28184.54599999999</v>
      </c>
      <c r="H24" s="598">
        <f t="shared" si="2"/>
        <v>10.669970497595811</v>
      </c>
      <c r="I24" s="614">
        <f t="shared" si="4"/>
        <v>181819.55100000004</v>
      </c>
      <c r="J24" s="598">
        <f t="shared" si="3"/>
        <v>68.83237519795841</v>
      </c>
    </row>
    <row r="25" spans="1:10" ht="13.5" thickBot="1">
      <c r="A25" s="603" t="s">
        <v>2338</v>
      </c>
      <c r="B25" s="616">
        <v>105789.937</v>
      </c>
      <c r="C25" s="617">
        <v>19486.203</v>
      </c>
      <c r="D25" s="619">
        <f t="shared" si="0"/>
        <v>18.419713209584387</v>
      </c>
      <c r="E25" s="618">
        <f>42173.882-C25</f>
        <v>22687.678999999996</v>
      </c>
      <c r="F25" s="620">
        <f t="shared" si="1"/>
        <v>21.445970801551752</v>
      </c>
      <c r="G25" s="618">
        <f>65203.723-E25-C25</f>
        <v>23029.841</v>
      </c>
      <c r="H25" s="620">
        <f t="shared" si="2"/>
        <v>21.769406101451786</v>
      </c>
      <c r="I25" s="607">
        <f t="shared" si="4"/>
        <v>40586.214</v>
      </c>
      <c r="J25" s="620">
        <f t="shared" si="3"/>
        <v>38.36490988741207</v>
      </c>
    </row>
    <row r="26" spans="1:10" s="656" customFormat="1" ht="15.75" thickBot="1">
      <c r="A26" s="651" t="s">
        <v>2339</v>
      </c>
      <c r="B26" s="657">
        <f>SUM(B18:B25)</f>
        <v>875693.9940000001</v>
      </c>
      <c r="C26" s="653">
        <f>SUM(C18:C25)</f>
        <v>119786.88399999999</v>
      </c>
      <c r="D26" s="658">
        <f t="shared" si="0"/>
        <v>13.679080229023471</v>
      </c>
      <c r="E26" s="652">
        <f>SUM(E18:E25)</f>
        <v>158258.20099999997</v>
      </c>
      <c r="F26" s="659">
        <f t="shared" si="1"/>
        <v>18.07231773705644</v>
      </c>
      <c r="G26" s="652">
        <f>SUM(G18:G25)</f>
        <v>162464.484</v>
      </c>
      <c r="H26" s="659">
        <f t="shared" si="2"/>
        <v>18.552654821565444</v>
      </c>
      <c r="I26" s="652">
        <f>SUM(I18:I25)</f>
        <v>435184.425</v>
      </c>
      <c r="J26" s="659">
        <f t="shared" si="3"/>
        <v>49.69594721235463</v>
      </c>
    </row>
    <row r="27" spans="1:10" ht="12.75">
      <c r="A27" s="610" t="s">
        <v>2159</v>
      </c>
      <c r="B27" s="611">
        <v>244273.337</v>
      </c>
      <c r="C27" s="612">
        <v>39498.723</v>
      </c>
      <c r="D27" s="613">
        <f t="shared" si="0"/>
        <v>16.169887178476625</v>
      </c>
      <c r="E27" s="614">
        <f>98912.966-C27</f>
        <v>59414.243</v>
      </c>
      <c r="F27" s="615">
        <f t="shared" si="1"/>
        <v>24.32285231359491</v>
      </c>
      <c r="G27" s="614">
        <f>155401.098-E27-C27</f>
        <v>56488.132</v>
      </c>
      <c r="H27" s="615">
        <f t="shared" si="2"/>
        <v>23.124968403735362</v>
      </c>
      <c r="I27" s="614">
        <f aca="true" t="shared" si="5" ref="I27:I34">B27-C27-E27-G27</f>
        <v>88872.23899999999</v>
      </c>
      <c r="J27" s="615">
        <f t="shared" si="3"/>
        <v>36.38229210419309</v>
      </c>
    </row>
    <row r="28" spans="1:10" ht="12.75">
      <c r="A28" s="599" t="s">
        <v>2160</v>
      </c>
      <c r="B28" s="621">
        <v>172196.577</v>
      </c>
      <c r="C28" s="601">
        <v>28107.39</v>
      </c>
      <c r="D28" s="602">
        <f t="shared" si="0"/>
        <v>16.322850598824623</v>
      </c>
      <c r="E28" s="600">
        <f>64124.318-C28</f>
        <v>36016.928</v>
      </c>
      <c r="F28" s="598">
        <f t="shared" si="1"/>
        <v>20.916169547319168</v>
      </c>
      <c r="G28" s="600">
        <f>103906.636-E28-C28</f>
        <v>39782.318</v>
      </c>
      <c r="H28" s="598">
        <f t="shared" si="2"/>
        <v>23.102850644934712</v>
      </c>
      <c r="I28" s="614">
        <f t="shared" si="5"/>
        <v>68289.94099999998</v>
      </c>
      <c r="J28" s="598">
        <f t="shared" si="3"/>
        <v>39.65812920892149</v>
      </c>
    </row>
    <row r="29" spans="1:10" ht="12.75">
      <c r="A29" s="599" t="s">
        <v>2161</v>
      </c>
      <c r="B29" s="611">
        <v>253890.675</v>
      </c>
      <c r="C29" s="612">
        <v>36291.555</v>
      </c>
      <c r="D29" s="602">
        <f t="shared" si="0"/>
        <v>14.29416617999066</v>
      </c>
      <c r="E29" s="614">
        <f>92882.06-C29</f>
        <v>56590.505</v>
      </c>
      <c r="F29" s="598">
        <f t="shared" si="1"/>
        <v>22.289319999641577</v>
      </c>
      <c r="G29" s="614">
        <f>163815.866-E29-C29</f>
        <v>70933.80600000001</v>
      </c>
      <c r="H29" s="598">
        <f t="shared" si="2"/>
        <v>27.938720474865814</v>
      </c>
      <c r="I29" s="614">
        <f t="shared" si="5"/>
        <v>90074.80899999998</v>
      </c>
      <c r="J29" s="598">
        <f t="shared" si="3"/>
        <v>35.47779334550195</v>
      </c>
    </row>
    <row r="30" spans="1:10" ht="12.75">
      <c r="A30" s="599" t="s">
        <v>2162</v>
      </c>
      <c r="B30" s="621">
        <v>66488.995</v>
      </c>
      <c r="C30" s="601">
        <v>11343.613</v>
      </c>
      <c r="D30" s="602">
        <f t="shared" si="0"/>
        <v>17.060888046209755</v>
      </c>
      <c r="E30" s="600">
        <f>26263.866-C30</f>
        <v>14920.253000000002</v>
      </c>
      <c r="F30" s="598">
        <f t="shared" si="1"/>
        <v>22.440184274104315</v>
      </c>
      <c r="G30" s="600">
        <f>41183.473-E30-C30</f>
        <v>14919.606999999995</v>
      </c>
      <c r="H30" s="598">
        <f t="shared" si="2"/>
        <v>22.439212684745794</v>
      </c>
      <c r="I30" s="614">
        <f t="shared" si="5"/>
        <v>25305.521999999997</v>
      </c>
      <c r="J30" s="598">
        <f t="shared" si="3"/>
        <v>38.05971499494014</v>
      </c>
    </row>
    <row r="31" spans="1:10" ht="12.75">
      <c r="A31" s="599" t="s">
        <v>2163</v>
      </c>
      <c r="B31" s="604">
        <v>67703.926</v>
      </c>
      <c r="C31" s="605">
        <v>10672.6</v>
      </c>
      <c r="D31" s="619">
        <f t="shared" si="0"/>
        <v>15.7636353318713</v>
      </c>
      <c r="E31" s="607">
        <f>24413.945-C31</f>
        <v>13741.345</v>
      </c>
      <c r="F31" s="620">
        <f t="shared" si="1"/>
        <v>20.296230679443905</v>
      </c>
      <c r="G31" s="607">
        <f>40211.18-E31-C31</f>
        <v>15797.234999999999</v>
      </c>
      <c r="H31" s="598">
        <f t="shared" si="2"/>
        <v>23.332819724516412</v>
      </c>
      <c r="I31" s="614">
        <f t="shared" si="5"/>
        <v>27492.746000000006</v>
      </c>
      <c r="J31" s="598">
        <f t="shared" si="3"/>
        <v>40.60731426416838</v>
      </c>
    </row>
    <row r="32" spans="1:10" ht="12.75">
      <c r="A32" s="603" t="s">
        <v>2354</v>
      </c>
      <c r="B32" s="616">
        <v>27998.007</v>
      </c>
      <c r="C32" s="617">
        <v>3984.245</v>
      </c>
      <c r="D32" s="619">
        <f t="shared" si="0"/>
        <v>14.230459332337476</v>
      </c>
      <c r="E32" s="618">
        <f>10832.384-C32</f>
        <v>6848.139</v>
      </c>
      <c r="F32" s="620">
        <f t="shared" si="1"/>
        <v>24.459380269459892</v>
      </c>
      <c r="G32" s="618">
        <f>16494.103-E32-C32</f>
        <v>5661.719</v>
      </c>
      <c r="H32" s="620">
        <f t="shared" si="2"/>
        <v>20.22186436341701</v>
      </c>
      <c r="I32" s="607">
        <f t="shared" si="5"/>
        <v>11503.904000000002</v>
      </c>
      <c r="J32" s="620">
        <f t="shared" si="3"/>
        <v>41.08829603478562</v>
      </c>
    </row>
    <row r="33" spans="1:10" ht="12.75">
      <c r="A33" s="599" t="s">
        <v>2340</v>
      </c>
      <c r="B33" s="621">
        <v>267027.781</v>
      </c>
      <c r="C33" s="208">
        <v>48365.392</v>
      </c>
      <c r="D33" s="622">
        <f t="shared" si="0"/>
        <v>18.112494444913207</v>
      </c>
      <c r="E33" s="216">
        <f>107164.616-C33</f>
        <v>58799.223999999995</v>
      </c>
      <c r="F33" s="623">
        <f t="shared" si="1"/>
        <v>22.01989013270495</v>
      </c>
      <c r="G33" s="216">
        <f>167815.057-E33-C33</f>
        <v>60650.44100000001</v>
      </c>
      <c r="H33" s="623">
        <f t="shared" si="2"/>
        <v>22.713157699497945</v>
      </c>
      <c r="I33" s="216">
        <f t="shared" si="5"/>
        <v>99212.72400000002</v>
      </c>
      <c r="J33" s="623">
        <f t="shared" si="3"/>
        <v>37.154457722883905</v>
      </c>
    </row>
    <row r="34" spans="1:10" ht="13.5" thickBot="1">
      <c r="A34" s="624" t="s">
        <v>2341</v>
      </c>
      <c r="B34" s="616">
        <v>21126.142</v>
      </c>
      <c r="C34" s="222">
        <v>2781.994</v>
      </c>
      <c r="D34" s="625">
        <f t="shared" si="0"/>
        <v>13.16849048917687</v>
      </c>
      <c r="E34" s="230">
        <f>7297.98-C34</f>
        <v>4515.985999999999</v>
      </c>
      <c r="F34" s="626">
        <f t="shared" si="1"/>
        <v>21.376292936022107</v>
      </c>
      <c r="G34" s="230">
        <f>11780.92-E34-C34</f>
        <v>4482.9400000000005</v>
      </c>
      <c r="H34" s="626">
        <f t="shared" si="2"/>
        <v>21.219870622852014</v>
      </c>
      <c r="I34" s="216">
        <f t="shared" si="5"/>
        <v>9345.222000000002</v>
      </c>
      <c r="J34" s="626">
        <f t="shared" si="3"/>
        <v>44.23534595194902</v>
      </c>
    </row>
    <row r="35" spans="1:10" s="656" customFormat="1" ht="15.75" thickBot="1">
      <c r="A35" s="651" t="s">
        <v>2342</v>
      </c>
      <c r="B35" s="652">
        <f>SUM(B27:B34)</f>
        <v>1120705.44</v>
      </c>
      <c r="C35" s="653">
        <f>SUM(C27:C34)</f>
        <v>181045.51200000002</v>
      </c>
      <c r="D35" s="654">
        <f t="shared" si="0"/>
        <v>16.15460276520118</v>
      </c>
      <c r="E35" s="652">
        <f>SUM(E27:E34)</f>
        <v>250846.623</v>
      </c>
      <c r="F35" s="655">
        <f t="shared" si="1"/>
        <v>22.38292186749803</v>
      </c>
      <c r="G35" s="652">
        <f>SUM(G27:G34)</f>
        <v>268716.198</v>
      </c>
      <c r="H35" s="655">
        <f t="shared" si="2"/>
        <v>23.977415332257152</v>
      </c>
      <c r="I35" s="652">
        <f>SUM(I27:I34)</f>
        <v>420097.1069999999</v>
      </c>
      <c r="J35" s="655">
        <f t="shared" si="3"/>
        <v>37.48506003504363</v>
      </c>
    </row>
    <row r="36" spans="1:10" ht="12.75">
      <c r="A36" s="593" t="s">
        <v>2343</v>
      </c>
      <c r="B36" s="627">
        <v>314380.822</v>
      </c>
      <c r="C36" s="197">
        <v>55718.022</v>
      </c>
      <c r="D36" s="628">
        <f t="shared" si="0"/>
        <v>17.72309826201803</v>
      </c>
      <c r="E36" s="206">
        <f>122985.522-C36</f>
        <v>67267.5</v>
      </c>
      <c r="F36" s="629">
        <f t="shared" si="1"/>
        <v>21.396820446000362</v>
      </c>
      <c r="G36" s="206">
        <f>207151.813-E36-C36</f>
        <v>84166.291</v>
      </c>
      <c r="H36" s="629">
        <f t="shared" si="2"/>
        <v>26.77208185428054</v>
      </c>
      <c r="I36" s="206">
        <f aca="true" t="shared" si="6" ref="I36:I43">B36-C36-E36-G36</f>
        <v>107229.00899999999</v>
      </c>
      <c r="J36" s="629">
        <f t="shared" si="3"/>
        <v>34.10799943770107</v>
      </c>
    </row>
    <row r="37" spans="1:10" ht="12.75">
      <c r="A37" s="599" t="s">
        <v>2046</v>
      </c>
      <c r="B37" s="621">
        <v>219616.488</v>
      </c>
      <c r="C37" s="208">
        <v>28736.746</v>
      </c>
      <c r="D37" s="622">
        <f>C37*100/B37</f>
        <v>13.084967463827216</v>
      </c>
      <c r="E37" s="216">
        <f>80069.335-C37</f>
        <v>51332.58900000001</v>
      </c>
      <c r="F37" s="623">
        <f>E37*100/B37</f>
        <v>23.373740955187298</v>
      </c>
      <c r="G37" s="216">
        <f>130412.527-E37-C37</f>
        <v>50343.191999999995</v>
      </c>
      <c r="H37" s="623">
        <f>G37*100/B37</f>
        <v>22.923229698491486</v>
      </c>
      <c r="I37" s="216">
        <f t="shared" si="6"/>
        <v>89203.96100000002</v>
      </c>
      <c r="J37" s="623">
        <f>I37*100/B37</f>
        <v>40.61806188249401</v>
      </c>
    </row>
    <row r="38" spans="1:10" ht="12.75">
      <c r="A38" s="599" t="s">
        <v>2047</v>
      </c>
      <c r="B38" s="621">
        <v>248428.62</v>
      </c>
      <c r="C38" s="208">
        <v>32525.725</v>
      </c>
      <c r="D38" s="622">
        <f>C38*100/B38</f>
        <v>13.092583696677139</v>
      </c>
      <c r="E38" s="216">
        <f>85794.125-C38</f>
        <v>53268.4</v>
      </c>
      <c r="F38" s="623">
        <f>E38*100/B38</f>
        <v>21.44213496818523</v>
      </c>
      <c r="G38" s="216">
        <f>144311.041-E38-C38</f>
        <v>58516.916000000005</v>
      </c>
      <c r="H38" s="623">
        <f>G38*100/B38</f>
        <v>23.5548206965848</v>
      </c>
      <c r="I38" s="216">
        <f t="shared" si="6"/>
        <v>104117.579</v>
      </c>
      <c r="J38" s="623">
        <f>I38*100/B38</f>
        <v>41.91046063855284</v>
      </c>
    </row>
    <row r="39" spans="1:10" ht="12.75">
      <c r="A39" s="610" t="s">
        <v>2344</v>
      </c>
      <c r="B39" s="611">
        <v>881848.583</v>
      </c>
      <c r="C39" s="630">
        <v>181547</v>
      </c>
      <c r="D39" s="631">
        <f t="shared" si="0"/>
        <v>20.587094371959772</v>
      </c>
      <c r="E39" s="632">
        <f>367867.369-C39</f>
        <v>186320.369</v>
      </c>
      <c r="F39" s="633">
        <f t="shared" si="1"/>
        <v>21.128385597235805</v>
      </c>
      <c r="G39" s="632">
        <f>559368.408-E39-C39</f>
        <v>191501.03900000005</v>
      </c>
      <c r="H39" s="633">
        <f t="shared" si="2"/>
        <v>21.715864003378464</v>
      </c>
      <c r="I39" s="632">
        <f t="shared" si="6"/>
        <v>322480.17499999993</v>
      </c>
      <c r="J39" s="633">
        <f t="shared" si="3"/>
        <v>36.56865602742596</v>
      </c>
    </row>
    <row r="40" spans="1:10" ht="12.75">
      <c r="A40" s="599" t="s">
        <v>2345</v>
      </c>
      <c r="B40" s="616">
        <v>34437</v>
      </c>
      <c r="C40" s="617">
        <v>8469</v>
      </c>
      <c r="D40" s="602">
        <f t="shared" si="0"/>
        <v>24.592734558759474</v>
      </c>
      <c r="E40" s="618">
        <f>16914-C40</f>
        <v>8445</v>
      </c>
      <c r="F40" s="598">
        <f t="shared" si="1"/>
        <v>24.52304207683596</v>
      </c>
      <c r="G40" s="618">
        <f>25406-E40-C40</f>
        <v>8492</v>
      </c>
      <c r="H40" s="598">
        <f t="shared" si="2"/>
        <v>24.659523187269507</v>
      </c>
      <c r="I40" s="614">
        <f t="shared" si="6"/>
        <v>9031</v>
      </c>
      <c r="J40" s="598">
        <f t="shared" si="3"/>
        <v>26.22470017713506</v>
      </c>
    </row>
    <row r="41" spans="1:10" ht="12.75">
      <c r="A41" s="599" t="s">
        <v>2346</v>
      </c>
      <c r="B41" s="616">
        <v>31776</v>
      </c>
      <c r="C41" s="617">
        <v>22432</v>
      </c>
      <c r="D41" s="602">
        <f t="shared" si="0"/>
        <v>70.59415911379658</v>
      </c>
      <c r="E41" s="618">
        <f>25994-C41</f>
        <v>3562</v>
      </c>
      <c r="F41" s="598">
        <f t="shared" si="1"/>
        <v>11.209718026183284</v>
      </c>
      <c r="G41" s="618">
        <f>29463-E41-C41</f>
        <v>3469</v>
      </c>
      <c r="H41" s="598">
        <f t="shared" si="2"/>
        <v>10.917044310171198</v>
      </c>
      <c r="I41" s="614">
        <f t="shared" si="6"/>
        <v>2313</v>
      </c>
      <c r="J41" s="598">
        <f t="shared" si="3"/>
        <v>7.2790785498489425</v>
      </c>
    </row>
    <row r="42" spans="1:10" ht="12.75">
      <c r="A42" s="599" t="s">
        <v>2347</v>
      </c>
      <c r="B42" s="616">
        <v>29408</v>
      </c>
      <c r="C42" s="617">
        <v>7335</v>
      </c>
      <c r="D42" s="625">
        <f t="shared" si="0"/>
        <v>24.942192600652884</v>
      </c>
      <c r="E42" s="618">
        <f>14583-C42</f>
        <v>7248</v>
      </c>
      <c r="F42" s="634">
        <f t="shared" si="1"/>
        <v>24.646354733405875</v>
      </c>
      <c r="G42" s="618">
        <f>21652-E42-C42</f>
        <v>7069</v>
      </c>
      <c r="H42" s="634">
        <f t="shared" si="2"/>
        <v>24.037676822633298</v>
      </c>
      <c r="I42" s="607">
        <f t="shared" si="6"/>
        <v>7756</v>
      </c>
      <c r="J42" s="634">
        <f t="shared" si="3"/>
        <v>26.373775843307943</v>
      </c>
    </row>
    <row r="43" spans="1:10" ht="13.5" thickBot="1">
      <c r="A43" s="603" t="s">
        <v>2348</v>
      </c>
      <c r="B43" s="618">
        <v>66066</v>
      </c>
      <c r="C43" s="617">
        <v>14518</v>
      </c>
      <c r="D43" s="625">
        <v>0</v>
      </c>
      <c r="E43" s="618">
        <f>32161-C43</f>
        <v>17643</v>
      </c>
      <c r="F43" s="634">
        <v>0</v>
      </c>
      <c r="G43" s="618">
        <f>45411-E43-C43</f>
        <v>13250</v>
      </c>
      <c r="H43" s="634">
        <v>0</v>
      </c>
      <c r="I43" s="618">
        <f t="shared" si="6"/>
        <v>20655</v>
      </c>
      <c r="J43" s="634">
        <f t="shared" si="3"/>
        <v>31.264190355099448</v>
      </c>
    </row>
    <row r="44" spans="1:10" s="154" customFormat="1" ht="13.5" thickBot="1">
      <c r="A44" s="609" t="s">
        <v>2349</v>
      </c>
      <c r="B44" s="644">
        <f>SUM(B39:B43)</f>
        <v>1043535.583</v>
      </c>
      <c r="C44" s="645">
        <f>SUM(C39:C43)</f>
        <v>234301</v>
      </c>
      <c r="D44" s="636">
        <f>C44*100/B44</f>
        <v>22.45261242807089</v>
      </c>
      <c r="E44" s="635">
        <f>SUM(E39:E43)</f>
        <v>223218.369</v>
      </c>
      <c r="F44" s="637">
        <f>E44*100/B44</f>
        <v>21.390585298326144</v>
      </c>
      <c r="G44" s="635">
        <f>SUM(G39:G43)</f>
        <v>223781.03900000005</v>
      </c>
      <c r="H44" s="637">
        <f>G44*100/B44</f>
        <v>21.44450487799035</v>
      </c>
      <c r="I44" s="635">
        <f>SUM(I39:I43)</f>
        <v>362235.17499999993</v>
      </c>
      <c r="J44" s="637">
        <f t="shared" si="3"/>
        <v>34.712297395612616</v>
      </c>
    </row>
    <row r="45" spans="1:10" s="650" customFormat="1" ht="16.5" thickBot="1">
      <c r="A45" s="646" t="s">
        <v>2350</v>
      </c>
      <c r="B45" s="647">
        <f>B12+B13+B17+B26+B35+B36+B37+B38+B44</f>
        <v>59756108.613999985</v>
      </c>
      <c r="C45" s="647">
        <f>C12+C13+C17+C26+C35+C36+C37+C38+C44</f>
        <v>9978181.631999997</v>
      </c>
      <c r="D45" s="648">
        <f>C45*100/B45</f>
        <v>16.69817841796722</v>
      </c>
      <c r="E45" s="647">
        <f>E12+E13+E17+E26+E35+E36+E37+E38+E44</f>
        <v>13600719.63</v>
      </c>
      <c r="F45" s="649">
        <f>E45*100/B45</f>
        <v>22.76038374227995</v>
      </c>
      <c r="G45" s="647">
        <f>G12+G13+G17+G26+G35+G36+G37+G38+G44</f>
        <v>14677342.29</v>
      </c>
      <c r="H45" s="649">
        <f>G45*100/B45</f>
        <v>24.56207847269578</v>
      </c>
      <c r="I45" s="647">
        <f>I12+I13+I17+I26+I35+I36+I37+I38+I44</f>
        <v>21499865.062</v>
      </c>
      <c r="J45" s="649">
        <f t="shared" si="3"/>
        <v>35.979359367057064</v>
      </c>
    </row>
    <row r="46" spans="1:10" ht="12.75">
      <c r="A46" s="158"/>
      <c r="B46" s="638"/>
      <c r="C46" s="638"/>
      <c r="D46" s="639"/>
      <c r="E46" s="638"/>
      <c r="F46" s="639"/>
      <c r="G46" s="638"/>
      <c r="H46" s="639"/>
      <c r="I46" s="638"/>
      <c r="J46" s="639"/>
    </row>
    <row r="47" spans="1:10" ht="12.75" hidden="1">
      <c r="A47" s="640"/>
      <c r="B47" s="638"/>
      <c r="C47" s="638">
        <f>C45</f>
        <v>9978181.631999997</v>
      </c>
      <c r="D47" s="639"/>
      <c r="E47" s="638">
        <f>C45+E45</f>
        <v>23578901.262</v>
      </c>
      <c r="F47" s="639"/>
      <c r="G47" s="638">
        <f>C45+E45+G45</f>
        <v>38256243.552</v>
      </c>
      <c r="H47" s="639"/>
      <c r="I47" s="638">
        <f>C45+E45+G45+I45</f>
        <v>59756108.614</v>
      </c>
      <c r="J47" s="639"/>
    </row>
    <row r="48" spans="1:10" ht="12.75">
      <c r="A48" s="641" t="s">
        <v>2132</v>
      </c>
      <c r="B48" s="638"/>
      <c r="C48" s="638"/>
      <c r="D48" s="639"/>
      <c r="E48" s="638"/>
      <c r="F48" s="639"/>
      <c r="G48" s="638"/>
      <c r="H48" s="639"/>
      <c r="I48" s="638"/>
      <c r="J48" s="639"/>
    </row>
    <row r="49" ht="12.75">
      <c r="A49" s="642" t="s">
        <v>2351</v>
      </c>
    </row>
    <row r="50" ht="12.75">
      <c r="A50" s="62" t="s">
        <v>2352</v>
      </c>
    </row>
    <row r="51" spans="3:9" ht="12.75">
      <c r="C51" s="201"/>
      <c r="D51" s="201"/>
      <c r="E51" s="201"/>
      <c r="F51" s="201"/>
      <c r="G51" s="201"/>
      <c r="H51" s="201"/>
      <c r="I51" s="201"/>
    </row>
    <row r="52" spans="1:10" s="67" customFormat="1" ht="15">
      <c r="A52" s="417" t="s">
        <v>2355</v>
      </c>
      <c r="B52" s="643"/>
      <c r="C52" s="415" t="s">
        <v>2315</v>
      </c>
      <c r="D52" s="416"/>
      <c r="E52" s="416"/>
      <c r="G52" s="415"/>
      <c r="H52" s="1051" t="s">
        <v>2137</v>
      </c>
      <c r="I52" s="1051"/>
      <c r="J52" s="1051"/>
    </row>
  </sheetData>
  <mergeCells count="3">
    <mergeCell ref="I1:J1"/>
    <mergeCell ref="A3:J3"/>
    <mergeCell ref="H52:J52"/>
  </mergeCells>
  <printOptions horizontalCentered="1"/>
  <pageMargins left="0.7874015748031497" right="0.7874015748031497" top="0.984251968503937" bottom="0.984251968503937" header="0.7086614173228347" footer="0.31496062992125984"/>
  <pageSetup fitToHeight="1" fitToWidth="1" horizontalDpi="600" verticalDpi="600" orientation="landscape" paperSize="9" scale="69" r:id="rId1"/>
  <headerFooter alignWithMargins="0">
    <oddFooter>&amp;C&amp;P+156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Landsingerova</cp:lastModifiedBy>
  <cp:lastPrinted>2010-03-09T06:59:53Z</cp:lastPrinted>
  <dcterms:created xsi:type="dcterms:W3CDTF">2005-01-31T11:59:30Z</dcterms:created>
  <dcterms:modified xsi:type="dcterms:W3CDTF">2010-03-09T07:55:49Z</dcterms:modified>
  <cp:category/>
  <cp:version/>
  <cp:contentType/>
  <cp:contentStatus/>
</cp:coreProperties>
</file>