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91" windowWidth="12120" windowHeight="8835" tabRatio="929" firstSheet="10" activeTab="0"/>
  </bookViews>
  <sheets>
    <sheet name="tab11 důchody" sheetId="1" r:id="rId1"/>
    <sheet name="tab12 ost soc" sheetId="2" r:id="rId2"/>
    <sheet name="Tab 13 OPF" sheetId="3" r:id="rId3"/>
    <sheet name="tab13-1 OPF" sheetId="4" r:id="rId4"/>
    <sheet name="13-2 OPF (1)" sheetId="5" r:id="rId5"/>
    <sheet name="13-2 OPF (2)" sheetId="6" r:id="rId6"/>
    <sheet name="13-2 OPF (3)" sheetId="7" r:id="rId7"/>
    <sheet name="13-2 OPF (4)" sheetId="8" r:id="rId8"/>
    <sheet name="13-2 OPF (5)" sheetId="9" r:id="rId9"/>
    <sheet name="13-3 OPF (1)" sheetId="10" r:id="rId10"/>
    <sheet name="13-3 OPF (2)" sheetId="11" r:id="rId11"/>
    <sheet name="13-3 OPF (3)" sheetId="12" r:id="rId12"/>
    <sheet name="13-3 OPF (4)" sheetId="13" r:id="rId13"/>
    <sheet name="13-3 OPF (5)" sheetId="14" r:id="rId14"/>
    <sheet name="tab14-výd. čtvrtl." sheetId="15" r:id="rId15"/>
    <sheet name="tab15 HZS" sheetId="16" r:id="rId16"/>
    <sheet name="tab16 PČR" sheetId="17" r:id="rId17"/>
    <sheet name="tab17 škol." sheetId="18" r:id="rId18"/>
    <sheet name="tab18 arch" sheetId="19" r:id="rId19"/>
    <sheet name="tab 19 vývoj čerp" sheetId="20" r:id="rId20"/>
    <sheet name="org.schéma MV" sheetId="21" r:id="rId21"/>
  </sheets>
  <externalReferences>
    <externalReference r:id="rId24"/>
  </externalReferences>
  <definedNames>
    <definedName name="AccessDatabase">"C:\Dokumenty\Borisek\Excel\1998\ROZPIS1998\1LEDEN1998\akce98-1.mdb"</definedName>
    <definedName name="AV">'[1]301-KPR'!#REF!</definedName>
    <definedName name="CBU">'[1]301-KPR'!#REF!</definedName>
    <definedName name="CSU">'[1]301-KPR'!#REF!</definedName>
    <definedName name="CUZK">'[1]301-KPR'!#REF!</definedName>
    <definedName name="GA">'[1]301-KPR'!#REF!</definedName>
    <definedName name="MDS">'[1]301-KPR'!#REF!</definedName>
    <definedName name="MK">'[1]301-KPR'!#REF!</definedName>
    <definedName name="MPO">'[1]301-KPR'!#REF!</definedName>
    <definedName name="MS">'[1]301-KPR'!#REF!</definedName>
    <definedName name="MSMT">'[1]301-KPR'!#REF!</definedName>
    <definedName name="MZdr">'[1]301-KPR'!#REF!</definedName>
    <definedName name="MZe">'[1]301-KPR'!#REF!</definedName>
    <definedName name="NKU">'[1]301-KPR'!#REF!</definedName>
    <definedName name="RRTV">'[1]301-KPR'!#REF!</definedName>
    <definedName name="SSHR">'[1]301-KPR'!#REF!</definedName>
    <definedName name="SUJB">'[1]301-KPR'!#REF!</definedName>
    <definedName name="TABULKA_1">#N/A</definedName>
    <definedName name="TABULKA_2">#N/A</definedName>
    <definedName name="UOHS">'[1]301-KPR'!#REF!</definedName>
    <definedName name="UPV">'[1]301-KPR'!#REF!</definedName>
    <definedName name="US">'[1]301-KPR'!#REF!</definedName>
    <definedName name="USIS">'[1]301-KPR'!#REF!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<sst xmlns="http://schemas.openxmlformats.org/spreadsheetml/2006/main" count="877" uniqueCount="448">
  <si>
    <t>ORGANIZAĆNÍ SLOŽKA STÁTU - Správa základních registrů</t>
  </si>
  <si>
    <t>STÁTU - Archivy</t>
  </si>
  <si>
    <t>Krajské ředitelství policie Jihočeského kraje se sídlem v Č. Budějovicích</t>
  </si>
  <si>
    <t>Krajské ředitelství policie Karlovarského kraje se sídlem v Karlových Varech</t>
  </si>
  <si>
    <t>Krajské ředitelství policie Libereckého kraje se sídlem v Liberci</t>
  </si>
  <si>
    <t>Krajské ředitelství policie Královéhradeckého kraje se sídlem                        v Hradci Králové</t>
  </si>
  <si>
    <t>Krajské ředitelství policie Pardubického kraje se sídlem v Pardubicích</t>
  </si>
  <si>
    <t>Krajské ředitelství policie Kraje Vysočina se sídlem v Jihlavě</t>
  </si>
  <si>
    <t>Krajské ředitelství policie Zlínského kraje se sídlem ve Zlíně</t>
  </si>
  <si>
    <t>Krajské ředitelství policie Olomouckého kraje se sídlem v Olomouci</t>
  </si>
  <si>
    <t>Krajské ředitelství policie Moravskoslezského kraje se sídlem          v Ostravě</t>
  </si>
  <si>
    <t xml:space="preserve"> MINISTERSTVO VNITRA  ČR</t>
  </si>
  <si>
    <t>ORGANIZAČNÍ SLOŽKY STÁTU</t>
  </si>
  <si>
    <t xml:space="preserve"> - krajská ředitelství P ČR</t>
  </si>
  <si>
    <t>Krajské ředitelství policie hl. m. Prahy se sídlem v Praze</t>
  </si>
  <si>
    <t>Krajské ředitelství policie Středočeského kraje se sídlem v Praze</t>
  </si>
  <si>
    <t>Krajské ředitelství policie Plzeňského kraje se sídlem v Plzni</t>
  </si>
  <si>
    <t>Školské účelové zařízení v Praze - Ruzyni</t>
  </si>
  <si>
    <t>Krajské ředitelství policie Ústeckého kraje se sídlem v Ústí n. Labem</t>
  </si>
  <si>
    <t>Krajské ředitelství policie Jihomoravského kraje se sídlem v Brně</t>
  </si>
  <si>
    <t>Zařízení služeb  pro MV</t>
  </si>
  <si>
    <t>Střední odborná škola PO a Vyšší odborná škola PO ve Frýdku-Místku</t>
  </si>
  <si>
    <t>4/</t>
  </si>
  <si>
    <t>Muzeum  Policie ČR</t>
  </si>
  <si>
    <t>Bytová správa  MV</t>
  </si>
  <si>
    <t>Správa uprchlických zařízení  MV</t>
  </si>
  <si>
    <t>Tiskárna   MV</t>
  </si>
  <si>
    <t>Centrum sportu MV</t>
  </si>
  <si>
    <t>Zdravotnické zařízení MV</t>
  </si>
  <si>
    <t>záchranný útvar HZS</t>
  </si>
  <si>
    <r>
      <t xml:space="preserve">3/ </t>
    </r>
    <r>
      <rPr>
        <sz val="10"/>
        <rFont val="Arial CE"/>
        <family val="2"/>
      </rPr>
      <t>Příspěvková organizace odměňující své zaměstnance dle z. č. 143/1992 Sb.</t>
    </r>
  </si>
  <si>
    <r>
      <t>3/</t>
    </r>
    <r>
      <rPr>
        <sz val="10"/>
        <rFont val="Arial CE"/>
        <family val="2"/>
      </rPr>
      <t xml:space="preserve">  Příspěvkové organizace odměňující své zaměstnance dle § 109 odst. 3 z. č. 262/2006 Sb.</t>
    </r>
  </si>
  <si>
    <r>
      <t xml:space="preserve">4/ </t>
    </r>
    <r>
      <rPr>
        <sz val="10"/>
        <rFont val="Arial CE"/>
        <family val="2"/>
      </rPr>
      <t>Příspěvková organizace odměňující své zaměstnance dle z. č. 1/1992 Sb.</t>
    </r>
  </si>
  <si>
    <r>
      <t>4/</t>
    </r>
    <r>
      <rPr>
        <sz val="10"/>
        <rFont val="Arial CE"/>
        <family val="2"/>
      </rPr>
      <t xml:space="preserve">  Příspěvkové organizace odměňující své zaměstnance dle § 109 odst. 2 z. č. 262/2006 Sb.</t>
    </r>
  </si>
  <si>
    <t>Plzeňský kraj</t>
  </si>
  <si>
    <t>N</t>
  </si>
  <si>
    <t>Státní oblastní archiv
v Litoměřicích</t>
  </si>
  <si>
    <t>P</t>
  </si>
  <si>
    <t>Pardubický kraj</t>
  </si>
  <si>
    <r>
      <t xml:space="preserve">2/ </t>
    </r>
    <r>
      <rPr>
        <sz val="10"/>
        <rFont val="Arial CE"/>
        <family val="2"/>
      </rPr>
      <t xml:space="preserve"> Územní pracoviště  OSS MV </t>
    </r>
  </si>
  <si>
    <t>Á</t>
  </si>
  <si>
    <t>Státní oblastní archiv
v Třeboni</t>
  </si>
  <si>
    <t>Jihočeský kraj</t>
  </si>
  <si>
    <t>Státní oblastní archiv
v Plzni</t>
  </si>
  <si>
    <t>R</t>
  </si>
  <si>
    <t>kraj Vysočina</t>
  </si>
  <si>
    <t>ORGANIZAČNÍ</t>
  </si>
  <si>
    <t>1/</t>
  </si>
  <si>
    <t>ORGANIZAČNÍ SLOŽKY</t>
  </si>
  <si>
    <t>OSTATNÍ ORGANIZAČNÍ</t>
  </si>
  <si>
    <t>STÁTNÍ</t>
  </si>
  <si>
    <t>SLOŽKA STÁTU  MV</t>
  </si>
  <si>
    <t>STÁTU - HZS krajů</t>
  </si>
  <si>
    <t xml:space="preserve"> SLOŽKY STÁTU</t>
  </si>
  <si>
    <t>PŘÍSPĚVKOVÉ  ORGANIZACE</t>
  </si>
  <si>
    <t>2/</t>
  </si>
  <si>
    <t>S</t>
  </si>
  <si>
    <t xml:space="preserve"> Praha hl.m.</t>
  </si>
  <si>
    <t>T</t>
  </si>
  <si>
    <t>Státní oblastní archiv
v Praze</t>
  </si>
  <si>
    <t>Středočeský kraj</t>
  </si>
  <si>
    <t>Jihomoravský kraj</t>
  </si>
  <si>
    <t>V</t>
  </si>
  <si>
    <t>Zlínský kraj</t>
  </si>
  <si>
    <t>A</t>
  </si>
  <si>
    <t>Olomoucký kraj</t>
  </si>
  <si>
    <t>Moravskoslezský kraj</t>
  </si>
  <si>
    <t>Poznámka:</t>
  </si>
  <si>
    <r>
      <t>1/</t>
    </r>
    <r>
      <rPr>
        <sz val="10"/>
        <rFont val="Arial CE"/>
        <family val="2"/>
      </rPr>
      <t xml:space="preserve">  Hospodaří jako organizační složka státu MV</t>
    </r>
  </si>
  <si>
    <t>Národní archiv</t>
  </si>
  <si>
    <t>Policejní akademie ČR</t>
  </si>
  <si>
    <t>VPŠ a SPŠ MV v Holešově</t>
  </si>
  <si>
    <t>VPŠ MV v Pardubicích</t>
  </si>
  <si>
    <t>Karlovarský kraj</t>
  </si>
  <si>
    <t>Í</t>
  </si>
  <si>
    <t>Státní oblastní archiv
v Zámrsku</t>
  </si>
  <si>
    <t>Ústecký kraj</t>
  </si>
  <si>
    <t>Moravský zemský archiv
v Brně</t>
  </si>
  <si>
    <t>Liberecký kraj</t>
  </si>
  <si>
    <t>3/</t>
  </si>
  <si>
    <t>Zemský archiv v Opavě</t>
  </si>
  <si>
    <t>Královéhradecký kraj</t>
  </si>
  <si>
    <t>VPŠ MV v Brně</t>
  </si>
  <si>
    <t>VPŠ MV v Jihlavě</t>
  </si>
  <si>
    <t>VPŠ MV v Praze</t>
  </si>
  <si>
    <t xml:space="preserve">str. </t>
  </si>
  <si>
    <t>vlastní ministerstvo</t>
  </si>
  <si>
    <t>Generální ředitelství HZS ČR                 a zařízení GŘ HZS</t>
  </si>
  <si>
    <t xml:space="preserve">Správa logistického zabezpečení PP ČR a útvary policie s celostátní působností                                                        </t>
  </si>
  <si>
    <t>Institut pro veřejnou správu Praha</t>
  </si>
  <si>
    <t>Organizační schéma kapitoly 314 - Ministerstva vnitra s vyjádřením kompetenčního uspořádání mezi ústředním orgánem a jím zřízenými OSS a příspěvkovými organizacemi se stavem k 31. 12. 2011</t>
  </si>
  <si>
    <t>Přehled o výdajích na financování programů v roce 2011 dle jednotlivých programů</t>
  </si>
  <si>
    <t>v tis. Kč</t>
  </si>
  <si>
    <t>Investiční program resp. podprogram</t>
  </si>
  <si>
    <t>Název</t>
  </si>
  <si>
    <t xml:space="preserve">Schválený rozpočet            (R1)                 </t>
  </si>
  <si>
    <t>Konečný rozpočet</t>
  </si>
  <si>
    <t>Porovnání čerpání v roce 2011 ve vztahu k R2</t>
  </si>
  <si>
    <t>Porovnání čerpání v roce 2011 ve vztahu ke konečnému rozpočtu</t>
  </si>
  <si>
    <t>Čerpání
v roce
2010</t>
  </si>
  <si>
    <t>Porovnání čerpání 2011/2010     (sloupec 5:9)</t>
  </si>
  <si>
    <t>114020</t>
  </si>
  <si>
    <t>Rozvoj a obnova materiálně-technické základny školství, vzdělávání a tělovýchovy</t>
  </si>
  <si>
    <t>***,**</t>
  </si>
  <si>
    <t>114030</t>
  </si>
  <si>
    <t>Rozvoj a obnova materiálně-technické základny státních archivů</t>
  </si>
  <si>
    <t>114040</t>
  </si>
  <si>
    <t>Rozvoj a obnova mat. tech. základny organizací služeb resortu MV</t>
  </si>
  <si>
    <t>114050</t>
  </si>
  <si>
    <t>Podpora prevence kriminality</t>
  </si>
  <si>
    <t>114070</t>
  </si>
  <si>
    <t>Programy spolufinancováné z rozpočtu EU - IOP a OP LZZ</t>
  </si>
  <si>
    <t>114110</t>
  </si>
  <si>
    <t>Rozvoj a obnova materiálně-technické základny Policie ČR</t>
  </si>
  <si>
    <t>114210</t>
  </si>
  <si>
    <t>Reprodukce majetku HZS ČR</t>
  </si>
  <si>
    <t>Periodická obnova základní požární techniky jednotek zařazených do plošného pokrytí</t>
  </si>
  <si>
    <t>e-Government</t>
  </si>
  <si>
    <t xml:space="preserve">Rozvoj a obnova materiálně-technické základny hasičského záchranného sboru </t>
  </si>
  <si>
    <t>214910</t>
  </si>
  <si>
    <t xml:space="preserve">Výstavba informačních a komunikačních systémů a sítí MV </t>
  </si>
  <si>
    <t>Celkem</t>
  </si>
  <si>
    <t>Schválený rozpočet</t>
  </si>
  <si>
    <t>Název programu</t>
  </si>
  <si>
    <t>Prostředky státního rozpočtu</t>
  </si>
  <si>
    <t>Prostředky Evropské unie</t>
  </si>
  <si>
    <t>Prostředky   z finančních mechanismů</t>
  </si>
  <si>
    <t>114 020 - Rozvoj a obnova materiálně-technické základny školství, vzdělávání a tělovýchovy</t>
  </si>
  <si>
    <t>114 030 - Rozvoj a obnova materiálně-technické základny státních archivů</t>
  </si>
  <si>
    <t>114 040 - Rozvoj a obnova materiálně-technické základny organizací služeb resortu MV</t>
  </si>
  <si>
    <t>114 050 - Podpora prevence kriminality</t>
  </si>
  <si>
    <t>114 070 - Programy spolufinancované z rozpočtu EU – IOP a OP LZZ</t>
  </si>
  <si>
    <t>114 110 - Rozvoj a obnova materiálně-technické základny Policie ČR</t>
  </si>
  <si>
    <t>114 210 - Reprodukce majetku HZS ČR</t>
  </si>
  <si>
    <t>114 230 - Periodická obnova základní požární techniky jednotek zařazených do plošného pokrytí</t>
  </si>
  <si>
    <t>114 410 - E - Government</t>
  </si>
  <si>
    <t>214 020 - Rozvoj a obnova materiálně-technické základny školství, vzdělávání a tělovýchovy</t>
  </si>
  <si>
    <t>214 030 - Rozvoj a obnova materiálně-technické základny státních archivů</t>
  </si>
  <si>
    <t>214 110 - Rozvoj a obnova materiálně-technické základny Policie ČR</t>
  </si>
  <si>
    <t xml:space="preserve">214 210 - Rozvoj a obnova materiálně-technické základny hasičského záchranného sboru </t>
  </si>
  <si>
    <t xml:space="preserve">214 910 - Výstavba informačních a komunikačních systémů   a sítí resortu MV </t>
  </si>
  <si>
    <t xml:space="preserve">Ministerstvo vnitra celkem </t>
  </si>
  <si>
    <t>Zapojené doplňkové zdroje (nároky z nespotřebovaných výdajů, FKSP, dary a příjmy HZS )</t>
  </si>
  <si>
    <t>Nároky z nespotřebovaných výdajů vzniklé ze SR</t>
  </si>
  <si>
    <t>FKSP</t>
  </si>
  <si>
    <t xml:space="preserve">Dary a příjmy HZS </t>
  </si>
  <si>
    <t>Čerpání včetně zapojených a vyčerpaných doplňkových zdrojů</t>
  </si>
  <si>
    <t xml:space="preserve">Nároky z nespotřebovaných výdajů EU </t>
  </si>
  <si>
    <t>Převody do nároků z nespotřebovaných výdajů</t>
  </si>
  <si>
    <t>Vypracoval : Ing. Lefler, tel. 974 849 231</t>
  </si>
  <si>
    <t>Kontroloval: M. Štěpánek, tel. 974 849 205</t>
  </si>
  <si>
    <t>Přehled výdajů programového financování v jednotlivých výdajových blocích</t>
  </si>
  <si>
    <t>Výdajový blok</t>
  </si>
  <si>
    <t>Program</t>
  </si>
  <si>
    <t>Prostředky státního rozpočtu určené na spolufinancování</t>
  </si>
  <si>
    <t>Výdaje Policie ČR</t>
  </si>
  <si>
    <t>Výdaje Hasičského záchranného sboru ČR</t>
  </si>
  <si>
    <t>Výdaje na zabezpečení plnění úkolů Ministerstva vnitra</t>
  </si>
  <si>
    <t>Výdaje na zabezpečení činností ostatních organizačních složek státu</t>
  </si>
  <si>
    <t>Výdaje na programy spolufinancované z rozpočtu EU – IOP a OP LZZ</t>
  </si>
  <si>
    <t>Výdaje na sportovní reprezentaci</t>
  </si>
  <si>
    <t>Zapojené a vyčerpané doplňkové zdroje (nároky z nespotřebovaných výdajů, FKSP, dary a příjmy HZS)</t>
  </si>
  <si>
    <t>Nároky z nespotřebovaných výdajů vzniklé ze SR - spolufinancování</t>
  </si>
  <si>
    <t>Nároky z nespotřebovaných výdajů z finančních mechanismů</t>
  </si>
  <si>
    <t>Prostředky z finančních mechanismů</t>
  </si>
  <si>
    <t>Výdaje na programy spolufinancované z rozpočtu EU – IOP    a OP LZZ</t>
  </si>
  <si>
    <t xml:space="preserve">Rozpočet po změnách          (R2)                   </t>
  </si>
  <si>
    <t>Datum: 17. února 2012</t>
  </si>
  <si>
    <t>Rozpočet po změnách</t>
  </si>
  <si>
    <t>Prostředky                   z finančních mechanismů</t>
  </si>
  <si>
    <t xml:space="preserve">Nároky z nespotřebovaných výdajů z finančních mechanismů </t>
  </si>
  <si>
    <t>Prostředky                          z finančních mechanismů</t>
  </si>
  <si>
    <t xml:space="preserve">214 910 - Výstavba informačních a komunikačních systémů         a sítí resortu MV </t>
  </si>
  <si>
    <t xml:space="preserve">214 910 - Výstavba informačních a komunikačních systémů          a sítí resortu MV </t>
  </si>
  <si>
    <t>Čerpání                  v roce 2011</t>
  </si>
  <si>
    <t>Vypracoval : Štěpánek, tel. 974 849 205</t>
  </si>
  <si>
    <t>Kontroloval: Ing. Lefler, tel. 974 849 818</t>
  </si>
  <si>
    <t>Nespotřebo-vané výdaje státního rozpočtu roku 2011</t>
  </si>
  <si>
    <t>Kapitola: 314 - Ministerstvo vnitra</t>
  </si>
  <si>
    <t>Tabulka č. 11</t>
  </si>
  <si>
    <t>OSS</t>
  </si>
  <si>
    <t>Příjmy celkem</t>
  </si>
  <si>
    <t>R2</t>
  </si>
  <si>
    <t>a</t>
  </si>
  <si>
    <t xml:space="preserve">GŘ HZS </t>
  </si>
  <si>
    <t>VPŠ MV Brno</t>
  </si>
  <si>
    <t>VPŠ a SPŠ MV Holešov</t>
  </si>
  <si>
    <t>VPŠ MV Jihlava</t>
  </si>
  <si>
    <t>VPŠ MV Pardubice</t>
  </si>
  <si>
    <t>Státní oblastní archiv Praha</t>
  </si>
  <si>
    <t>Státní oblastní archiv Třeboň</t>
  </si>
  <si>
    <t>Státní oblastní archiv Plzeň</t>
  </si>
  <si>
    <t>Státní oblastní archiv Litoměřice</t>
  </si>
  <si>
    <t>Státní oblastní archiv Zámrsk</t>
  </si>
  <si>
    <t>Moravský zemský archiv Brno</t>
  </si>
  <si>
    <t>Zemský archiv Opava</t>
  </si>
  <si>
    <t>Vypracoval: Ing. Menšík, tel. 974 849 801</t>
  </si>
  <si>
    <t>HZS krajů</t>
  </si>
  <si>
    <t>VPŠ MV Praha</t>
  </si>
  <si>
    <t>Tabulka č. 12</t>
  </si>
  <si>
    <t>Přehled o důchodech v roce 2011</t>
  </si>
  <si>
    <t>v Kč</t>
  </si>
  <si>
    <t>Druh dávky</t>
  </si>
  <si>
    <t>Čerpání v roce 2011</t>
  </si>
  <si>
    <t xml:space="preserve">Porovnání čerpání          2011/2010             (v %)      </t>
  </si>
  <si>
    <t xml:space="preserve">Počet vyplácených důchodů                          </t>
  </si>
  <si>
    <t xml:space="preserve">Průměrná vyplácená výše důchodu                  </t>
  </si>
  <si>
    <t>z toho : počet nově přiznaných předčasných důchodů</t>
  </si>
  <si>
    <t xml:space="preserve">celkem </t>
  </si>
  <si>
    <t>v %</t>
  </si>
  <si>
    <t>k 31.12. 2011</t>
  </si>
  <si>
    <t>k 31.12. 2010</t>
  </si>
  <si>
    <t xml:space="preserve">  v roce 2011</t>
  </si>
  <si>
    <t xml:space="preserve"> v roce 2010</t>
  </si>
  <si>
    <t>5 = 3 - 2</t>
  </si>
  <si>
    <t>6 = 3 : 2</t>
  </si>
  <si>
    <t>8 = 3 : 7</t>
  </si>
  <si>
    <t>9</t>
  </si>
  <si>
    <t>10</t>
  </si>
  <si>
    <t>11</t>
  </si>
  <si>
    <t>12</t>
  </si>
  <si>
    <t>13</t>
  </si>
  <si>
    <t>14</t>
  </si>
  <si>
    <t xml:space="preserve"> Důchody celkem</t>
  </si>
  <si>
    <t>x</t>
  </si>
  <si>
    <t>v tom :</t>
  </si>
  <si>
    <t>Důchody starobní</t>
  </si>
  <si>
    <t>Invalidní důchod III. stupně</t>
  </si>
  <si>
    <t>Invalidní důchod II. stupně</t>
  </si>
  <si>
    <t>Invalidní důchod I. stupně</t>
  </si>
  <si>
    <t>Důchody vdovské</t>
  </si>
  <si>
    <t>z toho:</t>
  </si>
  <si>
    <t>5a</t>
  </si>
  <si>
    <t xml:space="preserve"> sólo</t>
  </si>
  <si>
    <t>5b</t>
  </si>
  <si>
    <t>v souběhu</t>
  </si>
  <si>
    <t>Důchody vdovecké</t>
  </si>
  <si>
    <t>6a</t>
  </si>
  <si>
    <t>6b</t>
  </si>
  <si>
    <t>Důchody sirotčí</t>
  </si>
  <si>
    <t>Kontroloval: Ing. Hudera, tel. 974 849 802</t>
  </si>
  <si>
    <r>
      <t>Čerpání v roce 2010</t>
    </r>
    <r>
      <rPr>
        <sz val="12"/>
        <rFont val="Arial"/>
        <family val="2"/>
      </rPr>
      <t xml:space="preserve">            </t>
    </r>
  </si>
  <si>
    <t xml:space="preserve"> </t>
  </si>
  <si>
    <t xml:space="preserve">Schválený rozpočet            (R1)               </t>
  </si>
  <si>
    <t xml:space="preserve">Rozpočet            po změnách        (R2)                   </t>
  </si>
  <si>
    <t xml:space="preserve">Čerpání v roce 2011 celkem včetně mimorozpočtových zdrojů </t>
  </si>
  <si>
    <t>Čerpání v roce 2010</t>
  </si>
  <si>
    <t xml:space="preserve">Průměrná výše dávky v roce 2011   </t>
  </si>
  <si>
    <t>Průměrná výše dávky v roce 2010</t>
  </si>
  <si>
    <t>5</t>
  </si>
  <si>
    <t>6</t>
  </si>
  <si>
    <t>7</t>
  </si>
  <si>
    <t>8</t>
  </si>
  <si>
    <t>Ostatní dávky celkem</t>
  </si>
  <si>
    <t>(účet s předčíslím 3025)</t>
  </si>
  <si>
    <t>Výsluhový příspěvek</t>
  </si>
  <si>
    <t>Úmrtné</t>
  </si>
  <si>
    <t>Odchodné</t>
  </si>
  <si>
    <t>Ostatní dávky jinde nezařazené</t>
  </si>
  <si>
    <t>(účet s předčíslím 027)</t>
  </si>
  <si>
    <t>Nemocenské</t>
  </si>
  <si>
    <t>Peněžitá pomoc v mateřství</t>
  </si>
  <si>
    <t>Příspěvek v těhot. a mateřství</t>
  </si>
  <si>
    <t>Tabulka č. 16</t>
  </si>
  <si>
    <t>Výdaje HZS celkem a detail dle jednotlivých HZS krajů v roce 2011</t>
  </si>
  <si>
    <t xml:space="preserve"> Mzdové prostředky</t>
  </si>
  <si>
    <t>Povinné pojistné</t>
  </si>
  <si>
    <t>Ostatní běžné výdaje</t>
  </si>
  <si>
    <t>Výzkum a vývoj</t>
  </si>
  <si>
    <t xml:space="preserve"> Výdaje CELKEM</t>
  </si>
  <si>
    <t>R1</t>
  </si>
  <si>
    <t>čerpání</t>
  </si>
  <si>
    <t xml:space="preserve">hl. m. Praha </t>
  </si>
  <si>
    <t>Středočeský</t>
  </si>
  <si>
    <t>Jihočeský</t>
  </si>
  <si>
    <t>Plzeňský</t>
  </si>
  <si>
    <t>Karlovarský</t>
  </si>
  <si>
    <t>Ústecký</t>
  </si>
  <si>
    <t>Liberecký</t>
  </si>
  <si>
    <t>Královehradecký</t>
  </si>
  <si>
    <t>Pardubický</t>
  </si>
  <si>
    <t>Vysočina</t>
  </si>
  <si>
    <t>Jihomoravský</t>
  </si>
  <si>
    <t>Zlínský</t>
  </si>
  <si>
    <t>Olomoucký</t>
  </si>
  <si>
    <t>Moravskoslezský</t>
  </si>
  <si>
    <t>ZÚ HZS ČR</t>
  </si>
  <si>
    <t>nerozepsané prostředky</t>
  </si>
  <si>
    <t>Celkem HZS krajů</t>
  </si>
  <si>
    <t>SOŠ PO a VOŠ PO F-M</t>
  </si>
  <si>
    <t>GŘ HZS ČR</t>
  </si>
  <si>
    <t>CELKEM</t>
  </si>
  <si>
    <t xml:space="preserve">Kontroloval: Ing. Hudera, tel. 974 849 802                              </t>
  </si>
  <si>
    <t xml:space="preserve">Policie ČR                                  </t>
  </si>
  <si>
    <t xml:space="preserve">KŘ hl. m. Prahy </t>
  </si>
  <si>
    <t>KŘ Středočeského kraje</t>
  </si>
  <si>
    <t>KŘ Jihočeského kraje</t>
  </si>
  <si>
    <t>KŘ Plzeňského kraje</t>
  </si>
  <si>
    <t>KŘ Karlovarského kraje</t>
  </si>
  <si>
    <t>KŘ Ústeckého kraje</t>
  </si>
  <si>
    <t>KŘ Libereckého kraje</t>
  </si>
  <si>
    <t>KŘ Královéhradeckého kraje</t>
  </si>
  <si>
    <t>KŘ Pardubického kraje</t>
  </si>
  <si>
    <t>KŘ kraje Vysočina</t>
  </si>
  <si>
    <t>KŘ Jihomoravského kraje</t>
  </si>
  <si>
    <t>KŘ Zlínského kraje</t>
  </si>
  <si>
    <t>KŘ Olomouckého kraje</t>
  </si>
  <si>
    <t>KŘ Moravskoslezského kraje</t>
  </si>
  <si>
    <t>Rezerva krajských ředitelství</t>
  </si>
  <si>
    <t>KŘ Policie ČR CELKEM</t>
  </si>
  <si>
    <t>Vypracoval: Ing. Zachař, tel. 974 849 816</t>
  </si>
  <si>
    <t xml:space="preserve">Výdaje za oblast archivnictví v roce 2011 </t>
  </si>
  <si>
    <t xml:space="preserve">                Mzdové prostředky</t>
  </si>
  <si>
    <t xml:space="preserve">    Ostatní běžné výdaje</t>
  </si>
  <si>
    <t>Výdaje na financování programů</t>
  </si>
  <si>
    <t>Převod</t>
  </si>
  <si>
    <t>VÝDAJE  CELKEM</t>
  </si>
  <si>
    <t>do RF</t>
  </si>
  <si>
    <t>ARCHIVNICTVÍ  CELKEM</t>
  </si>
  <si>
    <t>Zpracovala: Ing. Bočanová, tel. 974 849 815</t>
  </si>
  <si>
    <t>Kontroloval: Ing. Mikulová, tel. 974 849 327</t>
  </si>
  <si>
    <t>Výdaje Policie ČR celkem a detail dle jednotlivých krajských ředitelství P ČR v roce 2011</t>
  </si>
  <si>
    <t>Kontrolovala: Ing. Mikulová, tel. 974 849 327</t>
  </si>
  <si>
    <t>C E L K E M</t>
  </si>
  <si>
    <t>Výdaje za oblast policejního školství a Muzea Policie ČR v roce 2011</t>
  </si>
  <si>
    <t>Sociální dávky celkem</t>
  </si>
  <si>
    <t>Mzdové prostředky</t>
  </si>
  <si>
    <t>Školské účel. zařízení MV Ruzyně</t>
  </si>
  <si>
    <t>Policejní školství celkem</t>
  </si>
  <si>
    <t>Muzeum PČR</t>
  </si>
  <si>
    <t xml:space="preserve">           Tabulka č. 18</t>
  </si>
  <si>
    <t xml:space="preserve">Datum: 17. února 2012 </t>
  </si>
  <si>
    <t>Přehled čerpání výdajů v roce 2011 dle jednotlivých čtvrtletích</t>
  </si>
  <si>
    <t xml:space="preserve">    Čerpání </t>
  </si>
  <si>
    <t>z toho</t>
  </si>
  <si>
    <t>celkem</t>
  </si>
  <si>
    <t>I. čtvrtletí</t>
  </si>
  <si>
    <t>II. čtvrtletí</t>
  </si>
  <si>
    <t>III. čtvrtletí</t>
  </si>
  <si>
    <t>IV. čtvrtletí</t>
  </si>
  <si>
    <t>OSS, SPO</t>
  </si>
  <si>
    <t xml:space="preserve">% </t>
  </si>
  <si>
    <t>%</t>
  </si>
  <si>
    <t>PP ČR</t>
  </si>
  <si>
    <t xml:space="preserve">KŘ Policie ČR </t>
  </si>
  <si>
    <t>AXB</t>
  </si>
  <si>
    <t xml:space="preserve">Policie ČR </t>
  </si>
  <si>
    <t>ÚO</t>
  </si>
  <si>
    <t>SZR</t>
  </si>
  <si>
    <t xml:space="preserve">ms HZS ČR </t>
  </si>
  <si>
    <t>SOA Praha</t>
  </si>
  <si>
    <t>SOA Třeboň</t>
  </si>
  <si>
    <t>SOA Plzeň</t>
  </si>
  <si>
    <t>SOA Litoměřice</t>
  </si>
  <si>
    <t>SOA Zámrsk</t>
  </si>
  <si>
    <t>MZA Brno</t>
  </si>
  <si>
    <t>ZA Opava</t>
  </si>
  <si>
    <t>ms archivy</t>
  </si>
  <si>
    <t>ŠÚZ MV Ruzyně</t>
  </si>
  <si>
    <t>PA ČR</t>
  </si>
  <si>
    <t>Muzeum P ČR</t>
  </si>
  <si>
    <t xml:space="preserve">ms resortní školství a Muzeum P ČR </t>
  </si>
  <si>
    <t>SUZ MV</t>
  </si>
  <si>
    <t>ZZ MV</t>
  </si>
  <si>
    <t>ZS MV</t>
  </si>
  <si>
    <t>IVS MV</t>
  </si>
  <si>
    <t>LLÚ MV</t>
  </si>
  <si>
    <t>Tiskárna MV</t>
  </si>
  <si>
    <t>BS MV</t>
  </si>
  <si>
    <t xml:space="preserve">ms SPO </t>
  </si>
  <si>
    <t>Celkem MV</t>
  </si>
  <si>
    <t>Legenda:</t>
  </si>
  <si>
    <t xml:space="preserve">Čerpání celkem zahrnuje nároky z nespotřebovaných výdajů  roků 2008, 2009 a 2010, mimorozpočtové zdroje a prostředky, o které byly OSS oprávněny překročit závazné ukazatele. </t>
  </si>
  <si>
    <t>% - čerpání po čtvrtletích k celkovému čerpání</t>
  </si>
  <si>
    <t>Vypracovala: Ing. Meluzinová, tel. 974 849 662</t>
  </si>
  <si>
    <t>Přehled o čerpání rozpočtu Ministerstva vnitra v letech 2004 až 2011 včetně schváleného rozpočtu na rok 2012</t>
  </si>
  <si>
    <t>U k a z a t e l</t>
  </si>
  <si>
    <t>skutečnost  1993</t>
  </si>
  <si>
    <t>skutečnost  1994</t>
  </si>
  <si>
    <t>skutečnost  1995</t>
  </si>
  <si>
    <t>skutečnost  1996</t>
  </si>
  <si>
    <t>skutečnost  1997</t>
  </si>
  <si>
    <t>skutečnost  1998</t>
  </si>
  <si>
    <t>skutečnost  1999</t>
  </si>
  <si>
    <t>skutečnost   2000</t>
  </si>
  <si>
    <t>skutečnost  2001</t>
  </si>
  <si>
    <t>skutečnost  2002</t>
  </si>
  <si>
    <t>skutečnost      2003</t>
  </si>
  <si>
    <t>skutečnost      2004</t>
  </si>
  <si>
    <t>skutečnost      2005</t>
  </si>
  <si>
    <t>skutečnost   2006</t>
  </si>
  <si>
    <t>skutečnost   2007</t>
  </si>
  <si>
    <t>skutečnost   2008</t>
  </si>
  <si>
    <t>skutečnost   2009</t>
  </si>
  <si>
    <t>skutečnost   2010</t>
  </si>
  <si>
    <t>schválený rozpočet  2012</t>
  </si>
  <si>
    <t>v tom :  -  příjmy z pojistného a přísp. na státní politiku zaměstn.</t>
  </si>
  <si>
    <t xml:space="preserve">                z toho: pojistné na důchodové pojištění</t>
  </si>
  <si>
    <t xml:space="preserve">             -  nedaňové příjmy, kapitové příjmy a přijaté transfery</t>
  </si>
  <si>
    <t xml:space="preserve">             -  daňové příjmy (původně rozpočtovány u MF)</t>
  </si>
  <si>
    <t>Výdaje celkem *)</t>
  </si>
  <si>
    <t>v tom: - výdaje na financ.progr. vč. niv souvisejících (PF)</t>
  </si>
  <si>
    <t xml:space="preserve">            - převod do rezervního fondu</t>
  </si>
  <si>
    <t xml:space="preserve">            - běžné výdaje celkem</t>
  </si>
  <si>
    <t>v tom:</t>
  </si>
  <si>
    <t xml:space="preserve">           - dávky sociálního zabezpečení</t>
  </si>
  <si>
    <t xml:space="preserve">           - příspěvek na provoz PO</t>
  </si>
  <si>
    <t xml:space="preserve">           - dotace nestátním neziskovým organizacím</t>
  </si>
  <si>
    <t xml:space="preserve">           - ostatní provozní výdaje (OPV)</t>
  </si>
  <si>
    <t xml:space="preserve">Počet pracovníků OSS MV celkem </t>
  </si>
  <si>
    <t xml:space="preserve">         v tom: - příslušníci</t>
  </si>
  <si>
    <t xml:space="preserve">                    - občanští zaměstnanci</t>
  </si>
  <si>
    <t xml:space="preserve">          z toho: -  příslušníci</t>
  </si>
  <si>
    <t xml:space="preserve">                      - občanských zaměstnanců</t>
  </si>
  <si>
    <t>Informativní údaje</t>
  </si>
  <si>
    <t>Podíl mandatorních výdajů na běžných výdajích celkem (v%)</t>
  </si>
  <si>
    <t>Podíl ostatních výdajů na běžných výdajích celkem  (v%)</t>
  </si>
  <si>
    <t>OBV na pracovníka a rok  (v tis.Kč)</t>
  </si>
  <si>
    <t>Výdaje na PF + OBV</t>
  </si>
  <si>
    <t>Výdaje na PF + OBV na prac. a rok (v tis.Kč)</t>
  </si>
  <si>
    <t>HDP v běžných cenách</t>
  </si>
  <si>
    <t>Podíl celkových výdajů MV na HDP</t>
  </si>
  <si>
    <t>Pro účely tohoto přehledu jsou za mandatorní výdaje považovány platy zaměstnanců a OPPP, pojistné a FKSP a dávky sociálního zabezpečení.</t>
  </si>
  <si>
    <t>Od 1.7.2004 byla zřízena Finanční policie delimitací z Ministerstva financí - 255 pracovních míst.</t>
  </si>
  <si>
    <t>Podle metodiky MF byly pro rok 2005 z OBV vyvedeny prostředky ve výši 2 207 000 tis.Kč do programového financování a současně tyto byly podle pokynu MF kráceny o 450 000 tis.Kč.</t>
  </si>
  <si>
    <t>Podle novely zákona č. 218/2000 Sb. mohou být od 1/3/2008 neinvestiční výdaje vedené v programovém financování vyvedeny do ostatních běžných výdajů. Tím došlo v roce 2009 ke snížení výdajů na programové financování a navýšení ostatních běžných výdajů.</t>
  </si>
  <si>
    <t xml:space="preserve">Údaje o HDP vycházejí z podkladů MF (SZÚ za jednotlivá období a Návrh zákona o státním rozpočtu na rok 2012) </t>
  </si>
  <si>
    <t>Vypracovala: Mladá, tel. 974 849 221</t>
  </si>
  <si>
    <r>
      <t xml:space="preserve">            - výzkum a vývoj </t>
    </r>
    <r>
      <rPr>
        <b/>
        <vertAlign val="superscript"/>
        <sz val="11"/>
        <rFont val="Arial CE"/>
        <family val="0"/>
      </rPr>
      <t>*)</t>
    </r>
  </si>
  <si>
    <r>
      <t xml:space="preserve">           - platy zaměstnanců a OPPP </t>
    </r>
    <r>
      <rPr>
        <vertAlign val="superscript"/>
        <sz val="11"/>
        <rFont val="Arial CE"/>
        <family val="0"/>
      </rPr>
      <t>*)</t>
    </r>
  </si>
  <si>
    <r>
      <t xml:space="preserve">           - pojistné a FKSP</t>
    </r>
    <r>
      <rPr>
        <vertAlign val="superscript"/>
        <sz val="11"/>
        <rFont val="Arial CE"/>
        <family val="0"/>
      </rPr>
      <t>*)</t>
    </r>
  </si>
  <si>
    <t>skutečnost   2011</t>
  </si>
  <si>
    <t>SOŠ PO a VOŠ PO Frýdek - Místek</t>
  </si>
  <si>
    <t>Správa logistického zabezpečení</t>
  </si>
  <si>
    <t xml:space="preserve">Tabulka č. 13/1 = zvláštní soubor </t>
  </si>
  <si>
    <t>Tabulka č. 14</t>
  </si>
  <si>
    <t>Tabulka č. 15</t>
  </si>
  <si>
    <t xml:space="preserve">           Tabulka č. 17</t>
  </si>
  <si>
    <t>Tabulka č. 19</t>
  </si>
  <si>
    <t>Průměrný měsíční plat pracovníků OSS MV celkem</t>
  </si>
  <si>
    <t>Počet                                        nově přiznaných důchodů     v roce 2011</t>
  </si>
  <si>
    <t xml:space="preserve">Porovnání čerpání v roce 2011 s rozpočtem po změnách                         (R2)             </t>
  </si>
  <si>
    <t>Přehled o  ostatních dávkách, dávkách nemocenského pojištění v roce 2011</t>
  </si>
  <si>
    <t>Dávky nemocenského pojištění celkem</t>
  </si>
  <si>
    <t>Porovnání čerpání 2011/2010        v %                   (sl. 3:5)</t>
  </si>
  <si>
    <t>Počet
příjemců dávky k 31. 12.       2010</t>
  </si>
  <si>
    <t>Počet
příjemců  dávky k 31. 12. 2011</t>
  </si>
  <si>
    <t>*) ve skutečnosti jsou mzdové a související výdaje zahrnuty současně v ukazateli "výzkum a vývoj" a v ukazateli (r. 2011) "výdaje na financování programů vč. niv. souvisejících (PF)" =&gt; výdaje celkem neodpovídají součtu výdajů na financování programů vč. niv. souvisejících (PF), výzkumu a vývoje, převodu do rezervního fondu a běžných výdajů celkem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</si>
</sst>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m\o\n\th\ d\,\ \y\y\y\y"/>
    <numFmt numFmtId="166" formatCode="#,##0.0"/>
    <numFmt numFmtId="167" formatCode="#,##0_ ;[Red]\-#,##0\ "/>
    <numFmt numFmtId="168" formatCode="#,##0.00000"/>
    <numFmt numFmtId="169" formatCode="#,##0\ "/>
    <numFmt numFmtId="170" formatCode="_-* #,##0\ _K_č_-;\-* #,##0\ _K_č_-;_-* &quot;-&quot;??\ _K_č_-;_-@_-"/>
    <numFmt numFmtId="171" formatCode="_-* #,##0.0\ _K_č_-;\-* #,##0.0\ _K_č_-;_-* &quot;-&quot;??\ _K_č_-;_-@_-"/>
    <numFmt numFmtId="172" formatCode="0.0"/>
    <numFmt numFmtId="173" formatCode="#,##0.00&quot; &quot;;\-#,##0.00&quot; &quot;;&quot; &quot;;&quot; &quot;\ "/>
    <numFmt numFmtId="174" formatCode="#,##0.00&quot; &quot;"/>
    <numFmt numFmtId="175" formatCode="#,##0.00&quot; &quot;;\-#,##0.00&quot; &quot;;&quot; 0,00&quot;;&quot; 0,00&quot;\ "/>
    <numFmt numFmtId="176" formatCode="\k\ dd/mm/yyyy"/>
    <numFmt numFmtId="177" formatCode="0.00;[Red]0.00"/>
    <numFmt numFmtId="178" formatCode="#,##0.00,;\-#,##0.00,;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"/>
    <numFmt numFmtId="183" formatCode="#,##0.00_ ;[Red]\-#,##0.00\ "/>
    <numFmt numFmtId="184" formatCode="0.0%"/>
    <numFmt numFmtId="185" formatCode="\ @"/>
    <numFmt numFmtId="186" formatCode="dd/mm/yy"/>
    <numFmt numFmtId="187" formatCode="0.000"/>
    <numFmt numFmtId="188" formatCode="#,##0.000_ ;[Red]\-#,##0.000\ "/>
    <numFmt numFmtId="189" formatCode="[$-405]d\.\ mmmm\ yyyy"/>
    <numFmt numFmtId="190" formatCode="#,##0.000000"/>
    <numFmt numFmtId="191" formatCode="#,##0.00000000"/>
  </numFmts>
  <fonts count="114">
    <font>
      <sz val="10"/>
      <name val="Arial CE"/>
      <family val="0"/>
    </font>
    <font>
      <b/>
      <sz val="18"/>
      <name val="AmphionCondensedExtrabold"/>
      <family val="0"/>
    </font>
    <font>
      <sz val="18"/>
      <name val="AmphionCondensedExtrabold"/>
      <family val="0"/>
    </font>
    <font>
      <u val="single"/>
      <sz val="18"/>
      <name val="AmphionCondensedExtrabold"/>
      <family val="0"/>
    </font>
    <font>
      <sz val="11"/>
      <name val="AmphionCondensedExtrabold"/>
      <family val="0"/>
    </font>
    <font>
      <sz val="14"/>
      <name val="AmphionCondensedExtrabold"/>
      <family val="0"/>
    </font>
    <font>
      <u val="single"/>
      <sz val="14"/>
      <name val="AmphionCondensedExtrabold"/>
      <family val="0"/>
    </font>
    <font>
      <sz val="10"/>
      <name val="AmphionCondensedExtrabold"/>
      <family val="0"/>
    </font>
    <font>
      <b/>
      <sz val="16"/>
      <name val="Times New Roman CE"/>
      <family val="1"/>
    </font>
    <font>
      <sz val="10"/>
      <name val="Times New Roman CE"/>
      <family val="1"/>
    </font>
    <font>
      <sz val="11"/>
      <name val="Arial CE"/>
      <family val="0"/>
    </font>
    <font>
      <b/>
      <sz val="18"/>
      <name val="Arial CE"/>
      <family val="0"/>
    </font>
    <font>
      <b/>
      <sz val="11"/>
      <color indexed="21"/>
      <name val="Arial CE"/>
      <family val="2"/>
    </font>
    <font>
      <b/>
      <sz val="11"/>
      <color indexed="61"/>
      <name val="Arial CE"/>
      <family val="0"/>
    </font>
    <font>
      <b/>
      <sz val="11"/>
      <name val="Times New Roman CE"/>
      <family val="1"/>
    </font>
    <font>
      <b/>
      <sz val="10"/>
      <name val="AmphionCondensedExtrabold"/>
      <family val="0"/>
    </font>
    <font>
      <b/>
      <sz val="11"/>
      <name val="Century Schoolbook CE"/>
      <family val="0"/>
    </font>
    <font>
      <sz val="11"/>
      <name val="Bookman Old Style CE"/>
      <family val="0"/>
    </font>
    <font>
      <sz val="11"/>
      <color indexed="21"/>
      <name val="Arial CE"/>
      <family val="2"/>
    </font>
    <font>
      <sz val="10"/>
      <color indexed="21"/>
      <name val="Arial CE"/>
      <family val="2"/>
    </font>
    <font>
      <sz val="10"/>
      <color indexed="18"/>
      <name val="Times New Roman CE"/>
      <family val="1"/>
    </font>
    <font>
      <b/>
      <sz val="11"/>
      <color indexed="37"/>
      <name val="Times New Roman CE"/>
      <family val="1"/>
    </font>
    <font>
      <sz val="10"/>
      <color indexed="37"/>
      <name val="Times New Roman CE"/>
      <family val="1"/>
    </font>
    <font>
      <b/>
      <sz val="11"/>
      <color indexed="12"/>
      <name val="Times New Roman CE"/>
      <family val="1"/>
    </font>
    <font>
      <b/>
      <sz val="10"/>
      <color indexed="39"/>
      <name val="Times New Roman CE"/>
      <family val="1"/>
    </font>
    <font>
      <b/>
      <sz val="12"/>
      <color indexed="39"/>
      <name val="Times New Roman CE"/>
      <family val="1"/>
    </font>
    <font>
      <sz val="12"/>
      <name val="Times New Roman CE"/>
      <family val="1"/>
    </font>
    <font>
      <u val="single"/>
      <sz val="10"/>
      <name val="Arial CE"/>
      <family val="2"/>
    </font>
    <font>
      <sz val="10"/>
      <name val="Arial Narrow CE"/>
      <family val="2"/>
    </font>
    <font>
      <b/>
      <sz val="10"/>
      <name val="Arial CE"/>
      <family val="2"/>
    </font>
    <font>
      <b/>
      <u val="single"/>
      <sz val="18"/>
      <name val="AmphionCondensedExtrabold"/>
      <family val="0"/>
    </font>
    <font>
      <sz val="11"/>
      <name val="Arial Narrow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8"/>
      <name val="Arial CE"/>
      <family val="0"/>
    </font>
    <font>
      <sz val="12"/>
      <name val="Arial"/>
      <family val="2"/>
    </font>
    <font>
      <sz val="20"/>
      <color indexed="39"/>
      <name val="Times New Roman CE"/>
      <family val="1"/>
    </font>
    <font>
      <b/>
      <sz val="20"/>
      <color indexed="60"/>
      <name val="Times New Roman CE"/>
      <family val="0"/>
    </font>
    <font>
      <sz val="22"/>
      <name val="Times New Roman CE"/>
      <family val="1"/>
    </font>
    <font>
      <b/>
      <strike/>
      <sz val="11"/>
      <color indexed="37"/>
      <name val="Times New Roman CE"/>
      <family val="1"/>
    </font>
    <font>
      <b/>
      <sz val="16"/>
      <color indexed="12"/>
      <name val="Times New Roman CE"/>
      <family val="1"/>
    </font>
    <font>
      <sz val="11"/>
      <color indexed="25"/>
      <name val="Times New Roman CE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1"/>
      <color indexed="60"/>
      <name val="Arial"/>
      <family val="2"/>
    </font>
    <font>
      <b/>
      <sz val="10"/>
      <color indexed="60"/>
      <name val="Arial"/>
      <family val="2"/>
    </font>
    <font>
      <b/>
      <sz val="11"/>
      <color indexed="16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b/>
      <sz val="11"/>
      <color indexed="32"/>
      <name val="Arial"/>
      <family val="2"/>
    </font>
    <font>
      <b/>
      <sz val="11"/>
      <color indexed="25"/>
      <name val="Arial"/>
      <family val="2"/>
    </font>
    <font>
      <sz val="11"/>
      <color indexed="16"/>
      <name val="Arial"/>
      <family val="2"/>
    </font>
    <font>
      <sz val="12"/>
      <name val="Arial CE"/>
      <family val="0"/>
    </font>
    <font>
      <sz val="9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9"/>
      <name val="Times New Roman"/>
      <family val="0"/>
    </font>
    <font>
      <b/>
      <sz val="20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2"/>
      <name val="Times New Roman"/>
      <family val="1"/>
    </font>
    <font>
      <sz val="14"/>
      <name val="Arial CE"/>
      <family val="0"/>
    </font>
    <font>
      <b/>
      <sz val="16"/>
      <name val="Arial CE"/>
      <family val="0"/>
    </font>
    <font>
      <b/>
      <sz val="22"/>
      <name val="Arial CE"/>
      <family val="0"/>
    </font>
    <font>
      <sz val="18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6"/>
      <name val="Arial CE"/>
      <family val="0"/>
    </font>
    <font>
      <b/>
      <sz val="8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8"/>
      <name val="Arial CE"/>
      <family val="2"/>
    </font>
    <font>
      <b/>
      <vertAlign val="superscript"/>
      <sz val="11"/>
      <name val="Arial CE"/>
      <family val="0"/>
    </font>
    <font>
      <vertAlign val="superscript"/>
      <sz val="11"/>
      <name val="Arial CE"/>
      <family val="0"/>
    </font>
    <font>
      <b/>
      <sz val="20"/>
      <name val="Arial CE"/>
      <family val="0"/>
    </font>
    <font>
      <b/>
      <sz val="13"/>
      <name val="Arial CE"/>
      <family val="0"/>
    </font>
    <font>
      <sz val="13"/>
      <name val="Arial CE"/>
      <family val="0"/>
    </font>
    <font>
      <b/>
      <sz val="1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13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medium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medium">
        <color indexed="61"/>
      </bottom>
    </border>
    <border>
      <left>
        <color indexed="63"/>
      </left>
      <right>
        <color indexed="63"/>
      </right>
      <top style="medium">
        <color indexed="50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>
        <color indexed="48"/>
      </top>
      <bottom style="medium">
        <color indexed="48"/>
      </bottom>
    </border>
    <border>
      <left style="thin"/>
      <right>
        <color indexed="63"/>
      </right>
      <top style="medium">
        <color indexed="48"/>
      </top>
      <bottom style="medium">
        <color indexed="50"/>
      </bottom>
    </border>
    <border>
      <left style="thin"/>
      <right>
        <color indexed="63"/>
      </right>
      <top style="medium">
        <color indexed="46"/>
      </top>
      <bottom style="medium">
        <color indexed="46"/>
      </bottom>
    </border>
    <border>
      <left style="thin"/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>
        <color indexed="63"/>
      </right>
      <top style="medium">
        <color indexed="46"/>
      </top>
      <bottom>
        <color indexed="63"/>
      </bottom>
    </border>
    <border>
      <left>
        <color indexed="63"/>
      </left>
      <right>
        <color indexed="63"/>
      </right>
      <top style="medium">
        <color indexed="61"/>
      </top>
      <bottom style="medium">
        <color indexed="61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medium"/>
      <right style="thin"/>
      <top style="medium"/>
      <bottom/>
    </border>
    <border>
      <left style="medium">
        <color indexed="46"/>
      </left>
      <right>
        <color indexed="63"/>
      </right>
      <top style="medium">
        <color indexed="46"/>
      </top>
      <bottom style="medium">
        <color indexed="46"/>
      </bottom>
    </border>
    <border>
      <left>
        <color indexed="63"/>
      </left>
      <right>
        <color indexed="63"/>
      </right>
      <top style="medium">
        <color indexed="46"/>
      </top>
      <bottom style="medium">
        <color indexed="46"/>
      </bottom>
    </border>
    <border>
      <left>
        <color indexed="63"/>
      </left>
      <right style="medium">
        <color indexed="46"/>
      </right>
      <top style="medium">
        <color indexed="46"/>
      </top>
      <bottom style="medium">
        <color indexed="46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50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 style="medium">
        <color indexed="50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0" borderId="1" applyNumberFormat="0" applyFill="0" applyAlignment="0" applyProtection="0"/>
    <xf numFmtId="0" fontId="62" fillId="0" borderId="0">
      <alignment/>
      <protection locked="0"/>
    </xf>
    <xf numFmtId="0" fontId="62" fillId="0" borderId="0">
      <alignment/>
      <protection locked="0"/>
    </xf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2" fillId="0" borderId="0">
      <alignment/>
      <protection locked="0"/>
    </xf>
    <xf numFmtId="0" fontId="62" fillId="0" borderId="0">
      <alignment/>
      <protection locked="0"/>
    </xf>
    <xf numFmtId="0" fontId="63" fillId="0" borderId="0">
      <alignment/>
      <protection locked="0"/>
    </xf>
    <xf numFmtId="0" fontId="63" fillId="0" borderId="0">
      <alignment/>
      <protection locked="0"/>
    </xf>
    <xf numFmtId="0" fontId="32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17" borderId="0" applyNumberFormat="0" applyBorder="0" applyAlignment="0" applyProtection="0"/>
    <xf numFmtId="0" fontId="88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62" fillId="0" borderId="0">
      <alignment/>
      <protection locked="0"/>
    </xf>
    <xf numFmtId="0" fontId="34" fillId="18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3" fillId="0" borderId="0" applyNumberFormat="0" applyFill="0" applyBorder="0" applyAlignment="0" applyProtection="0"/>
    <xf numFmtId="0" fontId="62" fillId="0" borderId="8">
      <alignment/>
      <protection locked="0"/>
    </xf>
    <xf numFmtId="0" fontId="74" fillId="7" borderId="9" applyNumberFormat="0" applyAlignment="0" applyProtection="0"/>
    <xf numFmtId="0" fontId="75" fillId="19" borderId="9" applyNumberFormat="0" applyAlignment="0" applyProtection="0"/>
    <xf numFmtId="0" fontId="76" fillId="19" borderId="10" applyNumberFormat="0" applyAlignment="0" applyProtection="0"/>
    <xf numFmtId="0" fontId="77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23" borderId="0" applyNumberFormat="0" applyBorder="0" applyAlignment="0" applyProtection="0"/>
  </cellStyleXfs>
  <cellXfs count="10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11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7" fillId="24" borderId="12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4" fillId="24" borderId="12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0" fillId="24" borderId="13" xfId="0" applyFill="1" applyBorder="1" applyAlignment="1">
      <alignment/>
    </xf>
    <xf numFmtId="0" fontId="7" fillId="24" borderId="13" xfId="0" applyFont="1" applyFill="1" applyBorder="1" applyAlignment="1">
      <alignment/>
    </xf>
    <xf numFmtId="0" fontId="1" fillId="24" borderId="0" xfId="0" applyFont="1" applyFill="1" applyAlignment="1">
      <alignment horizontal="center"/>
    </xf>
    <xf numFmtId="0" fontId="16" fillId="17" borderId="14" xfId="0" applyFont="1" applyFill="1" applyBorder="1" applyAlignment="1">
      <alignment horizontal="centerContinuous" wrapText="1"/>
    </xf>
    <xf numFmtId="0" fontId="17" fillId="17" borderId="0" xfId="0" applyFont="1" applyFill="1" applyAlignment="1">
      <alignment horizontal="centerContinuous"/>
    </xf>
    <xf numFmtId="0" fontId="17" fillId="17" borderId="12" xfId="0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18" fillId="24" borderId="15" xfId="0" applyFont="1" applyFill="1" applyBorder="1" applyAlignment="1">
      <alignment horizontal="centerContinuous"/>
    </xf>
    <xf numFmtId="0" fontId="19" fillId="24" borderId="0" xfId="0" applyFont="1" applyFill="1" applyAlignment="1">
      <alignment/>
    </xf>
    <xf numFmtId="0" fontId="10" fillId="24" borderId="15" xfId="0" applyFont="1" applyFill="1" applyBorder="1" applyAlignment="1">
      <alignment horizontal="centerContinuous"/>
    </xf>
    <xf numFmtId="0" fontId="0" fillId="17" borderId="14" xfId="0" applyFill="1" applyBorder="1" applyAlignment="1">
      <alignment/>
    </xf>
    <xf numFmtId="0" fontId="0" fillId="17" borderId="16" xfId="0" applyFill="1" applyBorder="1" applyAlignment="1">
      <alignment/>
    </xf>
    <xf numFmtId="0" fontId="9" fillId="17" borderId="0" xfId="0" applyFont="1" applyFill="1" applyAlignment="1">
      <alignment horizontal="centerContinuous"/>
    </xf>
    <xf numFmtId="0" fontId="9" fillId="17" borderId="12" xfId="0" applyFont="1" applyFill="1" applyBorder="1" applyAlignment="1">
      <alignment horizontal="centerContinuous"/>
    </xf>
    <xf numFmtId="0" fontId="9" fillId="17" borderId="16" xfId="0" applyFont="1" applyFill="1" applyBorder="1" applyAlignment="1">
      <alignment/>
    </xf>
    <xf numFmtId="0" fontId="14" fillId="24" borderId="0" xfId="0" applyFont="1" applyFill="1" applyAlignment="1">
      <alignment/>
    </xf>
    <xf numFmtId="0" fontId="26" fillId="0" borderId="0" xfId="0" applyFont="1" applyAlignment="1">
      <alignment/>
    </xf>
    <xf numFmtId="0" fontId="13" fillId="24" borderId="15" xfId="0" applyFont="1" applyFill="1" applyBorder="1" applyAlignment="1">
      <alignment horizontal="centerContinuous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Continuous"/>
    </xf>
    <xf numFmtId="0" fontId="34" fillId="0" borderId="0" xfId="55">
      <alignment/>
      <protection/>
    </xf>
    <xf numFmtId="0" fontId="34" fillId="0" borderId="0" xfId="0" applyFont="1" applyAlignment="1">
      <alignment/>
    </xf>
    <xf numFmtId="0" fontId="36" fillId="0" borderId="0" xfId="71" applyFont="1" applyFill="1" applyProtection="1">
      <alignment/>
      <protection locked="0"/>
    </xf>
    <xf numFmtId="0" fontId="36" fillId="0" borderId="0" xfId="56" applyFont="1">
      <alignment/>
      <protection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Alignment="1">
      <alignment horizontal="centerContinuous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Continuous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39" fillId="17" borderId="17" xfId="0" applyFont="1" applyFill="1" applyBorder="1" applyAlignment="1">
      <alignment horizontal="centerContinuous"/>
    </xf>
    <xf numFmtId="0" fontId="8" fillId="17" borderId="18" xfId="0" applyFont="1" applyFill="1" applyBorder="1" applyAlignment="1">
      <alignment horizontal="centerContinuous"/>
    </xf>
    <xf numFmtId="0" fontId="9" fillId="17" borderId="19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1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3" fillId="0" borderId="20" xfId="0" applyFont="1" applyFill="1" applyBorder="1" applyAlignment="1">
      <alignment horizontal="centerContinuous" vertical="center"/>
    </xf>
    <xf numFmtId="0" fontId="10" fillId="0" borderId="21" xfId="0" applyFont="1" applyBorder="1" applyAlignment="1">
      <alignment horizontal="centerContinuous" vertical="center"/>
    </xf>
    <xf numFmtId="0" fontId="10" fillId="24" borderId="0" xfId="0" applyFont="1" applyFill="1" applyAlignment="1">
      <alignment/>
    </xf>
    <xf numFmtId="0" fontId="40" fillId="17" borderId="0" xfId="0" applyFont="1" applyFill="1" applyBorder="1" applyAlignment="1">
      <alignment/>
    </xf>
    <xf numFmtId="0" fontId="22" fillId="17" borderId="0" xfId="0" applyFont="1" applyFill="1" applyBorder="1" applyAlignment="1">
      <alignment/>
    </xf>
    <xf numFmtId="0" fontId="21" fillId="17" borderId="0" xfId="0" applyFont="1" applyFill="1" applyBorder="1" applyAlignment="1">
      <alignment/>
    </xf>
    <xf numFmtId="0" fontId="9" fillId="17" borderId="0" xfId="0" applyFont="1" applyFill="1" applyBorder="1" applyAlignment="1">
      <alignment/>
    </xf>
    <xf numFmtId="0" fontId="25" fillId="17" borderId="0" xfId="0" applyFont="1" applyFill="1" applyBorder="1" applyAlignment="1">
      <alignment horizontal="centerContinuous"/>
    </xf>
    <xf numFmtId="0" fontId="24" fillId="17" borderId="0" xfId="0" applyFont="1" applyFill="1" applyBorder="1" applyAlignment="1">
      <alignment horizontal="centerContinuous"/>
    </xf>
    <xf numFmtId="0" fontId="9" fillId="17" borderId="0" xfId="0" applyFont="1" applyFill="1" applyBorder="1" applyAlignment="1">
      <alignment horizontal="centerContinuous"/>
    </xf>
    <xf numFmtId="0" fontId="4" fillId="0" borderId="22" xfId="0" applyFont="1" applyBorder="1" applyAlignment="1">
      <alignment/>
    </xf>
    <xf numFmtId="0" fontId="42" fillId="0" borderId="0" xfId="0" applyFont="1" applyAlignment="1">
      <alignment horizontal="centerContinuous"/>
    </xf>
    <xf numFmtId="0" fontId="42" fillId="0" borderId="0" xfId="0" applyFont="1" applyBorder="1" applyAlignment="1">
      <alignment horizontal="centerContinuous"/>
    </xf>
    <xf numFmtId="0" fontId="0" fillId="17" borderId="23" xfId="0" applyFill="1" applyBorder="1" applyAlignment="1">
      <alignment/>
    </xf>
    <xf numFmtId="0" fontId="25" fillId="17" borderId="13" xfId="0" applyFont="1" applyFill="1" applyBorder="1" applyAlignment="1">
      <alignment horizontal="centerContinuous"/>
    </xf>
    <xf numFmtId="0" fontId="24" fillId="17" borderId="13" xfId="0" applyFont="1" applyFill="1" applyBorder="1" applyAlignment="1">
      <alignment horizontal="centerContinuous"/>
    </xf>
    <xf numFmtId="0" fontId="9" fillId="17" borderId="13" xfId="0" applyFont="1" applyFill="1" applyBorder="1" applyAlignment="1">
      <alignment horizontal="centerContinuous"/>
    </xf>
    <xf numFmtId="0" fontId="9" fillId="17" borderId="24" xfId="0" applyFont="1" applyFill="1" applyBorder="1" applyAlignment="1">
      <alignment/>
    </xf>
    <xf numFmtId="0" fontId="29" fillId="21" borderId="0" xfId="0" applyFont="1" applyFill="1" applyAlignment="1">
      <alignment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45" fillId="0" borderId="0" xfId="0" applyFont="1" applyAlignment="1">
      <alignment/>
    </xf>
    <xf numFmtId="0" fontId="10" fillId="0" borderId="19" xfId="0" applyFont="1" applyBorder="1" applyAlignment="1">
      <alignment horizontal="centerContinuous"/>
    </xf>
    <xf numFmtId="0" fontId="7" fillId="0" borderId="18" xfId="0" applyFont="1" applyBorder="1" applyAlignment="1">
      <alignment/>
    </xf>
    <xf numFmtId="0" fontId="7" fillId="24" borderId="25" xfId="0" applyFont="1" applyFill="1" applyBorder="1" applyAlignment="1">
      <alignment/>
    </xf>
    <xf numFmtId="0" fontId="34" fillId="0" borderId="12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26" xfId="0" applyFont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14" xfId="0" applyFont="1" applyFill="1" applyBorder="1" applyAlignment="1">
      <alignment/>
    </xf>
    <xf numFmtId="0" fontId="23" fillId="24" borderId="0" xfId="0" applyFont="1" applyFill="1" applyBorder="1" applyAlignment="1">
      <alignment textRotation="255"/>
    </xf>
    <xf numFmtId="0" fontId="41" fillId="24" borderId="0" xfId="0" applyFont="1" applyFill="1" applyBorder="1" applyAlignment="1">
      <alignment textRotation="255"/>
    </xf>
    <xf numFmtId="0" fontId="45" fillId="0" borderId="27" xfId="0" applyFont="1" applyBorder="1" applyAlignment="1">
      <alignment/>
    </xf>
    <xf numFmtId="0" fontId="45" fillId="0" borderId="28" xfId="0" applyFont="1" applyBorder="1" applyAlignment="1">
      <alignment horizontal="centerContinuous"/>
    </xf>
    <xf numFmtId="0" fontId="41" fillId="24" borderId="0" xfId="0" applyFont="1" applyFill="1" applyBorder="1" applyAlignment="1">
      <alignment horizontal="centerContinuous"/>
    </xf>
    <xf numFmtId="0" fontId="0" fillId="24" borderId="21" xfId="0" applyFill="1" applyBorder="1" applyAlignment="1">
      <alignment/>
    </xf>
    <xf numFmtId="0" fontId="45" fillId="0" borderId="29" xfId="0" applyFont="1" applyBorder="1" applyAlignment="1">
      <alignment/>
    </xf>
    <xf numFmtId="0" fontId="56" fillId="0" borderId="0" xfId="0" applyFont="1" applyBorder="1" applyAlignment="1">
      <alignment horizontal="centerContinuous"/>
    </xf>
    <xf numFmtId="0" fontId="45" fillId="0" borderId="12" xfId="0" applyFont="1" applyBorder="1" applyAlignment="1">
      <alignment horizontal="centerContinuous"/>
    </xf>
    <xf numFmtId="0" fontId="45" fillId="0" borderId="0" xfId="0" applyFont="1" applyAlignment="1">
      <alignment horizontal="centerContinuous"/>
    </xf>
    <xf numFmtId="0" fontId="56" fillId="0" borderId="0" xfId="0" applyFont="1" applyAlignment="1">
      <alignment/>
    </xf>
    <xf numFmtId="0" fontId="45" fillId="0" borderId="30" xfId="0" applyFont="1" applyBorder="1" applyAlignment="1">
      <alignment/>
    </xf>
    <xf numFmtId="0" fontId="13" fillId="24" borderId="31" xfId="0" applyFont="1" applyFill="1" applyBorder="1" applyAlignment="1">
      <alignment horizontal="centerContinuous"/>
    </xf>
    <xf numFmtId="0" fontId="57" fillId="0" borderId="0" xfId="71" applyFont="1">
      <alignment/>
      <protection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0" fillId="24" borderId="32" xfId="0" applyFont="1" applyFill="1" applyBorder="1" applyAlignment="1">
      <alignment/>
    </xf>
    <xf numFmtId="0" fontId="50" fillId="24" borderId="33" xfId="0" applyFont="1" applyFill="1" applyBorder="1" applyAlignment="1">
      <alignment/>
    </xf>
    <xf numFmtId="0" fontId="52" fillId="17" borderId="33" xfId="0" applyFont="1" applyFill="1" applyBorder="1" applyAlignment="1">
      <alignment/>
    </xf>
    <xf numFmtId="0" fontId="20" fillId="17" borderId="34" xfId="0" applyFont="1" applyFill="1" applyBorder="1" applyAlignment="1">
      <alignment/>
    </xf>
    <xf numFmtId="0" fontId="20" fillId="17" borderId="33" xfId="0" applyFont="1" applyFill="1" applyBorder="1" applyAlignment="1">
      <alignment/>
    </xf>
    <xf numFmtId="0" fontId="9" fillId="17" borderId="33" xfId="0" applyFont="1" applyFill="1" applyBorder="1" applyAlignment="1">
      <alignment/>
    </xf>
    <xf numFmtId="0" fontId="22" fillId="17" borderId="12" xfId="0" applyFont="1" applyFill="1" applyBorder="1" applyAlignment="1">
      <alignment/>
    </xf>
    <xf numFmtId="0" fontId="43" fillId="17" borderId="33" xfId="0" applyFont="1" applyFill="1" applyBorder="1" applyAlignment="1">
      <alignment/>
    </xf>
    <xf numFmtId="0" fontId="43" fillId="17" borderId="34" xfId="0" applyFont="1" applyFill="1" applyBorder="1" applyAlignment="1">
      <alignment/>
    </xf>
    <xf numFmtId="0" fontId="43" fillId="17" borderId="0" xfId="0" applyFont="1" applyFill="1" applyBorder="1" applyAlignment="1">
      <alignment vertical="top"/>
    </xf>
    <xf numFmtId="0" fontId="20" fillId="17" borderId="12" xfId="0" applyFont="1" applyFill="1" applyBorder="1" applyAlignment="1">
      <alignment/>
    </xf>
    <xf numFmtId="0" fontId="20" fillId="17" borderId="0" xfId="0" applyFont="1" applyFill="1" applyBorder="1" applyAlignment="1">
      <alignment/>
    </xf>
    <xf numFmtId="0" fontId="53" fillId="17" borderId="0" xfId="0" applyFont="1" applyFill="1" applyBorder="1" applyAlignment="1">
      <alignment/>
    </xf>
    <xf numFmtId="0" fontId="79" fillId="0" borderId="0" xfId="0" applyFont="1" applyAlignment="1">
      <alignment/>
    </xf>
    <xf numFmtId="0" fontId="58" fillId="0" borderId="0" xfId="0" applyFont="1" applyAlignment="1">
      <alignment horizontal="right"/>
    </xf>
    <xf numFmtId="0" fontId="43" fillId="0" borderId="0" xfId="0" applyFont="1" applyFill="1" applyBorder="1" applyAlignment="1">
      <alignment horizontal="center" vertical="center"/>
    </xf>
    <xf numFmtId="3" fontId="58" fillId="0" borderId="35" xfId="0" applyNumberFormat="1" applyFont="1" applyBorder="1" applyAlignment="1">
      <alignment horizontal="right" vertical="center" indent="1"/>
    </xf>
    <xf numFmtId="3" fontId="80" fillId="0" borderId="36" xfId="0" applyNumberFormat="1" applyFont="1" applyBorder="1" applyAlignment="1">
      <alignment horizontal="right" vertical="center" indent="1"/>
    </xf>
    <xf numFmtId="3" fontId="58" fillId="0" borderId="37" xfId="0" applyNumberFormat="1" applyFont="1" applyBorder="1" applyAlignment="1">
      <alignment horizontal="right" vertical="center" indent="1"/>
    </xf>
    <xf numFmtId="3" fontId="80" fillId="0" borderId="38" xfId="0" applyNumberFormat="1" applyFont="1" applyBorder="1" applyAlignment="1">
      <alignment horizontal="right" vertical="center" indent="1"/>
    </xf>
    <xf numFmtId="3" fontId="43" fillId="19" borderId="39" xfId="0" applyNumberFormat="1" applyFont="1" applyFill="1" applyBorder="1" applyAlignment="1">
      <alignment horizontal="right" vertical="center" indent="1"/>
    </xf>
    <xf numFmtId="3" fontId="43" fillId="19" borderId="40" xfId="0" applyNumberFormat="1" applyFont="1" applyFill="1" applyBorder="1" applyAlignment="1">
      <alignment horizontal="right" vertical="center" indent="1"/>
    </xf>
    <xf numFmtId="0" fontId="80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/>
    </xf>
    <xf numFmtId="3" fontId="80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0" fontId="80" fillId="19" borderId="39" xfId="0" applyFont="1" applyFill="1" applyBorder="1" applyAlignment="1">
      <alignment horizontal="center" vertical="center" wrapText="1"/>
    </xf>
    <xf numFmtId="0" fontId="80" fillId="19" borderId="40" xfId="0" applyFont="1" applyFill="1" applyBorder="1" applyAlignment="1">
      <alignment horizontal="center" vertical="center" wrapText="1"/>
    </xf>
    <xf numFmtId="3" fontId="80" fillId="0" borderId="41" xfId="0" applyNumberFormat="1" applyFont="1" applyBorder="1" applyAlignment="1">
      <alignment horizontal="right" vertical="center" indent="1"/>
    </xf>
    <xf numFmtId="3" fontId="80" fillId="0" borderId="42" xfId="0" applyNumberFormat="1" applyFont="1" applyBorder="1" applyAlignment="1">
      <alignment horizontal="right" vertical="center" indent="1"/>
    </xf>
    <xf numFmtId="3" fontId="58" fillId="0" borderId="37" xfId="0" applyNumberFormat="1" applyFont="1" applyBorder="1" applyAlignment="1">
      <alignment horizontal="right" vertical="center"/>
    </xf>
    <xf numFmtId="3" fontId="80" fillId="0" borderId="41" xfId="0" applyNumberFormat="1" applyFont="1" applyBorder="1" applyAlignment="1">
      <alignment horizontal="right" vertical="center"/>
    </xf>
    <xf numFmtId="3" fontId="58" fillId="0" borderId="35" xfId="0" applyNumberFormat="1" applyFont="1" applyBorder="1" applyAlignment="1">
      <alignment horizontal="right" vertical="center"/>
    </xf>
    <xf numFmtId="3" fontId="80" fillId="0" borderId="42" xfId="0" applyNumberFormat="1" applyFont="1" applyBorder="1" applyAlignment="1">
      <alignment horizontal="right" vertical="center"/>
    </xf>
    <xf numFmtId="3" fontId="80" fillId="0" borderId="38" xfId="0" applyNumberFormat="1" applyFont="1" applyBorder="1" applyAlignment="1">
      <alignment horizontal="right" vertical="center"/>
    </xf>
    <xf numFmtId="3" fontId="43" fillId="19" borderId="39" xfId="0" applyNumberFormat="1" applyFont="1" applyFill="1" applyBorder="1" applyAlignment="1">
      <alignment horizontal="right" vertical="center"/>
    </xf>
    <xf numFmtId="3" fontId="43" fillId="19" borderId="40" xfId="0" applyNumberFormat="1" applyFont="1" applyFill="1" applyBorder="1" applyAlignment="1">
      <alignment horizontal="right" vertical="center"/>
    </xf>
    <xf numFmtId="0" fontId="58" fillId="0" borderId="0" xfId="71" applyFont="1" applyFill="1" applyProtection="1">
      <alignment/>
      <protection locked="0"/>
    </xf>
    <xf numFmtId="0" fontId="36" fillId="0" borderId="0" xfId="62" applyFont="1" applyFill="1" applyProtection="1">
      <alignment/>
      <protection locked="0"/>
    </xf>
    <xf numFmtId="0" fontId="36" fillId="0" borderId="0" xfId="71" applyFont="1" applyFill="1" applyAlignment="1" applyProtection="1">
      <alignment/>
      <protection locked="0"/>
    </xf>
    <xf numFmtId="0" fontId="58" fillId="0" borderId="0" xfId="0" applyFont="1" applyAlignment="1">
      <alignment horizontal="right"/>
    </xf>
    <xf numFmtId="0" fontId="80" fillId="19" borderId="43" xfId="0" applyFont="1" applyFill="1" applyBorder="1" applyAlignment="1">
      <alignment horizontal="center" vertical="center" wrapText="1"/>
    </xf>
    <xf numFmtId="0" fontId="80" fillId="19" borderId="44" xfId="0" applyFont="1" applyFill="1" applyBorder="1" applyAlignment="1">
      <alignment horizontal="center" vertical="center" wrapText="1"/>
    </xf>
    <xf numFmtId="0" fontId="80" fillId="19" borderId="45" xfId="0" applyFont="1" applyFill="1" applyBorder="1" applyAlignment="1">
      <alignment horizontal="center" vertical="center" wrapText="1"/>
    </xf>
    <xf numFmtId="0" fontId="58" fillId="0" borderId="37" xfId="0" applyFont="1" applyBorder="1" applyAlignment="1">
      <alignment vertical="center"/>
    </xf>
    <xf numFmtId="3" fontId="58" fillId="0" borderId="37" xfId="0" applyNumberFormat="1" applyFont="1" applyBorder="1" applyAlignment="1">
      <alignment horizontal="right" vertical="center" indent="1"/>
    </xf>
    <xf numFmtId="3" fontId="58" fillId="0" borderId="38" xfId="0" applyNumberFormat="1" applyFont="1" applyBorder="1" applyAlignment="1">
      <alignment horizontal="right" vertical="center" indent="1"/>
    </xf>
    <xf numFmtId="0" fontId="80" fillId="19" borderId="37" xfId="0" applyFont="1" applyFill="1" applyBorder="1" applyAlignment="1">
      <alignment vertical="center"/>
    </xf>
    <xf numFmtId="3" fontId="80" fillId="19" borderId="37" xfId="0" applyNumberFormat="1" applyFont="1" applyFill="1" applyBorder="1" applyAlignment="1">
      <alignment horizontal="right" vertical="center" indent="1"/>
    </xf>
    <xf numFmtId="3" fontId="80" fillId="19" borderId="38" xfId="0" applyNumberFormat="1" applyFont="1" applyFill="1" applyBorder="1" applyAlignment="1">
      <alignment horizontal="right" vertical="center" indent="1"/>
    </xf>
    <xf numFmtId="3" fontId="80" fillId="19" borderId="46" xfId="0" applyNumberFormat="1" applyFont="1" applyFill="1" applyBorder="1" applyAlignment="1">
      <alignment horizontal="right" vertical="center" indent="1"/>
    </xf>
    <xf numFmtId="3" fontId="80" fillId="19" borderId="47" xfId="0" applyNumberFormat="1" applyFont="1" applyFill="1" applyBorder="1" applyAlignment="1">
      <alignment horizontal="right" vertical="center" indent="1"/>
    </xf>
    <xf numFmtId="3" fontId="58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3" fontId="58" fillId="0" borderId="37" xfId="0" applyNumberFormat="1" applyFont="1" applyFill="1" applyBorder="1" applyAlignment="1">
      <alignment horizontal="right" vertical="center" indent="1"/>
    </xf>
    <xf numFmtId="3" fontId="58" fillId="0" borderId="38" xfId="0" applyNumberFormat="1" applyFont="1" applyFill="1" applyBorder="1" applyAlignment="1">
      <alignment horizontal="right" vertical="center" indent="1"/>
    </xf>
    <xf numFmtId="3" fontId="58" fillId="0" borderId="37" xfId="0" applyNumberFormat="1" applyFont="1" applyBorder="1" applyAlignment="1">
      <alignment horizontal="right" indent="1"/>
    </xf>
    <xf numFmtId="3" fontId="58" fillId="0" borderId="37" xfId="0" applyNumberFormat="1" applyFont="1" applyFill="1" applyBorder="1" applyAlignment="1">
      <alignment horizontal="right" indent="1"/>
    </xf>
    <xf numFmtId="3" fontId="80" fillId="19" borderId="37" xfId="0" applyNumberFormat="1" applyFont="1" applyFill="1" applyBorder="1" applyAlignment="1">
      <alignment horizontal="right" indent="1"/>
    </xf>
    <xf numFmtId="3" fontId="58" fillId="0" borderId="48" xfId="0" applyNumberFormat="1" applyFont="1" applyBorder="1" applyAlignment="1">
      <alignment horizontal="right" vertical="center" indent="1"/>
    </xf>
    <xf numFmtId="3" fontId="80" fillId="0" borderId="49" xfId="0" applyNumberFormat="1" applyFont="1" applyBorder="1" applyAlignment="1">
      <alignment horizontal="right" vertical="center" indent="1"/>
    </xf>
    <xf numFmtId="3" fontId="58" fillId="0" borderId="48" xfId="0" applyNumberFormat="1" applyFont="1" applyBorder="1" applyAlignment="1">
      <alignment horizontal="right" vertical="center"/>
    </xf>
    <xf numFmtId="3" fontId="80" fillId="0" borderId="49" xfId="0" applyNumberFormat="1" applyFont="1" applyBorder="1" applyAlignment="1">
      <alignment horizontal="right" vertical="center"/>
    </xf>
    <xf numFmtId="0" fontId="58" fillId="0" borderId="48" xfId="0" applyFont="1" applyBorder="1" applyAlignment="1">
      <alignment vertical="center"/>
    </xf>
    <xf numFmtId="3" fontId="58" fillId="0" borderId="48" xfId="0" applyNumberFormat="1" applyFont="1" applyBorder="1" applyAlignment="1">
      <alignment horizontal="right" vertical="center" indent="1"/>
    </xf>
    <xf numFmtId="3" fontId="58" fillId="0" borderId="49" xfId="0" applyNumberFormat="1" applyFont="1" applyBorder="1" applyAlignment="1">
      <alignment horizontal="right" vertical="center" indent="1"/>
    </xf>
    <xf numFmtId="0" fontId="80" fillId="19" borderId="50" xfId="0" applyFont="1" applyFill="1" applyBorder="1" applyAlignment="1">
      <alignment horizontal="center" vertical="center" wrapText="1"/>
    </xf>
    <xf numFmtId="3" fontId="80" fillId="19" borderId="51" xfId="0" applyNumberFormat="1" applyFont="1" applyFill="1" applyBorder="1" applyAlignment="1">
      <alignment horizontal="right" vertical="center" indent="1"/>
    </xf>
    <xf numFmtId="3" fontId="80" fillId="19" borderId="52" xfId="0" applyNumberFormat="1" applyFont="1" applyFill="1" applyBorder="1" applyAlignment="1">
      <alignment horizontal="right" vertical="center" indent="1"/>
    </xf>
    <xf numFmtId="0" fontId="80" fillId="0" borderId="53" xfId="0" applyFont="1" applyBorder="1" applyAlignment="1">
      <alignment horizontal="left" vertical="center" wrapText="1" indent="1"/>
    </xf>
    <xf numFmtId="0" fontId="80" fillId="19" borderId="46" xfId="0" applyFont="1" applyFill="1" applyBorder="1" applyAlignment="1">
      <alignment vertical="center"/>
    </xf>
    <xf numFmtId="0" fontId="80" fillId="19" borderId="54" xfId="0" applyFont="1" applyFill="1" applyBorder="1" applyAlignment="1">
      <alignment horizontal="center" vertical="center" wrapText="1"/>
    </xf>
    <xf numFmtId="0" fontId="80" fillId="19" borderId="55" xfId="0" applyFont="1" applyFill="1" applyBorder="1" applyAlignment="1">
      <alignment horizontal="center" vertical="center" wrapText="1"/>
    </xf>
    <xf numFmtId="0" fontId="80" fillId="19" borderId="56" xfId="0" applyFont="1" applyFill="1" applyBorder="1" applyAlignment="1">
      <alignment horizontal="center" vertical="center" wrapText="1"/>
    </xf>
    <xf numFmtId="0" fontId="58" fillId="0" borderId="44" xfId="0" applyFont="1" applyBorder="1" applyAlignment="1">
      <alignment vertical="center"/>
    </xf>
    <xf numFmtId="3" fontId="58" fillId="0" borderId="44" xfId="0" applyNumberFormat="1" applyFont="1" applyBorder="1" applyAlignment="1">
      <alignment horizontal="right" vertical="center" indent="1"/>
    </xf>
    <xf numFmtId="3" fontId="58" fillId="0" borderId="45" xfId="0" applyNumberFormat="1" applyFont="1" applyBorder="1" applyAlignment="1">
      <alignment horizontal="right" vertical="center" indent="1"/>
    </xf>
    <xf numFmtId="3" fontId="43" fillId="19" borderId="51" xfId="0" applyNumberFormat="1" applyFont="1" applyFill="1" applyBorder="1" applyAlignment="1">
      <alignment horizontal="right" vertical="center" indent="1"/>
    </xf>
    <xf numFmtId="3" fontId="43" fillId="19" borderId="52" xfId="0" applyNumberFormat="1" applyFont="1" applyFill="1" applyBorder="1" applyAlignment="1">
      <alignment horizontal="right" vertical="center" indent="1"/>
    </xf>
    <xf numFmtId="0" fontId="80" fillId="0" borderId="57" xfId="0" applyFont="1" applyBorder="1" applyAlignment="1">
      <alignment horizontal="left" vertical="center" wrapText="1" indent="1"/>
    </xf>
    <xf numFmtId="0" fontId="80" fillId="19" borderId="58" xfId="0" applyFont="1" applyFill="1" applyBorder="1" applyAlignment="1">
      <alignment vertical="center"/>
    </xf>
    <xf numFmtId="3" fontId="80" fillId="19" borderId="58" xfId="0" applyNumberFormat="1" applyFont="1" applyFill="1" applyBorder="1" applyAlignment="1">
      <alignment horizontal="right" vertical="center" indent="1"/>
    </xf>
    <xf numFmtId="3" fontId="80" fillId="19" borderId="59" xfId="0" applyNumberFormat="1" applyFont="1" applyFill="1" applyBorder="1" applyAlignment="1">
      <alignment horizontal="right" vertical="center" indent="1"/>
    </xf>
    <xf numFmtId="3" fontId="58" fillId="0" borderId="44" xfId="0" applyNumberFormat="1" applyFont="1" applyBorder="1" applyAlignment="1">
      <alignment horizontal="right" indent="1"/>
    </xf>
    <xf numFmtId="3" fontId="58" fillId="0" borderId="45" xfId="0" applyNumberFormat="1" applyFont="1" applyBorder="1" applyAlignment="1">
      <alignment horizontal="right" indent="1"/>
    </xf>
    <xf numFmtId="3" fontId="58" fillId="0" borderId="38" xfId="0" applyNumberFormat="1" applyFont="1" applyBorder="1" applyAlignment="1">
      <alignment horizontal="right" indent="1"/>
    </xf>
    <xf numFmtId="3" fontId="80" fillId="19" borderId="38" xfId="0" applyNumberFormat="1" applyFont="1" applyFill="1" applyBorder="1" applyAlignment="1">
      <alignment horizontal="right" indent="1"/>
    </xf>
    <xf numFmtId="3" fontId="80" fillId="19" borderId="46" xfId="0" applyNumberFormat="1" applyFont="1" applyFill="1" applyBorder="1" applyAlignment="1">
      <alignment horizontal="right" indent="1"/>
    </xf>
    <xf numFmtId="3" fontId="80" fillId="19" borderId="47" xfId="0" applyNumberFormat="1" applyFont="1" applyFill="1" applyBorder="1" applyAlignment="1">
      <alignment horizontal="right" indent="1"/>
    </xf>
    <xf numFmtId="0" fontId="34" fillId="0" borderId="0" xfId="62" applyFont="1" applyFill="1" applyProtection="1">
      <alignment/>
      <protection locked="0"/>
    </xf>
    <xf numFmtId="0" fontId="81" fillId="0" borderId="0" xfId="71" applyFont="1" applyFill="1" applyProtection="1">
      <alignment/>
      <protection locked="0"/>
    </xf>
    <xf numFmtId="0" fontId="34" fillId="0" borderId="0" xfId="71" applyFont="1" applyFill="1" applyProtection="1">
      <alignment/>
      <protection locked="0"/>
    </xf>
    <xf numFmtId="0" fontId="79" fillId="0" borderId="0" xfId="60" applyNumberFormat="1" applyFont="1" applyFill="1" applyAlignment="1" applyProtection="1">
      <alignment horizontal="centerContinuous"/>
      <protection locked="0"/>
    </xf>
    <xf numFmtId="0" fontId="82" fillId="0" borderId="0" xfId="60" applyNumberFormat="1" applyFont="1" applyFill="1" applyAlignment="1" applyProtection="1">
      <alignment horizontal="centerContinuous"/>
      <protection locked="0"/>
    </xf>
    <xf numFmtId="0" fontId="83" fillId="0" borderId="0" xfId="71" applyFont="1" applyFill="1" applyProtection="1">
      <alignment/>
      <protection locked="0"/>
    </xf>
    <xf numFmtId="0" fontId="36" fillId="0" borderId="0" xfId="71" applyFont="1" applyFill="1" applyAlignment="1" applyProtection="1">
      <alignment horizontal="right"/>
      <protection locked="0"/>
    </xf>
    <xf numFmtId="0" fontId="83" fillId="0" borderId="60" xfId="62" applyFont="1" applyFill="1" applyBorder="1" applyAlignment="1" applyProtection="1">
      <alignment horizontal="centerContinuous" vertical="top" wrapText="1"/>
      <protection locked="0"/>
    </xf>
    <xf numFmtId="0" fontId="83" fillId="0" borderId="60" xfId="62" applyFont="1" applyFill="1" applyBorder="1" applyAlignment="1" applyProtection="1">
      <alignment horizontal="centerContinuous" vertical="center"/>
      <protection locked="0"/>
    </xf>
    <xf numFmtId="49" fontId="83" fillId="0" borderId="60" xfId="60" applyNumberFormat="1" applyFont="1" applyFill="1" applyBorder="1" applyAlignment="1" applyProtection="1" quotePrefix="1">
      <alignment horizontal="left" wrapText="1"/>
      <protection locked="0"/>
    </xf>
    <xf numFmtId="3" fontId="36" fillId="0" borderId="60" xfId="71" applyNumberFormat="1" applyFont="1" applyFill="1" applyBorder="1" applyProtection="1">
      <alignment/>
      <protection locked="0"/>
    </xf>
    <xf numFmtId="9" fontId="36" fillId="0" borderId="60" xfId="71" applyNumberFormat="1" applyFont="1" applyFill="1" applyBorder="1" applyProtection="1">
      <alignment/>
      <protection locked="0"/>
    </xf>
    <xf numFmtId="49" fontId="36" fillId="0" borderId="0" xfId="62" applyNumberFormat="1" applyFont="1" applyFill="1" applyBorder="1" applyProtection="1">
      <alignment/>
      <protection locked="0"/>
    </xf>
    <xf numFmtId="49" fontId="36" fillId="0" borderId="60" xfId="62" applyNumberFormat="1" applyFont="1" applyFill="1" applyBorder="1" applyAlignment="1" applyProtection="1">
      <alignment horizontal="center" wrapText="1"/>
      <protection locked="0"/>
    </xf>
    <xf numFmtId="0" fontId="45" fillId="0" borderId="0" xfId="71" applyFont="1" applyFill="1" applyProtection="1">
      <alignment/>
      <protection locked="0"/>
    </xf>
    <xf numFmtId="0" fontId="45" fillId="0" borderId="0" xfId="62" applyFont="1" applyFill="1" applyProtection="1">
      <alignment/>
      <protection locked="0"/>
    </xf>
    <xf numFmtId="0" fontId="84" fillId="0" borderId="0" xfId="60" applyNumberFormat="1" applyFont="1" applyFill="1" applyAlignment="1" applyProtection="1">
      <alignment horizontal="centerContinuous"/>
      <protection locked="0"/>
    </xf>
    <xf numFmtId="0" fontId="83" fillId="0" borderId="60" xfId="71" applyFont="1" applyFill="1" applyBorder="1" applyAlignment="1" applyProtection="1">
      <alignment horizontal="centerContinuous" vertical="top" wrapText="1"/>
      <protection locked="0"/>
    </xf>
    <xf numFmtId="49" fontId="34" fillId="0" borderId="60" xfId="62" applyNumberFormat="1" applyFont="1" applyFill="1" applyBorder="1" applyAlignment="1" applyProtection="1">
      <alignment horizontal="left" wrapText="1"/>
      <protection locked="0"/>
    </xf>
    <xf numFmtId="3" fontId="36" fillId="0" borderId="60" xfId="71" applyNumberFormat="1" applyFont="1" applyFill="1" applyBorder="1" applyAlignment="1" applyProtection="1">
      <alignment horizontal="center"/>
      <protection locked="0"/>
    </xf>
    <xf numFmtId="3" fontId="36" fillId="0" borderId="61" xfId="71" applyNumberFormat="1" applyFont="1" applyFill="1" applyBorder="1" applyAlignment="1" applyProtection="1">
      <alignment horizontal="center"/>
      <protection locked="0"/>
    </xf>
    <xf numFmtId="3" fontId="36" fillId="0" borderId="60" xfId="71" applyNumberFormat="1" applyFont="1" applyFill="1" applyBorder="1" applyAlignment="1" applyProtection="1">
      <alignment horizontal="center" vertical="top"/>
      <protection locked="0"/>
    </xf>
    <xf numFmtId="49" fontId="36" fillId="0" borderId="62" xfId="62" applyNumberFormat="1" applyFont="1" applyFill="1" applyBorder="1" applyAlignment="1" applyProtection="1">
      <alignment vertical="center"/>
      <protection locked="0"/>
    </xf>
    <xf numFmtId="49" fontId="34" fillId="0" borderId="62" xfId="62" applyNumberFormat="1" applyFont="1" applyFill="1" applyBorder="1" applyAlignment="1" applyProtection="1">
      <alignment vertical="center" wrapText="1"/>
      <protection locked="0"/>
    </xf>
    <xf numFmtId="3" fontId="36" fillId="0" borderId="62" xfId="71" applyNumberFormat="1" applyFont="1" applyFill="1" applyBorder="1" applyAlignment="1" applyProtection="1">
      <alignment vertical="center"/>
      <protection locked="0"/>
    </xf>
    <xf numFmtId="3" fontId="36" fillId="0" borderId="63" xfId="71" applyNumberFormat="1" applyFont="1" applyFill="1" applyBorder="1" applyAlignment="1" applyProtection="1">
      <alignment vertical="center"/>
      <protection locked="0"/>
    </xf>
    <xf numFmtId="9" fontId="36" fillId="0" borderId="62" xfId="71" applyNumberFormat="1" applyFont="1" applyFill="1" applyBorder="1" applyAlignment="1" applyProtection="1">
      <alignment vertical="center"/>
      <protection locked="0"/>
    </xf>
    <xf numFmtId="0" fontId="34" fillId="0" borderId="0" xfId="71" applyFont="1" applyFill="1" applyAlignment="1" applyProtection="1">
      <alignment vertical="center"/>
      <protection locked="0"/>
    </xf>
    <xf numFmtId="49" fontId="36" fillId="0" borderId="64" xfId="62" applyNumberFormat="1" applyFont="1" applyFill="1" applyBorder="1" applyAlignment="1" applyProtection="1">
      <alignment vertical="center"/>
      <protection locked="0"/>
    </xf>
    <xf numFmtId="49" fontId="34" fillId="0" borderId="64" xfId="62" applyNumberFormat="1" applyFont="1" applyFill="1" applyBorder="1" applyAlignment="1" applyProtection="1">
      <alignment vertical="center" wrapText="1"/>
      <protection locked="0"/>
    </xf>
    <xf numFmtId="3" fontId="36" fillId="0" borderId="64" xfId="71" applyNumberFormat="1" applyFont="1" applyFill="1" applyBorder="1" applyAlignment="1" applyProtection="1">
      <alignment vertical="center"/>
      <protection locked="0"/>
    </xf>
    <xf numFmtId="3" fontId="36" fillId="0" borderId="65" xfId="71" applyNumberFormat="1" applyFont="1" applyFill="1" applyBorder="1" applyAlignment="1" applyProtection="1">
      <alignment vertical="center"/>
      <protection locked="0"/>
    </xf>
    <xf numFmtId="9" fontId="36" fillId="0" borderId="64" xfId="71" applyNumberFormat="1" applyFont="1" applyFill="1" applyBorder="1" applyAlignment="1" applyProtection="1">
      <alignment vertical="center"/>
      <protection locked="0"/>
    </xf>
    <xf numFmtId="3" fontId="36" fillId="0" borderId="66" xfId="71" applyNumberFormat="1" applyFont="1" applyFill="1" applyBorder="1" applyAlignment="1" applyProtection="1">
      <alignment vertical="center"/>
      <protection locked="0"/>
    </xf>
    <xf numFmtId="3" fontId="36" fillId="0" borderId="67" xfId="71" applyNumberFormat="1" applyFont="1" applyFill="1" applyBorder="1" applyAlignment="1" applyProtection="1">
      <alignment vertical="center"/>
      <protection locked="0"/>
    </xf>
    <xf numFmtId="9" fontId="36" fillId="0" borderId="66" xfId="71" applyNumberFormat="1" applyFont="1" applyFill="1" applyBorder="1" applyAlignment="1" applyProtection="1">
      <alignment vertical="center"/>
      <protection locked="0"/>
    </xf>
    <xf numFmtId="49" fontId="36" fillId="0" borderId="68" xfId="62" applyNumberFormat="1" applyFont="1" applyFill="1" applyBorder="1" applyAlignment="1" applyProtection="1">
      <alignment vertical="center"/>
      <protection locked="0"/>
    </xf>
    <xf numFmtId="49" fontId="34" fillId="0" borderId="68" xfId="62" applyNumberFormat="1" applyFont="1" applyFill="1" applyBorder="1" applyAlignment="1" applyProtection="1">
      <alignment vertical="center" wrapText="1"/>
      <protection locked="0"/>
    </xf>
    <xf numFmtId="0" fontId="34" fillId="0" borderId="0" xfId="65">
      <alignment/>
      <protection/>
    </xf>
    <xf numFmtId="0" fontId="79" fillId="0" borderId="0" xfId="56" applyFont="1" applyFill="1" applyAlignment="1">
      <alignment/>
      <protection/>
    </xf>
    <xf numFmtId="0" fontId="79" fillId="0" borderId="0" xfId="56" applyFont="1">
      <alignment/>
      <protection/>
    </xf>
    <xf numFmtId="49" fontId="83" fillId="0" borderId="0" xfId="56" applyNumberFormat="1" applyFont="1" applyAlignment="1">
      <alignment horizontal="center" wrapText="1"/>
      <protection/>
    </xf>
    <xf numFmtId="49" fontId="84" fillId="0" borderId="0" xfId="56" applyNumberFormat="1" applyFont="1" applyAlignment="1">
      <alignment horizontal="center" wrapText="1"/>
      <protection/>
    </xf>
    <xf numFmtId="0" fontId="36" fillId="0" borderId="0" xfId="56" applyFont="1" applyAlignment="1">
      <alignment horizontal="centerContinuous"/>
      <protection/>
    </xf>
    <xf numFmtId="0" fontId="87" fillId="0" borderId="0" xfId="56" applyFont="1" applyFill="1" applyAlignment="1">
      <alignment horizontal="right"/>
      <protection/>
    </xf>
    <xf numFmtId="0" fontId="83" fillId="0" borderId="69" xfId="56" applyFont="1" applyBorder="1" applyAlignment="1">
      <alignment horizontal="center" vertical="center" wrapText="1"/>
      <protection/>
    </xf>
    <xf numFmtId="0" fontId="83" fillId="25" borderId="60" xfId="56" applyFont="1" applyFill="1" applyBorder="1" applyAlignment="1">
      <alignment horizontal="center" vertical="center" wrapText="1"/>
      <protection/>
    </xf>
    <xf numFmtId="0" fontId="83" fillId="0" borderId="69" xfId="56" applyFont="1" applyFill="1" applyBorder="1" applyAlignment="1">
      <alignment horizontal="center" vertical="center" wrapText="1"/>
      <protection/>
    </xf>
    <xf numFmtId="0" fontId="36" fillId="25" borderId="60" xfId="56" applyFont="1" applyFill="1" applyBorder="1">
      <alignment/>
      <protection/>
    </xf>
    <xf numFmtId="49" fontId="87" fillId="25" borderId="18" xfId="56" applyNumberFormat="1" applyFont="1" applyFill="1" applyBorder="1" applyAlignment="1">
      <alignment horizontal="center" vertical="center"/>
      <protection/>
    </xf>
    <xf numFmtId="0" fontId="36" fillId="25" borderId="60" xfId="63" applyFont="1" applyFill="1" applyBorder="1" applyAlignment="1">
      <alignment horizontal="center"/>
      <protection/>
    </xf>
    <xf numFmtId="0" fontId="36" fillId="25" borderId="18" xfId="63" applyFont="1" applyFill="1" applyBorder="1" applyAlignment="1">
      <alignment horizontal="center"/>
      <protection/>
    </xf>
    <xf numFmtId="0" fontId="36" fillId="25" borderId="69" xfId="63" applyFont="1" applyFill="1" applyBorder="1" applyAlignment="1">
      <alignment horizontal="center"/>
      <protection/>
    </xf>
    <xf numFmtId="0" fontId="36" fillId="25" borderId="19" xfId="63" applyFont="1" applyFill="1" applyBorder="1" applyAlignment="1">
      <alignment horizontal="center"/>
      <protection/>
    </xf>
    <xf numFmtId="49" fontId="36" fillId="25" borderId="60" xfId="56" applyNumberFormat="1" applyFont="1" applyFill="1" applyBorder="1" applyAlignment="1">
      <alignment horizontal="center" vertical="center"/>
      <protection/>
    </xf>
    <xf numFmtId="49" fontId="36" fillId="25" borderId="70" xfId="56" applyNumberFormat="1" applyFont="1" applyFill="1" applyBorder="1" applyAlignment="1">
      <alignment horizontal="center" vertical="center"/>
      <protection/>
    </xf>
    <xf numFmtId="0" fontId="83" fillId="0" borderId="71" xfId="56" applyFont="1" applyBorder="1">
      <alignment/>
      <protection/>
    </xf>
    <xf numFmtId="0" fontId="83" fillId="19" borderId="18" xfId="56" applyFont="1" applyFill="1" applyBorder="1" applyAlignment="1">
      <alignment horizontal="left"/>
      <protection/>
    </xf>
    <xf numFmtId="3" fontId="83" fillId="24" borderId="60" xfId="56" applyNumberFormat="1" applyFont="1" applyFill="1" applyBorder="1" applyAlignment="1">
      <alignment horizontal="right"/>
      <protection/>
    </xf>
    <xf numFmtId="10" fontId="83" fillId="24" borderId="60" xfId="56" applyNumberFormat="1" applyFont="1" applyFill="1" applyBorder="1" applyAlignment="1">
      <alignment horizontal="right"/>
      <protection/>
    </xf>
    <xf numFmtId="3" fontId="83" fillId="24" borderId="60" xfId="56" applyNumberFormat="1" applyFont="1" applyFill="1" applyBorder="1" applyAlignment="1" applyProtection="1">
      <alignment horizontal="center"/>
      <protection locked="0"/>
    </xf>
    <xf numFmtId="0" fontId="83" fillId="0" borderId="0" xfId="65" applyFont="1">
      <alignment/>
      <protection/>
    </xf>
    <xf numFmtId="0" fontId="36" fillId="0" borderId="66" xfId="56" applyFont="1" applyBorder="1">
      <alignment/>
      <protection/>
    </xf>
    <xf numFmtId="0" fontId="87" fillId="0" borderId="72" xfId="56" applyFont="1" applyBorder="1" applyAlignment="1">
      <alignment horizontal="left"/>
      <protection/>
    </xf>
    <xf numFmtId="3" fontId="36" fillId="0" borderId="73" xfId="56" applyNumberFormat="1" applyFont="1" applyFill="1" applyBorder="1" applyAlignment="1" applyProtection="1">
      <alignment horizontal="center"/>
      <protection/>
    </xf>
    <xf numFmtId="3" fontId="36" fillId="0" borderId="73" xfId="56" applyNumberFormat="1" applyFont="1" applyBorder="1" applyAlignment="1">
      <alignment horizontal="right"/>
      <protection/>
    </xf>
    <xf numFmtId="3" fontId="36" fillId="0" borderId="62" xfId="56" applyNumberFormat="1" applyFont="1" applyFill="1" applyBorder="1" applyAlignment="1" applyProtection="1">
      <alignment horizontal="center"/>
      <protection/>
    </xf>
    <xf numFmtId="0" fontId="36" fillId="0" borderId="73" xfId="56" applyFont="1" applyBorder="1" applyAlignment="1" applyProtection="1">
      <alignment horizontal="right"/>
      <protection/>
    </xf>
    <xf numFmtId="3" fontId="36" fillId="0" borderId="62" xfId="56" applyNumberFormat="1" applyFont="1" applyFill="1" applyBorder="1" applyAlignment="1" applyProtection="1">
      <alignment horizontal="right"/>
      <protection/>
    </xf>
    <xf numFmtId="3" fontId="36" fillId="0" borderId="73" xfId="56" applyNumberFormat="1" applyFont="1" applyBorder="1" applyAlignment="1" applyProtection="1">
      <alignment horizontal="right"/>
      <protection/>
    </xf>
    <xf numFmtId="3" fontId="36" fillId="0" borderId="62" xfId="56" applyNumberFormat="1" applyFont="1" applyBorder="1" applyAlignment="1" applyProtection="1">
      <alignment horizontal="right"/>
      <protection/>
    </xf>
    <xf numFmtId="3" fontId="36" fillId="0" borderId="74" xfId="56" applyNumberFormat="1" applyFont="1" applyBorder="1" applyAlignment="1" applyProtection="1">
      <alignment horizontal="right"/>
      <protection/>
    </xf>
    <xf numFmtId="0" fontId="83" fillId="0" borderId="62" xfId="56" applyFont="1" applyBorder="1" applyAlignment="1">
      <alignment horizontal="center"/>
      <protection/>
    </xf>
    <xf numFmtId="0" fontId="83" fillId="19" borderId="72" xfId="56" applyFont="1" applyFill="1" applyBorder="1" applyAlignment="1">
      <alignment horizontal="left"/>
      <protection/>
    </xf>
    <xf numFmtId="3" fontId="83" fillId="0" borderId="73" xfId="56" applyNumberFormat="1" applyFont="1" applyFill="1" applyBorder="1" applyAlignment="1" applyProtection="1">
      <alignment horizontal="right"/>
      <protection/>
    </xf>
    <xf numFmtId="3" fontId="83" fillId="25" borderId="73" xfId="56" applyNumberFormat="1" applyFont="1" applyFill="1" applyBorder="1" applyAlignment="1" applyProtection="1">
      <alignment horizontal="right"/>
      <protection locked="0"/>
    </xf>
    <xf numFmtId="3" fontId="36" fillId="0" borderId="73" xfId="56" applyNumberFormat="1" applyFont="1" applyFill="1" applyBorder="1" applyAlignment="1" applyProtection="1">
      <alignment horizontal="right"/>
      <protection/>
    </xf>
    <xf numFmtId="10" fontId="36" fillId="0" borderId="62" xfId="56" applyNumberFormat="1" applyFont="1" applyFill="1" applyBorder="1" applyAlignment="1" applyProtection="1">
      <alignment horizontal="right"/>
      <protection/>
    </xf>
    <xf numFmtId="3" fontId="36" fillId="0" borderId="73" xfId="56" applyNumberFormat="1" applyFont="1" applyFill="1" applyBorder="1" applyAlignment="1" applyProtection="1">
      <alignment horizontal="right"/>
      <protection locked="0"/>
    </xf>
    <xf numFmtId="10" fontId="36" fillId="0" borderId="66" xfId="56" applyNumberFormat="1" applyFont="1" applyFill="1" applyBorder="1" applyAlignment="1">
      <alignment horizontal="right"/>
      <protection/>
    </xf>
    <xf numFmtId="3" fontId="36" fillId="0" borderId="73" xfId="56" applyNumberFormat="1" applyFont="1" applyBorder="1" applyAlignment="1" applyProtection="1">
      <alignment horizontal="right"/>
      <protection locked="0"/>
    </xf>
    <xf numFmtId="3" fontId="36" fillId="0" borderId="62" xfId="56" applyNumberFormat="1" applyFont="1" applyBorder="1" applyAlignment="1" applyProtection="1">
      <alignment horizontal="right"/>
      <protection locked="0"/>
    </xf>
    <xf numFmtId="3" fontId="36" fillId="0" borderId="74" xfId="56" applyNumberFormat="1" applyFont="1" applyBorder="1" applyAlignment="1" applyProtection="1">
      <alignment horizontal="right"/>
      <protection locked="0"/>
    </xf>
    <xf numFmtId="0" fontId="83" fillId="0" borderId="66" xfId="56" applyFont="1" applyBorder="1" applyAlignment="1">
      <alignment horizontal="center"/>
      <protection/>
    </xf>
    <xf numFmtId="3" fontId="36" fillId="0" borderId="66" xfId="56" applyNumberFormat="1" applyFont="1" applyBorder="1" applyAlignment="1" applyProtection="1">
      <alignment horizontal="right"/>
      <protection locked="0"/>
    </xf>
    <xf numFmtId="3" fontId="36" fillId="0" borderId="75" xfId="56" applyNumberFormat="1" applyFont="1" applyBorder="1" applyAlignment="1" applyProtection="1">
      <alignment horizontal="right"/>
      <protection locked="0"/>
    </xf>
    <xf numFmtId="3" fontId="83" fillId="0" borderId="66" xfId="56" applyNumberFormat="1" applyFont="1" applyFill="1" applyBorder="1" applyAlignment="1" applyProtection="1">
      <alignment horizontal="right"/>
      <protection/>
    </xf>
    <xf numFmtId="3" fontId="83" fillId="0" borderId="66" xfId="56" applyNumberFormat="1" applyFont="1" applyFill="1" applyBorder="1" applyAlignment="1">
      <alignment horizontal="right"/>
      <protection/>
    </xf>
    <xf numFmtId="3" fontId="36" fillId="0" borderId="66" xfId="56" applyNumberFormat="1" applyFont="1" applyFill="1" applyBorder="1" applyAlignment="1">
      <alignment horizontal="right"/>
      <protection/>
    </xf>
    <xf numFmtId="3" fontId="36" fillId="0" borderId="62" xfId="56" applyNumberFormat="1" applyFont="1" applyFill="1" applyBorder="1" applyAlignment="1" applyProtection="1">
      <alignment horizontal="right"/>
      <protection locked="0"/>
    </xf>
    <xf numFmtId="0" fontId="87" fillId="0" borderId="72" xfId="56" applyFont="1" applyFill="1" applyBorder="1" applyAlignment="1">
      <alignment horizontal="left"/>
      <protection/>
    </xf>
    <xf numFmtId="3" fontId="36" fillId="0" borderId="73" xfId="56" applyNumberFormat="1" applyFont="1" applyFill="1" applyBorder="1" applyAlignment="1">
      <alignment horizontal="right"/>
      <protection/>
    </xf>
    <xf numFmtId="10" fontId="36" fillId="0" borderId="66" xfId="56" applyNumberFormat="1" applyFont="1" applyFill="1" applyBorder="1" applyAlignment="1" applyProtection="1">
      <alignment horizontal="right"/>
      <protection/>
    </xf>
    <xf numFmtId="0" fontId="91" fillId="0" borderId="66" xfId="56" applyFont="1" applyBorder="1" applyAlignment="1">
      <alignment horizontal="right"/>
      <protection/>
    </xf>
    <xf numFmtId="0" fontId="87" fillId="0" borderId="72" xfId="56" applyFont="1" applyFill="1" applyBorder="1" applyAlignment="1">
      <alignment horizontal="left" indent="2"/>
      <protection/>
    </xf>
    <xf numFmtId="3" fontId="36" fillId="25" borderId="73" xfId="56" applyNumberFormat="1" applyFont="1" applyFill="1" applyBorder="1" applyAlignment="1" applyProtection="1">
      <alignment horizontal="center"/>
      <protection locked="0"/>
    </xf>
    <xf numFmtId="3" fontId="36" fillId="0" borderId="73" xfId="56" applyNumberFormat="1" applyFont="1" applyFill="1" applyBorder="1" applyAlignment="1" applyProtection="1">
      <alignment horizontal="center"/>
      <protection locked="0"/>
    </xf>
    <xf numFmtId="10" fontId="36" fillId="0" borderId="66" xfId="56" applyNumberFormat="1" applyFont="1" applyFill="1" applyBorder="1" applyAlignment="1">
      <alignment horizontal="center"/>
      <protection/>
    </xf>
    <xf numFmtId="0" fontId="92" fillId="0" borderId="0" xfId="65" applyFont="1">
      <alignment/>
      <protection/>
    </xf>
    <xf numFmtId="3" fontId="36" fillId="0" borderId="75" xfId="56" applyNumberFormat="1" applyFont="1" applyFill="1" applyBorder="1" applyAlignment="1" applyProtection="1">
      <alignment horizontal="center"/>
      <protection locked="0"/>
    </xf>
    <xf numFmtId="3" fontId="36" fillId="0" borderId="75" xfId="56" applyNumberFormat="1" applyFont="1" applyFill="1" applyBorder="1" applyAlignment="1" applyProtection="1">
      <alignment horizontal="right"/>
      <protection locked="0"/>
    </xf>
    <xf numFmtId="3" fontId="36" fillId="0" borderId="66" xfId="56" applyNumberFormat="1" applyFont="1" applyFill="1" applyBorder="1" applyAlignment="1" applyProtection="1">
      <alignment horizontal="right"/>
      <protection/>
    </xf>
    <xf numFmtId="0" fontId="36" fillId="0" borderId="66" xfId="56" applyFont="1" applyFill="1" applyBorder="1">
      <alignment/>
      <protection/>
    </xf>
    <xf numFmtId="3" fontId="36" fillId="0" borderId="74" xfId="56" applyNumberFormat="1" applyFont="1" applyFill="1" applyBorder="1" applyAlignment="1" applyProtection="1">
      <alignment horizontal="right"/>
      <protection/>
    </xf>
    <xf numFmtId="3" fontId="36" fillId="0" borderId="66" xfId="56" applyNumberFormat="1" applyFont="1" applyFill="1" applyBorder="1" applyAlignment="1" applyProtection="1">
      <alignment horizontal="center"/>
      <protection locked="0"/>
    </xf>
    <xf numFmtId="0" fontId="83" fillId="0" borderId="76" xfId="56" applyFont="1" applyBorder="1" applyAlignment="1">
      <alignment horizontal="center"/>
      <protection/>
    </xf>
    <xf numFmtId="0" fontId="83" fillId="19" borderId="77" xfId="56" applyFont="1" applyFill="1" applyBorder="1" applyAlignment="1">
      <alignment horizontal="left"/>
      <protection/>
    </xf>
    <xf numFmtId="3" fontId="83" fillId="0" borderId="78" xfId="56" applyNumberFormat="1" applyFont="1" applyFill="1" applyBorder="1" applyAlignment="1" applyProtection="1">
      <alignment horizontal="right"/>
      <protection/>
    </xf>
    <xf numFmtId="3" fontId="83" fillId="25" borderId="78" xfId="56" applyNumberFormat="1" applyFont="1" applyFill="1" applyBorder="1" applyAlignment="1" applyProtection="1">
      <alignment horizontal="right"/>
      <protection locked="0"/>
    </xf>
    <xf numFmtId="3" fontId="36" fillId="0" borderId="78" xfId="56" applyNumberFormat="1" applyFont="1" applyFill="1" applyBorder="1" applyAlignment="1" applyProtection="1">
      <alignment horizontal="right"/>
      <protection/>
    </xf>
    <xf numFmtId="10" fontId="36" fillId="0" borderId="76" xfId="56" applyNumberFormat="1" applyFont="1" applyFill="1" applyBorder="1" applyAlignment="1" applyProtection="1">
      <alignment horizontal="right"/>
      <protection/>
    </xf>
    <xf numFmtId="3" fontId="36" fillId="0" borderId="76" xfId="56" applyNumberFormat="1" applyFont="1" applyFill="1" applyBorder="1" applyAlignment="1" applyProtection="1">
      <alignment horizontal="right"/>
      <protection locked="0"/>
    </xf>
    <xf numFmtId="10" fontId="36" fillId="0" borderId="76" xfId="56" applyNumberFormat="1" applyFont="1" applyFill="1" applyBorder="1" applyAlignment="1">
      <alignment horizontal="right"/>
      <protection/>
    </xf>
    <xf numFmtId="3" fontId="36" fillId="0" borderId="78" xfId="56" applyNumberFormat="1" applyFont="1" applyBorder="1" applyAlignment="1" applyProtection="1">
      <alignment horizontal="right"/>
      <protection locked="0"/>
    </xf>
    <xf numFmtId="3" fontId="36" fillId="0" borderId="76" xfId="56" applyNumberFormat="1" applyFont="1" applyBorder="1" applyAlignment="1" applyProtection="1">
      <alignment horizontal="right"/>
      <protection locked="0"/>
    </xf>
    <xf numFmtId="3" fontId="36" fillId="0" borderId="79" xfId="56" applyNumberFormat="1" applyFont="1" applyBorder="1" applyAlignment="1" applyProtection="1">
      <alignment horizontal="right"/>
      <protection locked="0"/>
    </xf>
    <xf numFmtId="0" fontId="87" fillId="0" borderId="0" xfId="56" applyFont="1">
      <alignment/>
      <protection/>
    </xf>
    <xf numFmtId="0" fontId="84" fillId="0" borderId="0" xfId="56" applyFont="1">
      <alignment/>
      <protection/>
    </xf>
    <xf numFmtId="0" fontId="83" fillId="0" borderId="0" xfId="56" applyFont="1">
      <alignment/>
      <protection/>
    </xf>
    <xf numFmtId="0" fontId="83" fillId="0" borderId="0" xfId="56" applyFont="1" applyFill="1" applyBorder="1" applyAlignment="1">
      <alignment horizontal="center" vertical="top" wrapText="1"/>
      <protection/>
    </xf>
    <xf numFmtId="0" fontId="83" fillId="0" borderId="0" xfId="56" applyFont="1" applyFill="1" applyBorder="1" applyAlignment="1">
      <alignment horizontal="center" vertical="center" wrapText="1"/>
      <protection/>
    </xf>
    <xf numFmtId="0" fontId="86" fillId="0" borderId="0" xfId="57" applyFont="1">
      <alignment/>
      <protection/>
    </xf>
    <xf numFmtId="0" fontId="86" fillId="0" borderId="0" xfId="56" applyFont="1">
      <alignment/>
      <protection/>
    </xf>
    <xf numFmtId="0" fontId="86" fillId="0" borderId="0" xfId="65" applyFont="1">
      <alignment/>
      <protection/>
    </xf>
    <xf numFmtId="0" fontId="86" fillId="0" borderId="0" xfId="57" applyFont="1" applyFill="1">
      <alignment/>
      <protection/>
    </xf>
    <xf numFmtId="0" fontId="86" fillId="0" borderId="0" xfId="56" applyFont="1" applyFill="1" applyAlignment="1">
      <alignment/>
      <protection/>
    </xf>
    <xf numFmtId="0" fontId="86" fillId="0" borderId="0" xfId="57" applyFont="1" applyFill="1" applyAlignment="1">
      <alignment horizontal="left"/>
      <protection/>
    </xf>
    <xf numFmtId="0" fontId="86" fillId="0" borderId="0" xfId="65" applyFont="1" applyFill="1">
      <alignment/>
      <protection/>
    </xf>
    <xf numFmtId="0" fontId="86" fillId="0" borderId="0" xfId="57" applyFont="1" applyAlignment="1">
      <alignment horizontal="left"/>
      <protection/>
    </xf>
    <xf numFmtId="0" fontId="86" fillId="0" borderId="0" xfId="57" applyFont="1" applyAlignment="1">
      <alignment horizontal="right"/>
      <protection/>
    </xf>
    <xf numFmtId="0" fontId="86" fillId="0" borderId="0" xfId="57" applyFont="1" applyAlignment="1">
      <alignment/>
      <protection/>
    </xf>
    <xf numFmtId="0" fontId="87" fillId="0" borderId="0" xfId="65" applyFont="1">
      <alignment/>
      <protection/>
    </xf>
    <xf numFmtId="0" fontId="93" fillId="0" borderId="0" xfId="70" applyFont="1" applyFill="1" applyBorder="1">
      <alignment/>
      <protection/>
    </xf>
    <xf numFmtId="0" fontId="79" fillId="0" borderId="0" xfId="56" applyFont="1" applyAlignment="1">
      <alignment horizontal="right"/>
      <protection/>
    </xf>
    <xf numFmtId="0" fontId="34" fillId="0" borderId="0" xfId="56" applyFont="1">
      <alignment/>
      <protection/>
    </xf>
    <xf numFmtId="0" fontId="89" fillId="0" borderId="0" xfId="56" applyFont="1" applyAlignment="1">
      <alignment horizontal="left" vertical="top" wrapText="1"/>
      <protection/>
    </xf>
    <xf numFmtId="0" fontId="94" fillId="0" borderId="0" xfId="56" applyFont="1">
      <alignment/>
      <protection/>
    </xf>
    <xf numFmtId="0" fontId="84" fillId="0" borderId="0" xfId="56" applyFont="1" applyAlignment="1">
      <alignment horizontal="center"/>
      <protection/>
    </xf>
    <xf numFmtId="0" fontId="84" fillId="0" borderId="0" xfId="56" applyFont="1" applyAlignment="1">
      <alignment horizontal="left" vertical="top" wrapText="1"/>
      <protection/>
    </xf>
    <xf numFmtId="0" fontId="84" fillId="0" borderId="0" xfId="56" applyFont="1" applyAlignment="1">
      <alignment horizontal="left" wrapText="1"/>
      <protection/>
    </xf>
    <xf numFmtId="0" fontId="36" fillId="0" borderId="0" xfId="61" applyFont="1" applyBorder="1">
      <alignment/>
      <protection/>
    </xf>
    <xf numFmtId="0" fontId="83" fillId="0" borderId="60" xfId="56" applyFont="1" applyFill="1" applyBorder="1" applyAlignment="1">
      <alignment horizontal="center"/>
      <protection/>
    </xf>
    <xf numFmtId="0" fontId="34" fillId="0" borderId="60" xfId="61" applyFont="1" applyFill="1" applyBorder="1" applyAlignment="1">
      <alignment horizontal="center"/>
      <protection/>
    </xf>
    <xf numFmtId="0" fontId="34" fillId="0" borderId="18" xfId="61" applyFont="1" applyFill="1" applyBorder="1" applyAlignment="1">
      <alignment horizontal="center"/>
      <protection/>
    </xf>
    <xf numFmtId="49" fontId="34" fillId="0" borderId="60" xfId="56" applyNumberFormat="1" applyFont="1" applyFill="1" applyBorder="1" applyAlignment="1">
      <alignment horizontal="center" vertical="center"/>
      <protection/>
    </xf>
    <xf numFmtId="0" fontId="34" fillId="0" borderId="0" xfId="61" applyFont="1" applyBorder="1">
      <alignment/>
      <protection/>
    </xf>
    <xf numFmtId="0" fontId="84" fillId="4" borderId="80" xfId="56" applyFont="1" applyFill="1" applyBorder="1" applyAlignment="1">
      <alignment horizontal="left"/>
      <protection/>
    </xf>
    <xf numFmtId="3" fontId="84" fillId="4" borderId="81" xfId="56" applyNumberFormat="1" applyFont="1" applyFill="1" applyBorder="1" applyAlignment="1">
      <alignment horizontal="right"/>
      <protection/>
    </xf>
    <xf numFmtId="10" fontId="84" fillId="4" borderId="33" xfId="56" applyNumberFormat="1" applyFont="1" applyFill="1" applyBorder="1" applyAlignment="1">
      <alignment horizontal="right"/>
      <protection/>
    </xf>
    <xf numFmtId="3" fontId="84" fillId="4" borderId="82" xfId="56" applyNumberFormat="1" applyFont="1" applyFill="1" applyBorder="1" applyAlignment="1">
      <alignment horizontal="right"/>
      <protection/>
    </xf>
    <xf numFmtId="3" fontId="84" fillId="4" borderId="82" xfId="56" applyNumberFormat="1" applyFont="1" applyFill="1" applyBorder="1" applyAlignment="1">
      <alignment horizontal="center"/>
      <protection/>
    </xf>
    <xf numFmtId="3" fontId="84" fillId="4" borderId="70" xfId="56" applyNumberFormat="1" applyFont="1" applyFill="1" applyBorder="1" applyAlignment="1">
      <alignment horizontal="center"/>
      <protection/>
    </xf>
    <xf numFmtId="0" fontId="84" fillId="0" borderId="0" xfId="56" applyFont="1">
      <alignment/>
      <protection/>
    </xf>
    <xf numFmtId="0" fontId="87" fillId="4" borderId="62" xfId="56" applyFont="1" applyFill="1" applyBorder="1" applyAlignment="1">
      <alignment horizontal="left"/>
      <protection/>
    </xf>
    <xf numFmtId="3" fontId="36" fillId="4" borderId="74" xfId="56" applyNumberFormat="1" applyFont="1" applyFill="1" applyBorder="1" applyAlignment="1">
      <alignment horizontal="right"/>
      <protection/>
    </xf>
    <xf numFmtId="3" fontId="36" fillId="4" borderId="62" xfId="56" applyNumberFormat="1" applyFont="1" applyFill="1" applyBorder="1" applyAlignment="1">
      <alignment horizontal="right"/>
      <protection/>
    </xf>
    <xf numFmtId="4" fontId="36" fillId="4" borderId="72" xfId="56" applyNumberFormat="1" applyFont="1" applyFill="1" applyBorder="1" applyAlignment="1">
      <alignment horizontal="right"/>
      <protection/>
    </xf>
    <xf numFmtId="3" fontId="36" fillId="4" borderId="72" xfId="56" applyNumberFormat="1" applyFont="1" applyFill="1" applyBorder="1" applyAlignment="1">
      <alignment horizontal="right"/>
      <protection/>
    </xf>
    <xf numFmtId="0" fontId="87" fillId="0" borderId="62" xfId="56" applyFont="1" applyFill="1" applyBorder="1" applyAlignment="1">
      <alignment horizontal="left"/>
      <protection/>
    </xf>
    <xf numFmtId="3" fontId="36" fillId="0" borderId="74" xfId="56" applyNumberFormat="1" applyFont="1" applyFill="1" applyBorder="1" applyAlignment="1">
      <alignment horizontal="right"/>
      <protection/>
    </xf>
    <xf numFmtId="3" fontId="36" fillId="0" borderId="62" xfId="56" applyNumberFormat="1" applyFont="1" applyFill="1" applyBorder="1" applyAlignment="1">
      <alignment horizontal="right"/>
      <protection/>
    </xf>
    <xf numFmtId="4" fontId="36" fillId="0" borderId="72" xfId="56" applyNumberFormat="1" applyFont="1" applyFill="1" applyBorder="1" applyAlignment="1">
      <alignment horizontal="right"/>
      <protection/>
    </xf>
    <xf numFmtId="3" fontId="36" fillId="0" borderId="72" xfId="56" applyNumberFormat="1" applyFont="1" applyFill="1" applyBorder="1" applyAlignment="1">
      <alignment horizontal="right"/>
      <protection/>
    </xf>
    <xf numFmtId="10" fontId="36" fillId="0" borderId="72" xfId="56" applyNumberFormat="1" applyFont="1" applyFill="1" applyBorder="1" applyAlignment="1">
      <alignment horizontal="right"/>
      <protection/>
    </xf>
    <xf numFmtId="3" fontId="36" fillId="0" borderId="0" xfId="56" applyNumberFormat="1" applyFont="1">
      <alignment/>
      <protection/>
    </xf>
    <xf numFmtId="3" fontId="36" fillId="0" borderId="72" xfId="56" applyNumberFormat="1" applyFont="1" applyFill="1" applyBorder="1" applyAlignment="1">
      <alignment horizontal="center"/>
      <protection/>
    </xf>
    <xf numFmtId="0" fontId="84" fillId="4" borderId="83" xfId="56" applyFont="1" applyFill="1" applyBorder="1" applyAlignment="1">
      <alignment horizontal="left" wrapText="1"/>
      <protection/>
    </xf>
    <xf numFmtId="3" fontId="84" fillId="4" borderId="33" xfId="56" applyNumberFormat="1" applyFont="1" applyFill="1" applyBorder="1" applyAlignment="1">
      <alignment horizontal="center"/>
      <protection/>
    </xf>
    <xf numFmtId="0" fontId="87" fillId="4" borderId="84" xfId="56" applyFont="1" applyFill="1" applyBorder="1" applyAlignment="1">
      <alignment horizontal="left"/>
      <protection/>
    </xf>
    <xf numFmtId="3" fontId="36" fillId="4" borderId="69" xfId="56" applyNumberFormat="1" applyFont="1" applyFill="1" applyBorder="1" applyAlignment="1">
      <alignment horizontal="right"/>
      <protection/>
    </xf>
    <xf numFmtId="4" fontId="36" fillId="4" borderId="11" xfId="56" applyNumberFormat="1" applyFont="1" applyFill="1" applyBorder="1" applyAlignment="1">
      <alignment horizontal="right"/>
      <protection/>
    </xf>
    <xf numFmtId="3" fontId="36" fillId="4" borderId="69" xfId="56" applyNumberFormat="1" applyFont="1" applyFill="1" applyBorder="1" applyAlignment="1">
      <alignment/>
      <protection/>
    </xf>
    <xf numFmtId="3" fontId="36" fillId="4" borderId="11" xfId="56" applyNumberFormat="1" applyFont="1" applyFill="1" applyBorder="1" applyAlignment="1">
      <alignment horizontal="right"/>
      <protection/>
    </xf>
    <xf numFmtId="3" fontId="36" fillId="4" borderId="85" xfId="56" applyNumberFormat="1" applyFont="1" applyFill="1" applyBorder="1" applyAlignment="1">
      <alignment horizontal="right"/>
      <protection/>
    </xf>
    <xf numFmtId="4" fontId="36" fillId="0" borderId="82" xfId="56" applyNumberFormat="1" applyFont="1" applyFill="1" applyBorder="1" applyAlignment="1">
      <alignment horizontal="right"/>
      <protection/>
    </xf>
    <xf numFmtId="3" fontId="36" fillId="0" borderId="74" xfId="56" applyNumberFormat="1" applyFont="1" applyFill="1" applyBorder="1" applyAlignment="1">
      <alignment horizontal="center"/>
      <protection/>
    </xf>
    <xf numFmtId="3" fontId="36" fillId="0" borderId="62" xfId="56" applyNumberFormat="1" applyFont="1" applyFill="1" applyBorder="1" applyAlignment="1">
      <alignment horizontal="center"/>
      <protection/>
    </xf>
    <xf numFmtId="0" fontId="84" fillId="0" borderId="80" xfId="56" applyFont="1" applyFill="1" applyBorder="1" applyAlignment="1">
      <alignment horizontal="left"/>
      <protection/>
    </xf>
    <xf numFmtId="3" fontId="36" fillId="0" borderId="81" xfId="56" applyNumberFormat="1" applyFont="1" applyFill="1" applyBorder="1" applyAlignment="1">
      <alignment horizontal="right"/>
      <protection/>
    </xf>
    <xf numFmtId="3" fontId="36" fillId="0" borderId="84" xfId="56" applyNumberFormat="1" applyFont="1" applyFill="1" applyBorder="1" applyAlignment="1">
      <alignment horizontal="right"/>
      <protection/>
    </xf>
    <xf numFmtId="10" fontId="36" fillId="0" borderId="69" xfId="56" applyNumberFormat="1" applyFont="1" applyFill="1" applyBorder="1" applyAlignment="1">
      <alignment horizontal="right"/>
      <protection/>
    </xf>
    <xf numFmtId="3" fontId="36" fillId="0" borderId="85" xfId="56" applyNumberFormat="1" applyFont="1" applyFill="1" applyBorder="1" applyAlignment="1">
      <alignment horizontal="center"/>
      <protection/>
    </xf>
    <xf numFmtId="3" fontId="36" fillId="0" borderId="11" xfId="56" applyNumberFormat="1" applyFont="1" applyFill="1" applyBorder="1" applyAlignment="1">
      <alignment horizontal="center"/>
      <protection/>
    </xf>
    <xf numFmtId="3" fontId="36" fillId="0" borderId="69" xfId="56" applyNumberFormat="1" applyFont="1" applyFill="1" applyBorder="1" applyAlignment="1">
      <alignment horizontal="center"/>
      <protection/>
    </xf>
    <xf numFmtId="0" fontId="79" fillId="19" borderId="60" xfId="56" applyFont="1" applyFill="1" applyBorder="1" applyAlignment="1">
      <alignment horizontal="left"/>
      <protection/>
    </xf>
    <xf numFmtId="3" fontId="84" fillId="19" borderId="19" xfId="56" applyNumberFormat="1" applyFont="1" applyFill="1" applyBorder="1" applyAlignment="1">
      <alignment horizontal="right"/>
      <protection/>
    </xf>
    <xf numFmtId="3" fontId="84" fillId="19" borderId="60" xfId="56" applyNumberFormat="1" applyFont="1" applyFill="1" applyBorder="1" applyAlignment="1">
      <alignment horizontal="right"/>
      <protection/>
    </xf>
    <xf numFmtId="10" fontId="84" fillId="19" borderId="69" xfId="56" applyNumberFormat="1" applyFont="1" applyFill="1" applyBorder="1" applyAlignment="1">
      <alignment horizontal="right"/>
      <protection/>
    </xf>
    <xf numFmtId="3" fontId="84" fillId="19" borderId="19" xfId="56" applyNumberFormat="1" applyFont="1" applyFill="1" applyBorder="1" applyAlignment="1">
      <alignment horizontal="center"/>
      <protection/>
    </xf>
    <xf numFmtId="0" fontId="45" fillId="0" borderId="0" xfId="56" applyFont="1">
      <alignment/>
      <protection/>
    </xf>
    <xf numFmtId="0" fontId="95" fillId="0" borderId="0" xfId="58" applyFont="1">
      <alignment/>
      <protection/>
    </xf>
    <xf numFmtId="49" fontId="87" fillId="0" borderId="0" xfId="56" applyNumberFormat="1" applyFont="1" applyBorder="1" applyAlignment="1">
      <alignment horizontal="right" vertical="top" textRotation="180" wrapText="1"/>
      <protection/>
    </xf>
    <xf numFmtId="0" fontId="45" fillId="0" borderId="0" xfId="56" applyFont="1" applyFill="1">
      <alignment/>
      <protection/>
    </xf>
    <xf numFmtId="0" fontId="36" fillId="0" borderId="0" xfId="56" applyFont="1" applyFill="1">
      <alignment/>
      <protection/>
    </xf>
    <xf numFmtId="0" fontId="87" fillId="0" borderId="0" xfId="57" applyFont="1">
      <alignment/>
      <protection/>
    </xf>
    <xf numFmtId="0" fontId="87" fillId="0" borderId="0" xfId="56" applyFont="1">
      <alignment/>
      <protection/>
    </xf>
    <xf numFmtId="0" fontId="87" fillId="0" borderId="0" xfId="57" applyFont="1" applyFill="1">
      <alignment/>
      <protection/>
    </xf>
    <xf numFmtId="0" fontId="87" fillId="0" borderId="0" xfId="56" applyFont="1" applyFill="1" applyAlignment="1">
      <alignment/>
      <protection/>
    </xf>
    <xf numFmtId="0" fontId="87" fillId="0" borderId="0" xfId="57" applyFont="1" applyAlignment="1">
      <alignment horizontal="left"/>
      <protection/>
    </xf>
    <xf numFmtId="0" fontId="87" fillId="0" borderId="0" xfId="57" applyFont="1" applyAlignment="1">
      <alignment horizontal="right"/>
      <protection/>
    </xf>
    <xf numFmtId="0" fontId="87" fillId="0" borderId="0" xfId="57" applyFont="1" applyAlignment="1">
      <alignment horizontal="center"/>
      <protection/>
    </xf>
    <xf numFmtId="0" fontId="97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7" fillId="0" borderId="0" xfId="0" applyFont="1" applyFill="1" applyAlignment="1">
      <alignment horizontal="right"/>
    </xf>
    <xf numFmtId="0" fontId="9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Fill="1" applyAlignment="1">
      <alignment horizontal="right"/>
    </xf>
    <xf numFmtId="0" fontId="57" fillId="0" borderId="0" xfId="0" applyFont="1" applyFill="1" applyAlignment="1">
      <alignment/>
    </xf>
    <xf numFmtId="0" fontId="102" fillId="0" borderId="11" xfId="0" applyFont="1" applyFill="1" applyBorder="1" applyAlignment="1">
      <alignment horizontal="center"/>
    </xf>
    <xf numFmtId="0" fontId="102" fillId="0" borderId="46" xfId="0" applyFont="1" applyFill="1" applyBorder="1" applyAlignment="1">
      <alignment horizontal="center"/>
    </xf>
    <xf numFmtId="4" fontId="102" fillId="0" borderId="85" xfId="0" applyNumberFormat="1" applyFont="1" applyFill="1" applyBorder="1" applyAlignment="1">
      <alignment horizontal="center"/>
    </xf>
    <xf numFmtId="0" fontId="102" fillId="0" borderId="85" xfId="0" applyFont="1" applyFill="1" applyBorder="1" applyAlignment="1">
      <alignment horizontal="center"/>
    </xf>
    <xf numFmtId="0" fontId="102" fillId="0" borderId="84" xfId="0" applyFont="1" applyFill="1" applyBorder="1" applyAlignment="1">
      <alignment horizontal="center"/>
    </xf>
    <xf numFmtId="0" fontId="102" fillId="0" borderId="51" xfId="0" applyFont="1" applyFill="1" applyBorder="1" applyAlignment="1">
      <alignment horizontal="center"/>
    </xf>
    <xf numFmtId="0" fontId="102" fillId="0" borderId="86" xfId="0" applyFont="1" applyFill="1" applyBorder="1" applyAlignment="1">
      <alignment horizontal="center"/>
    </xf>
    <xf numFmtId="0" fontId="57" fillId="0" borderId="66" xfId="0" applyFont="1" applyFill="1" applyBorder="1" applyAlignment="1">
      <alignment/>
    </xf>
    <xf numFmtId="3" fontId="10" fillId="0" borderId="87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3" fontId="10" fillId="0" borderId="88" xfId="0" applyNumberFormat="1" applyFont="1" applyFill="1" applyBorder="1" applyAlignment="1">
      <alignment/>
    </xf>
    <xf numFmtId="4" fontId="10" fillId="0" borderId="89" xfId="0" applyNumberFormat="1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10" fillId="0" borderId="55" xfId="0" applyFont="1" applyFill="1" applyBorder="1" applyAlignment="1">
      <alignment/>
    </xf>
    <xf numFmtId="187" fontId="10" fillId="0" borderId="70" xfId="0" applyNumberFormat="1" applyFont="1" applyFill="1" applyBorder="1" applyAlignment="1">
      <alignment/>
    </xf>
    <xf numFmtId="4" fontId="10" fillId="0" borderId="70" xfId="0" applyNumberFormat="1" applyFont="1" applyFill="1" applyBorder="1" applyAlignment="1">
      <alignment/>
    </xf>
    <xf numFmtId="182" fontId="0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0" fillId="0" borderId="73" xfId="0" applyNumberFormat="1" applyFont="1" applyFill="1" applyBorder="1" applyAlignment="1">
      <alignment/>
    </xf>
    <xf numFmtId="3" fontId="10" fillId="0" borderId="48" xfId="0" applyNumberFormat="1" applyFont="1" applyFill="1" applyBorder="1" applyAlignment="1">
      <alignment/>
    </xf>
    <xf numFmtId="4" fontId="10" fillId="0" borderId="49" xfId="0" applyNumberFormat="1" applyFont="1" applyFill="1" applyBorder="1" applyAlignment="1">
      <alignment/>
    </xf>
    <xf numFmtId="3" fontId="10" fillId="0" borderId="72" xfId="0" applyNumberFormat="1" applyFont="1" applyFill="1" applyBorder="1" applyAlignment="1">
      <alignment/>
    </xf>
    <xf numFmtId="4" fontId="10" fillId="0" borderId="74" xfId="0" applyNumberFormat="1" applyFont="1" applyFill="1" applyBorder="1" applyAlignment="1">
      <alignment/>
    </xf>
    <xf numFmtId="0" fontId="10" fillId="0" borderId="90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187" fontId="10" fillId="0" borderId="91" xfId="0" applyNumberFormat="1" applyFont="1" applyFill="1" applyBorder="1" applyAlignment="1">
      <alignment/>
    </xf>
    <xf numFmtId="3" fontId="10" fillId="0" borderId="90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4" fontId="10" fillId="0" borderId="38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92" xfId="0" applyFont="1" applyFill="1" applyBorder="1" applyAlignment="1">
      <alignment/>
    </xf>
    <xf numFmtId="187" fontId="10" fillId="0" borderId="81" xfId="0" applyNumberFormat="1" applyFont="1" applyFill="1" applyBorder="1" applyAlignment="1">
      <alignment/>
    </xf>
    <xf numFmtId="3" fontId="10" fillId="0" borderId="84" xfId="0" applyNumberFormat="1" applyFont="1" applyFill="1" applyBorder="1" applyAlignment="1">
      <alignment/>
    </xf>
    <xf numFmtId="3" fontId="10" fillId="0" borderId="51" xfId="0" applyNumberFormat="1" applyFont="1" applyFill="1" applyBorder="1" applyAlignment="1">
      <alignment/>
    </xf>
    <xf numFmtId="4" fontId="10" fillId="0" borderId="85" xfId="0" applyNumberFormat="1" applyFont="1" applyFill="1" applyBorder="1" applyAlignment="1">
      <alignment/>
    </xf>
    <xf numFmtId="3" fontId="10" fillId="0" borderId="93" xfId="0" applyNumberFormat="1" applyFont="1" applyFill="1" applyBorder="1" applyAlignment="1">
      <alignment/>
    </xf>
    <xf numFmtId="0" fontId="101" fillId="0" borderId="60" xfId="0" applyFont="1" applyFill="1" applyBorder="1" applyAlignment="1">
      <alignment/>
    </xf>
    <xf numFmtId="3" fontId="102" fillId="0" borderId="94" xfId="0" applyNumberFormat="1" applyFont="1" applyFill="1" applyBorder="1" applyAlignment="1">
      <alignment/>
    </xf>
    <xf numFmtId="4" fontId="102" fillId="0" borderId="94" xfId="0" applyNumberFormat="1" applyFont="1" applyFill="1" applyBorder="1" applyAlignment="1">
      <alignment/>
    </xf>
    <xf numFmtId="3" fontId="102" fillId="0" borderId="17" xfId="0" applyNumberFormat="1" applyFont="1" applyFill="1" applyBorder="1" applyAlignment="1">
      <alignment/>
    </xf>
    <xf numFmtId="4" fontId="102" fillId="0" borderId="40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187" fontId="10" fillId="0" borderId="19" xfId="0" applyNumberFormat="1" applyFont="1" applyFill="1" applyBorder="1" applyAlignment="1">
      <alignment/>
    </xf>
    <xf numFmtId="0" fontId="101" fillId="0" borderId="95" xfId="0" applyFont="1" applyFill="1" applyBorder="1" applyAlignment="1">
      <alignment/>
    </xf>
    <xf numFmtId="3" fontId="10" fillId="0" borderId="96" xfId="0" applyNumberFormat="1" applyFont="1" applyFill="1" applyBorder="1" applyAlignment="1">
      <alignment/>
    </xf>
    <xf numFmtId="4" fontId="10" fillId="0" borderId="91" xfId="0" applyNumberFormat="1" applyFont="1" applyFill="1" applyBorder="1" applyAlignment="1">
      <alignment/>
    </xf>
    <xf numFmtId="3" fontId="10" fillId="0" borderId="97" xfId="0" applyNumberFormat="1" applyFont="1" applyFill="1" applyBorder="1" applyAlignment="1">
      <alignment/>
    </xf>
    <xf numFmtId="3" fontId="10" fillId="0" borderId="92" xfId="0" applyNumberFormat="1" applyFont="1" applyFill="1" applyBorder="1" applyAlignment="1">
      <alignment/>
    </xf>
    <xf numFmtId="4" fontId="10" fillId="0" borderId="81" xfId="0" applyNumberFormat="1" applyFont="1" applyFill="1" applyBorder="1" applyAlignment="1">
      <alignment/>
    </xf>
    <xf numFmtId="3" fontId="10" fillId="0" borderId="98" xfId="0" applyNumberFormat="1" applyFont="1" applyFill="1" applyBorder="1" applyAlignment="1">
      <alignment/>
    </xf>
    <xf numFmtId="3" fontId="10" fillId="0" borderId="58" xfId="0" applyNumberFormat="1" applyFont="1" applyFill="1" applyBorder="1" applyAlignment="1">
      <alignment/>
    </xf>
    <xf numFmtId="4" fontId="10" fillId="0" borderId="99" xfId="0" applyNumberFormat="1" applyFont="1" applyFill="1" applyBorder="1" applyAlignment="1">
      <alignment/>
    </xf>
    <xf numFmtId="3" fontId="10" fillId="0" borderId="100" xfId="0" applyNumberFormat="1" applyFont="1" applyFill="1" applyBorder="1" applyAlignment="1">
      <alignment/>
    </xf>
    <xf numFmtId="4" fontId="10" fillId="0" borderId="59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9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03" fillId="0" borderId="0" xfId="0" applyFont="1" applyFill="1" applyAlignment="1">
      <alignment/>
    </xf>
    <xf numFmtId="0" fontId="97" fillId="0" borderId="0" xfId="66" applyFont="1">
      <alignment/>
      <protection/>
    </xf>
    <xf numFmtId="0" fontId="98" fillId="0" borderId="0" xfId="66" applyFont="1">
      <alignment/>
      <protection/>
    </xf>
    <xf numFmtId="0" fontId="97" fillId="0" borderId="0" xfId="66" applyFont="1" applyAlignment="1">
      <alignment horizontal="right"/>
      <protection/>
    </xf>
    <xf numFmtId="4" fontId="97" fillId="0" borderId="0" xfId="66" applyNumberFormat="1" applyFont="1">
      <alignment/>
      <protection/>
    </xf>
    <xf numFmtId="0" fontId="99" fillId="0" borderId="0" xfId="66" applyFont="1">
      <alignment/>
      <protection/>
    </xf>
    <xf numFmtId="4" fontId="99" fillId="0" borderId="0" xfId="66" applyNumberFormat="1" applyFont="1">
      <alignment/>
      <protection/>
    </xf>
    <xf numFmtId="0" fontId="34" fillId="0" borderId="0" xfId="66" applyFont="1" applyBorder="1">
      <alignment/>
      <protection/>
    </xf>
    <xf numFmtId="0" fontId="34" fillId="0" borderId="0" xfId="66" applyFont="1">
      <alignment/>
      <protection/>
    </xf>
    <xf numFmtId="0" fontId="29" fillId="0" borderId="0" xfId="66" applyFont="1" applyAlignment="1">
      <alignment horizontal="right"/>
      <protection/>
    </xf>
    <xf numFmtId="4" fontId="34" fillId="0" borderId="0" xfId="66" applyNumberFormat="1" applyFont="1">
      <alignment/>
      <protection/>
    </xf>
    <xf numFmtId="3" fontId="57" fillId="0" borderId="101" xfId="66" applyNumberFormat="1" applyFont="1" applyBorder="1">
      <alignment/>
      <protection/>
    </xf>
    <xf numFmtId="3" fontId="57" fillId="0" borderId="44" xfId="66" applyNumberFormat="1" applyFont="1" applyBorder="1">
      <alignment/>
      <protection/>
    </xf>
    <xf numFmtId="4" fontId="57" fillId="0" borderId="89" xfId="66" applyNumberFormat="1" applyFont="1" applyBorder="1">
      <alignment/>
      <protection/>
    </xf>
    <xf numFmtId="0" fontId="36" fillId="0" borderId="0" xfId="66" applyFont="1">
      <alignment/>
      <protection/>
    </xf>
    <xf numFmtId="4" fontId="36" fillId="0" borderId="0" xfId="66" applyNumberFormat="1" applyFont="1">
      <alignment/>
      <protection/>
    </xf>
    <xf numFmtId="3" fontId="36" fillId="0" borderId="0" xfId="66" applyNumberFormat="1" applyFont="1">
      <alignment/>
      <protection/>
    </xf>
    <xf numFmtId="3" fontId="57" fillId="0" borderId="96" xfId="66" applyNumberFormat="1" applyFont="1" applyBorder="1">
      <alignment/>
      <protection/>
    </xf>
    <xf numFmtId="3" fontId="57" fillId="0" borderId="48" xfId="66" applyNumberFormat="1" applyFont="1" applyBorder="1">
      <alignment/>
      <protection/>
    </xf>
    <xf numFmtId="4" fontId="57" fillId="0" borderId="74" xfId="66" applyNumberFormat="1" applyFont="1" applyBorder="1">
      <alignment/>
      <protection/>
    </xf>
    <xf numFmtId="3" fontId="57" fillId="0" borderId="96" xfId="66" applyNumberFormat="1" applyFont="1" applyBorder="1">
      <alignment/>
      <protection/>
    </xf>
    <xf numFmtId="3" fontId="57" fillId="0" borderId="48" xfId="66" applyNumberFormat="1" applyFont="1" applyBorder="1">
      <alignment/>
      <protection/>
    </xf>
    <xf numFmtId="4" fontId="57" fillId="0" borderId="74" xfId="66" applyNumberFormat="1" applyFont="1" applyBorder="1">
      <alignment/>
      <protection/>
    </xf>
    <xf numFmtId="0" fontId="57" fillId="0" borderId="0" xfId="66" applyFont="1">
      <alignment/>
      <protection/>
    </xf>
    <xf numFmtId="4" fontId="57" fillId="0" borderId="0" xfId="66" applyNumberFormat="1" applyFont="1">
      <alignment/>
      <protection/>
    </xf>
    <xf numFmtId="3" fontId="101" fillId="0" borderId="96" xfId="66" applyNumberFormat="1" applyFont="1" applyBorder="1">
      <alignment/>
      <protection/>
    </xf>
    <xf numFmtId="3" fontId="101" fillId="0" borderId="48" xfId="66" applyNumberFormat="1" applyFont="1" applyBorder="1">
      <alignment/>
      <protection/>
    </xf>
    <xf numFmtId="4" fontId="101" fillId="0" borderId="74" xfId="66" applyNumberFormat="1" applyFont="1" applyBorder="1">
      <alignment/>
      <protection/>
    </xf>
    <xf numFmtId="0" fontId="101" fillId="0" borderId="0" xfId="66" applyFont="1">
      <alignment/>
      <protection/>
    </xf>
    <xf numFmtId="4" fontId="101" fillId="0" borderId="0" xfId="66" applyNumberFormat="1" applyFont="1">
      <alignment/>
      <protection/>
    </xf>
    <xf numFmtId="0" fontId="29" fillId="0" borderId="0" xfId="66" applyFont="1" applyBorder="1">
      <alignment/>
      <protection/>
    </xf>
    <xf numFmtId="3" fontId="29" fillId="0" borderId="0" xfId="66" applyNumberFormat="1" applyFont="1" applyBorder="1">
      <alignment/>
      <protection/>
    </xf>
    <xf numFmtId="0" fontId="34" fillId="25" borderId="0" xfId="66" applyFont="1" applyFill="1">
      <alignment/>
      <protection/>
    </xf>
    <xf numFmtId="3" fontId="34" fillId="0" borderId="0" xfId="66" applyNumberFormat="1" applyFont="1">
      <alignment/>
      <protection/>
    </xf>
    <xf numFmtId="1" fontId="34" fillId="0" borderId="0" xfId="66" applyNumberFormat="1" applyFont="1">
      <alignment/>
      <protection/>
    </xf>
    <xf numFmtId="0" fontId="43" fillId="0" borderId="0" xfId="67" applyFont="1">
      <alignment/>
      <protection/>
    </xf>
    <xf numFmtId="0" fontId="34" fillId="0" borderId="0" xfId="67" applyFont="1">
      <alignment/>
      <protection/>
    </xf>
    <xf numFmtId="0" fontId="84" fillId="0" borderId="0" xfId="67" applyFont="1">
      <alignment/>
      <protection/>
    </xf>
    <xf numFmtId="0" fontId="78" fillId="0" borderId="0" xfId="67" applyFont="1">
      <alignment/>
      <protection/>
    </xf>
    <xf numFmtId="0" fontId="34" fillId="0" borderId="0" xfId="67" applyFont="1" applyBorder="1">
      <alignment/>
      <protection/>
    </xf>
    <xf numFmtId="0" fontId="34" fillId="0" borderId="0" xfId="67" applyFont="1" applyBorder="1" applyAlignment="1">
      <alignment horizontal="right"/>
      <protection/>
    </xf>
    <xf numFmtId="0" fontId="43" fillId="0" borderId="80" xfId="67" applyFont="1" applyBorder="1" applyAlignment="1">
      <alignment horizontal="center"/>
      <protection/>
    </xf>
    <xf numFmtId="0" fontId="43" fillId="0" borderId="0" xfId="67" applyFont="1" applyAlignment="1">
      <alignment horizontal="center"/>
      <protection/>
    </xf>
    <xf numFmtId="0" fontId="43" fillId="0" borderId="92" xfId="67" applyFont="1" applyBorder="1" applyAlignment="1">
      <alignment horizontal="center"/>
      <protection/>
    </xf>
    <xf numFmtId="0" fontId="43" fillId="0" borderId="81" xfId="67" applyFont="1" applyBorder="1" applyAlignment="1">
      <alignment horizontal="center"/>
      <protection/>
    </xf>
    <xf numFmtId="0" fontId="43" fillId="0" borderId="55" xfId="67" applyFont="1" applyBorder="1" applyAlignment="1">
      <alignment horizontal="center"/>
      <protection/>
    </xf>
    <xf numFmtId="0" fontId="43" fillId="0" borderId="0" xfId="67" applyFont="1" applyBorder="1" applyAlignment="1">
      <alignment horizontal="center"/>
      <protection/>
    </xf>
    <xf numFmtId="0" fontId="43" fillId="0" borderId="102" xfId="67" applyFont="1" applyBorder="1" applyAlignment="1">
      <alignment horizontal="center"/>
      <protection/>
    </xf>
    <xf numFmtId="0" fontId="43" fillId="0" borderId="12" xfId="67" applyFont="1" applyBorder="1" applyAlignment="1">
      <alignment horizontal="center"/>
      <protection/>
    </xf>
    <xf numFmtId="0" fontId="34" fillId="0" borderId="69" xfId="67" applyFont="1" applyBorder="1">
      <alignment/>
      <protection/>
    </xf>
    <xf numFmtId="0" fontId="78" fillId="0" borderId="84" xfId="67" applyFont="1" applyBorder="1" applyAlignment="1">
      <alignment horizontal="center"/>
      <protection/>
    </xf>
    <xf numFmtId="0" fontId="78" fillId="0" borderId="51" xfId="67" applyFont="1" applyBorder="1" applyAlignment="1">
      <alignment horizontal="center"/>
      <protection/>
    </xf>
    <xf numFmtId="0" fontId="78" fillId="0" borderId="85" xfId="67" applyFont="1" applyBorder="1" applyAlignment="1">
      <alignment horizontal="center"/>
      <protection/>
    </xf>
    <xf numFmtId="0" fontId="78" fillId="0" borderId="86" xfId="67" applyFont="1" applyBorder="1" applyAlignment="1">
      <alignment horizontal="center"/>
      <protection/>
    </xf>
    <xf numFmtId="0" fontId="104" fillId="0" borderId="11" xfId="67" applyFont="1" applyBorder="1" applyAlignment="1">
      <alignment horizontal="center"/>
      <protection/>
    </xf>
    <xf numFmtId="0" fontId="78" fillId="0" borderId="103" xfId="67" applyFont="1" applyBorder="1" applyAlignment="1">
      <alignment horizontal="center"/>
      <protection/>
    </xf>
    <xf numFmtId="0" fontId="78" fillId="0" borderId="104" xfId="67" applyFont="1" applyBorder="1" applyAlignment="1">
      <alignment horizontal="center"/>
      <protection/>
    </xf>
    <xf numFmtId="0" fontId="78" fillId="0" borderId="11" xfId="67" applyFont="1" applyBorder="1" applyAlignment="1">
      <alignment horizontal="center"/>
      <protection/>
    </xf>
    <xf numFmtId="0" fontId="78" fillId="0" borderId="52" xfId="67" applyFont="1" applyBorder="1" applyAlignment="1">
      <alignment horizontal="center"/>
      <protection/>
    </xf>
    <xf numFmtId="0" fontId="104" fillId="0" borderId="51" xfId="67" applyFont="1" applyBorder="1" applyAlignment="1">
      <alignment horizontal="center"/>
      <protection/>
    </xf>
    <xf numFmtId="4" fontId="78" fillId="0" borderId="11" xfId="67" applyNumberFormat="1" applyFont="1" applyBorder="1" applyAlignment="1">
      <alignment horizontal="center"/>
      <protection/>
    </xf>
    <xf numFmtId="0" fontId="78" fillId="0" borderId="69" xfId="67" applyFont="1" applyBorder="1" applyAlignment="1">
      <alignment horizontal="center"/>
      <protection/>
    </xf>
    <xf numFmtId="0" fontId="104" fillId="0" borderId="86" xfId="67" applyFont="1" applyBorder="1" applyAlignment="1">
      <alignment horizontal="center"/>
      <protection/>
    </xf>
    <xf numFmtId="0" fontId="34" fillId="0" borderId="51" xfId="67" applyFont="1" applyBorder="1">
      <alignment/>
      <protection/>
    </xf>
    <xf numFmtId="3" fontId="34" fillId="0" borderId="83" xfId="67" applyNumberFormat="1" applyFont="1" applyBorder="1">
      <alignment/>
      <protection/>
    </xf>
    <xf numFmtId="3" fontId="34" fillId="0" borderId="92" xfId="67" applyNumberFormat="1" applyFont="1" applyBorder="1">
      <alignment/>
      <protection/>
    </xf>
    <xf numFmtId="3" fontId="34" fillId="0" borderId="81" xfId="67" applyNumberFormat="1" applyFont="1" applyBorder="1">
      <alignment/>
      <protection/>
    </xf>
    <xf numFmtId="3" fontId="34" fillId="0" borderId="12" xfId="67" applyNumberFormat="1" applyFont="1" applyBorder="1">
      <alignment/>
      <protection/>
    </xf>
    <xf numFmtId="3" fontId="34" fillId="0" borderId="0" xfId="67" applyNumberFormat="1" applyFont="1">
      <alignment/>
      <protection/>
    </xf>
    <xf numFmtId="3" fontId="34" fillId="0" borderId="97" xfId="67" applyNumberFormat="1" applyFont="1" applyBorder="1">
      <alignment/>
      <protection/>
    </xf>
    <xf numFmtId="3" fontId="34" fillId="0" borderId="102" xfId="67" applyNumberFormat="1" applyFont="1" applyBorder="1">
      <alignment/>
      <protection/>
    </xf>
    <xf numFmtId="3" fontId="34" fillId="0" borderId="34" xfId="67" applyNumberFormat="1" applyFont="1" applyBorder="1">
      <alignment/>
      <protection/>
    </xf>
    <xf numFmtId="3" fontId="34" fillId="0" borderId="105" xfId="67" applyNumberFormat="1" applyFont="1" applyBorder="1">
      <alignment/>
      <protection/>
    </xf>
    <xf numFmtId="3" fontId="34" fillId="0" borderId="82" xfId="67" applyNumberFormat="1" applyFont="1" applyBorder="1">
      <alignment/>
      <protection/>
    </xf>
    <xf numFmtId="3" fontId="34" fillId="0" borderId="93" xfId="67" applyNumberFormat="1" applyFont="1" applyBorder="1">
      <alignment/>
      <protection/>
    </xf>
    <xf numFmtId="3" fontId="34" fillId="0" borderId="37" xfId="67" applyNumberFormat="1" applyFont="1" applyBorder="1">
      <alignment/>
      <protection/>
    </xf>
    <xf numFmtId="3" fontId="34" fillId="0" borderId="91" xfId="67" applyNumberFormat="1" applyFont="1" applyBorder="1">
      <alignment/>
      <protection/>
    </xf>
    <xf numFmtId="3" fontId="34" fillId="0" borderId="106" xfId="67" applyNumberFormat="1" applyFont="1" applyBorder="1">
      <alignment/>
      <protection/>
    </xf>
    <xf numFmtId="3" fontId="34" fillId="0" borderId="90" xfId="67" applyNumberFormat="1" applyFont="1" applyBorder="1">
      <alignment/>
      <protection/>
    </xf>
    <xf numFmtId="3" fontId="34" fillId="0" borderId="107" xfId="67" applyNumberFormat="1" applyFont="1" applyBorder="1">
      <alignment/>
      <protection/>
    </xf>
    <xf numFmtId="3" fontId="34" fillId="0" borderId="108" xfId="67" applyNumberFormat="1" applyFont="1" applyBorder="1">
      <alignment/>
      <protection/>
    </xf>
    <xf numFmtId="3" fontId="34" fillId="0" borderId="38" xfId="67" applyNumberFormat="1" applyFont="1" applyBorder="1">
      <alignment/>
      <protection/>
    </xf>
    <xf numFmtId="3" fontId="34" fillId="0" borderId="66" xfId="67" applyNumberFormat="1" applyFont="1" applyBorder="1">
      <alignment/>
      <protection/>
    </xf>
    <xf numFmtId="3" fontId="34" fillId="0" borderId="75" xfId="67" applyNumberFormat="1" applyFont="1" applyBorder="1">
      <alignment/>
      <protection/>
    </xf>
    <xf numFmtId="3" fontId="34" fillId="0" borderId="80" xfId="67" applyNumberFormat="1" applyFont="1" applyBorder="1">
      <alignment/>
      <protection/>
    </xf>
    <xf numFmtId="3" fontId="34" fillId="0" borderId="58" xfId="67" applyNumberFormat="1" applyFont="1" applyBorder="1">
      <alignment/>
      <protection/>
    </xf>
    <xf numFmtId="3" fontId="34" fillId="0" borderId="78" xfId="67" applyNumberFormat="1" applyFont="1" applyBorder="1">
      <alignment/>
      <protection/>
    </xf>
    <xf numFmtId="3" fontId="34" fillId="0" borderId="46" xfId="67" applyNumberFormat="1" applyFont="1" applyBorder="1">
      <alignment/>
      <protection/>
    </xf>
    <xf numFmtId="3" fontId="34" fillId="0" borderId="79" xfId="67" applyNumberFormat="1" applyFont="1" applyBorder="1">
      <alignment/>
      <protection/>
    </xf>
    <xf numFmtId="3" fontId="34" fillId="0" borderId="109" xfId="67" applyNumberFormat="1" applyFont="1" applyBorder="1">
      <alignment/>
      <protection/>
    </xf>
    <xf numFmtId="3" fontId="34" fillId="0" borderId="77" xfId="67" applyNumberFormat="1" applyFont="1" applyBorder="1">
      <alignment/>
      <protection/>
    </xf>
    <xf numFmtId="3" fontId="34" fillId="0" borderId="110" xfId="67" applyNumberFormat="1" applyFont="1" applyBorder="1">
      <alignment/>
      <protection/>
    </xf>
    <xf numFmtId="3" fontId="34" fillId="0" borderId="53" xfId="67" applyNumberFormat="1" applyFont="1" applyBorder="1">
      <alignment/>
      <protection/>
    </xf>
    <xf numFmtId="3" fontId="34" fillId="0" borderId="47" xfId="67" applyNumberFormat="1" applyFont="1" applyBorder="1">
      <alignment/>
      <protection/>
    </xf>
    <xf numFmtId="3" fontId="34" fillId="0" borderId="76" xfId="67" applyNumberFormat="1" applyFont="1" applyBorder="1">
      <alignment/>
      <protection/>
    </xf>
    <xf numFmtId="3" fontId="43" fillId="0" borderId="17" xfId="67" applyNumberFormat="1" applyFont="1" applyBorder="1">
      <alignment/>
      <protection/>
    </xf>
    <xf numFmtId="3" fontId="43" fillId="0" borderId="39" xfId="67" applyNumberFormat="1" applyFont="1" applyBorder="1">
      <alignment/>
      <protection/>
    </xf>
    <xf numFmtId="3" fontId="43" fillId="0" borderId="40" xfId="67" applyNumberFormat="1" applyFont="1" applyBorder="1">
      <alignment/>
      <protection/>
    </xf>
    <xf numFmtId="3" fontId="43" fillId="0" borderId="25" xfId="67" applyNumberFormat="1" applyFont="1" applyBorder="1">
      <alignment/>
      <protection/>
    </xf>
    <xf numFmtId="3" fontId="43" fillId="0" borderId="50" xfId="67" applyNumberFormat="1" applyFont="1" applyBorder="1">
      <alignment/>
      <protection/>
    </xf>
    <xf numFmtId="3" fontId="43" fillId="0" borderId="18" xfId="67" applyNumberFormat="1" applyFont="1" applyBorder="1">
      <alignment/>
      <protection/>
    </xf>
    <xf numFmtId="3" fontId="43" fillId="0" borderId="19" xfId="67" applyNumberFormat="1" applyFont="1" applyBorder="1">
      <alignment/>
      <protection/>
    </xf>
    <xf numFmtId="3" fontId="43" fillId="0" borderId="60" xfId="67" applyNumberFormat="1" applyFont="1" applyBorder="1">
      <alignment/>
      <protection/>
    </xf>
    <xf numFmtId="0" fontId="44" fillId="25" borderId="0" xfId="67" applyFont="1" applyFill="1" applyBorder="1">
      <alignment/>
      <protection/>
    </xf>
    <xf numFmtId="3" fontId="43" fillId="0" borderId="0" xfId="67" applyNumberFormat="1" applyFont="1" applyBorder="1">
      <alignment/>
      <protection/>
    </xf>
    <xf numFmtId="4" fontId="43" fillId="0" borderId="0" xfId="67" applyNumberFormat="1" applyFont="1" applyBorder="1">
      <alignment/>
      <protection/>
    </xf>
    <xf numFmtId="2" fontId="43" fillId="0" borderId="0" xfId="67" applyNumberFormat="1" applyFont="1" applyBorder="1">
      <alignment/>
      <protection/>
    </xf>
    <xf numFmtId="0" fontId="36" fillId="0" borderId="0" xfId="67" applyFont="1">
      <alignment/>
      <protection/>
    </xf>
    <xf numFmtId="0" fontId="96" fillId="0" borderId="0" xfId="66" applyFont="1">
      <alignment/>
      <protection/>
    </xf>
    <xf numFmtId="4" fontId="96" fillId="0" borderId="0" xfId="66" applyNumberFormat="1" applyFont="1">
      <alignment/>
      <protection/>
    </xf>
    <xf numFmtId="0" fontId="100" fillId="0" borderId="11" xfId="66" applyFont="1" applyBorder="1" applyAlignment="1">
      <alignment horizontal="center" vertical="center" wrapText="1"/>
      <protection/>
    </xf>
    <xf numFmtId="0" fontId="100" fillId="0" borderId="46" xfId="66" applyFont="1" applyBorder="1" applyAlignment="1">
      <alignment horizontal="center" vertical="center" wrapText="1"/>
      <protection/>
    </xf>
    <xf numFmtId="0" fontId="100" fillId="0" borderId="85" xfId="66" applyFont="1" applyBorder="1" applyAlignment="1">
      <alignment horizontal="center" vertical="center" wrapText="1"/>
      <protection/>
    </xf>
    <xf numFmtId="0" fontId="87" fillId="0" borderId="0" xfId="66" applyFont="1">
      <alignment/>
      <protection/>
    </xf>
    <xf numFmtId="4" fontId="87" fillId="0" borderId="0" xfId="66" applyNumberFormat="1" applyFont="1">
      <alignment/>
      <protection/>
    </xf>
    <xf numFmtId="0" fontId="43" fillId="0" borderId="17" xfId="67" applyFont="1" applyBorder="1" applyAlignment="1">
      <alignment horizontal="left" vertical="center"/>
      <protection/>
    </xf>
    <xf numFmtId="0" fontId="34" fillId="0" borderId="18" xfId="67" applyFont="1" applyBorder="1" applyAlignment="1">
      <alignment horizontal="center" vertical="center"/>
      <protection/>
    </xf>
    <xf numFmtId="0" fontId="34" fillId="0" borderId="19" xfId="67" applyFont="1" applyBorder="1" applyAlignment="1">
      <alignment horizontal="center" vertical="center"/>
      <protection/>
    </xf>
    <xf numFmtId="0" fontId="34" fillId="0" borderId="17" xfId="67" applyFont="1" applyBorder="1" applyAlignment="1">
      <alignment horizontal="center" vertical="center"/>
      <protection/>
    </xf>
    <xf numFmtId="0" fontId="43" fillId="0" borderId="18" xfId="67" applyFont="1" applyBorder="1" applyAlignment="1">
      <alignment horizontal="center" vertical="center"/>
      <protection/>
    </xf>
    <xf numFmtId="0" fontId="34" fillId="0" borderId="18" xfId="67" applyFont="1" applyBorder="1" applyAlignment="1">
      <alignment horizontal="left" vertical="center"/>
      <protection/>
    </xf>
    <xf numFmtId="0" fontId="43" fillId="0" borderId="18" xfId="67" applyFont="1" applyBorder="1" applyAlignment="1">
      <alignment horizontal="right" vertical="center"/>
      <protection/>
    </xf>
    <xf numFmtId="0" fontId="43" fillId="0" borderId="33" xfId="67" applyFont="1" applyBorder="1" applyAlignment="1">
      <alignment horizontal="center" vertical="center"/>
      <protection/>
    </xf>
    <xf numFmtId="0" fontId="43" fillId="0" borderId="17" xfId="67" applyFont="1" applyBorder="1" applyAlignment="1">
      <alignment horizontal="center" vertical="center"/>
      <protection/>
    </xf>
    <xf numFmtId="0" fontId="34" fillId="0" borderId="19" xfId="67" applyFont="1" applyBorder="1" applyAlignment="1">
      <alignment vertical="center"/>
      <protection/>
    </xf>
    <xf numFmtId="0" fontId="34" fillId="0" borderId="0" xfId="67" applyFont="1" applyAlignment="1">
      <alignment vertical="center"/>
      <protection/>
    </xf>
    <xf numFmtId="3" fontId="36" fillId="0" borderId="0" xfId="72" applyNumberFormat="1" applyFont="1" applyFill="1">
      <alignment/>
      <protection/>
    </xf>
    <xf numFmtId="3" fontId="43" fillId="0" borderId="0" xfId="72" applyNumberFormat="1" applyFont="1" applyFill="1">
      <alignment/>
      <protection/>
    </xf>
    <xf numFmtId="3" fontId="34" fillId="0" borderId="0" xfId="72" applyNumberFormat="1" applyFont="1" applyFill="1">
      <alignment/>
      <protection/>
    </xf>
    <xf numFmtId="3" fontId="34" fillId="0" borderId="0" xfId="72" applyNumberFormat="1" applyFont="1" applyFill="1" applyBorder="1">
      <alignment/>
      <protection/>
    </xf>
    <xf numFmtId="3" fontId="34" fillId="0" borderId="0" xfId="72" applyNumberFormat="1" applyFont="1" applyFill="1" applyBorder="1" applyAlignment="1">
      <alignment horizontal="right"/>
      <protection/>
    </xf>
    <xf numFmtId="3" fontId="43" fillId="0" borderId="0" xfId="72" applyNumberFormat="1" applyFont="1" applyFill="1" applyBorder="1">
      <alignment/>
      <protection/>
    </xf>
    <xf numFmtId="0" fontId="105" fillId="0" borderId="0" xfId="72" applyFont="1">
      <alignment/>
      <protection/>
    </xf>
    <xf numFmtId="0" fontId="34" fillId="0" borderId="0" xfId="72" applyFont="1">
      <alignment/>
      <protection/>
    </xf>
    <xf numFmtId="4" fontId="34" fillId="0" borderId="0" xfId="72" applyNumberFormat="1" applyFont="1">
      <alignment/>
      <protection/>
    </xf>
    <xf numFmtId="182" fontId="34" fillId="0" borderId="0" xfId="72" applyNumberFormat="1" applyFont="1">
      <alignment/>
      <protection/>
    </xf>
    <xf numFmtId="182" fontId="34" fillId="0" borderId="0" xfId="72" applyNumberFormat="1" applyFont="1" applyFill="1">
      <alignment/>
      <protection/>
    </xf>
    <xf numFmtId="4" fontId="36" fillId="0" borderId="0" xfId="72" applyNumberFormat="1" applyFont="1" applyFill="1">
      <alignment/>
      <protection/>
    </xf>
    <xf numFmtId="0" fontId="87" fillId="0" borderId="0" xfId="72" applyFont="1">
      <alignment/>
      <protection/>
    </xf>
    <xf numFmtId="3" fontId="87" fillId="0" borderId="0" xfId="72" applyNumberFormat="1" applyFont="1" applyFill="1">
      <alignment/>
      <protection/>
    </xf>
    <xf numFmtId="0" fontId="84" fillId="0" borderId="0" xfId="72" applyFont="1" applyAlignment="1">
      <alignment horizontal="right"/>
      <protection/>
    </xf>
    <xf numFmtId="3" fontId="36" fillId="0" borderId="83" xfId="72" applyNumberFormat="1" applyFont="1" applyFill="1" applyBorder="1">
      <alignment/>
      <protection/>
    </xf>
    <xf numFmtId="3" fontId="83" fillId="0" borderId="83" xfId="72" applyNumberFormat="1" applyFont="1" applyFill="1" applyBorder="1" applyAlignment="1">
      <alignment horizontal="center"/>
      <protection/>
    </xf>
    <xf numFmtId="3" fontId="83" fillId="0" borderId="33" xfId="72" applyNumberFormat="1" applyFont="1" applyFill="1" applyBorder="1" applyAlignment="1">
      <alignment horizontal="center"/>
      <protection/>
    </xf>
    <xf numFmtId="3" fontId="36" fillId="0" borderId="83" xfId="72" applyNumberFormat="1" applyFont="1" applyFill="1" applyBorder="1" applyAlignment="1">
      <alignment horizontal="center"/>
      <protection/>
    </xf>
    <xf numFmtId="3" fontId="83" fillId="0" borderId="82" xfId="72" applyNumberFormat="1" applyFont="1" applyFill="1" applyBorder="1" applyAlignment="1">
      <alignment horizontal="center"/>
      <protection/>
    </xf>
    <xf numFmtId="3" fontId="36" fillId="0" borderId="70" xfId="72" applyNumberFormat="1" applyFont="1" applyFill="1" applyBorder="1" applyAlignment="1">
      <alignment horizontal="center"/>
      <protection/>
    </xf>
    <xf numFmtId="3" fontId="36" fillId="0" borderId="70" xfId="72" applyNumberFormat="1" applyFont="1" applyFill="1" applyBorder="1">
      <alignment/>
      <protection/>
    </xf>
    <xf numFmtId="3" fontId="36" fillId="0" borderId="0" xfId="72" applyNumberFormat="1" applyFont="1" applyFill="1" applyBorder="1" applyAlignment="1">
      <alignment horizontal="center"/>
      <protection/>
    </xf>
    <xf numFmtId="3" fontId="83" fillId="0" borderId="17" xfId="72" applyNumberFormat="1" applyFont="1" applyFill="1" applyBorder="1" applyAlignment="1">
      <alignment horizontal="center"/>
      <protection/>
    </xf>
    <xf numFmtId="3" fontId="83" fillId="0" borderId="39" xfId="72" applyNumberFormat="1" applyFont="1" applyFill="1" applyBorder="1" applyAlignment="1">
      <alignment horizontal="center"/>
      <protection/>
    </xf>
    <xf numFmtId="3" fontId="83" fillId="0" borderId="40" xfId="72" applyNumberFormat="1" applyFont="1" applyFill="1" applyBorder="1" applyAlignment="1">
      <alignment horizontal="center"/>
      <protection/>
    </xf>
    <xf numFmtId="3" fontId="83" fillId="0" borderId="19" xfId="72" applyNumberFormat="1" applyFont="1" applyFill="1" applyBorder="1" applyAlignment="1">
      <alignment horizontal="center"/>
      <protection/>
    </xf>
    <xf numFmtId="3" fontId="83" fillId="0" borderId="50" xfId="72" applyNumberFormat="1" applyFont="1" applyFill="1" applyBorder="1" applyAlignment="1">
      <alignment horizontal="center"/>
      <protection/>
    </xf>
    <xf numFmtId="3" fontId="83" fillId="0" borderId="25" xfId="72" applyNumberFormat="1" applyFont="1" applyFill="1" applyBorder="1" applyAlignment="1">
      <alignment horizontal="center"/>
      <protection/>
    </xf>
    <xf numFmtId="3" fontId="83" fillId="0" borderId="69" xfId="72" applyNumberFormat="1" applyFont="1" applyFill="1" applyBorder="1" applyAlignment="1">
      <alignment horizontal="center"/>
      <protection/>
    </xf>
    <xf numFmtId="3" fontId="36" fillId="0" borderId="73" xfId="72" applyNumberFormat="1" applyFont="1" applyFill="1" applyBorder="1">
      <alignment/>
      <protection/>
    </xf>
    <xf numFmtId="3" fontId="36" fillId="0" borderId="87" xfId="72" applyNumberFormat="1" applyFont="1" applyFill="1" applyBorder="1">
      <alignment/>
      <protection/>
    </xf>
    <xf numFmtId="3" fontId="36" fillId="0" borderId="44" xfId="72" applyNumberFormat="1" applyFont="1" applyFill="1" applyBorder="1">
      <alignment/>
      <protection/>
    </xf>
    <xf numFmtId="3" fontId="36" fillId="0" borderId="89" xfId="72" applyNumberFormat="1" applyFont="1" applyFill="1" applyBorder="1">
      <alignment/>
      <protection/>
    </xf>
    <xf numFmtId="3" fontId="36" fillId="0" borderId="55" xfId="72" applyNumberFormat="1" applyFont="1" applyFill="1" applyBorder="1">
      <alignment/>
      <protection/>
    </xf>
    <xf numFmtId="3" fontId="36" fillId="0" borderId="48" xfId="72" applyNumberFormat="1" applyFont="1" applyFill="1" applyBorder="1">
      <alignment/>
      <protection/>
    </xf>
    <xf numFmtId="3" fontId="36" fillId="0" borderId="54" xfId="72" applyNumberFormat="1" applyFont="1" applyFill="1" applyBorder="1">
      <alignment/>
      <protection/>
    </xf>
    <xf numFmtId="3" fontId="36" fillId="0" borderId="34" xfId="72" applyNumberFormat="1" applyFont="1" applyFill="1" applyBorder="1">
      <alignment/>
      <protection/>
    </xf>
    <xf numFmtId="3" fontId="36" fillId="0" borderId="33" xfId="72" applyNumberFormat="1" applyFont="1" applyFill="1" applyBorder="1">
      <alignment/>
      <protection/>
    </xf>
    <xf numFmtId="3" fontId="36" fillId="0" borderId="56" xfId="72" applyNumberFormat="1" applyFont="1" applyFill="1" applyBorder="1">
      <alignment/>
      <protection/>
    </xf>
    <xf numFmtId="3" fontId="36" fillId="0" borderId="102" xfId="72" applyNumberFormat="1" applyFont="1" applyFill="1" applyBorder="1">
      <alignment/>
      <protection/>
    </xf>
    <xf numFmtId="3" fontId="36" fillId="0" borderId="12" xfId="72" applyNumberFormat="1" applyFont="1" applyFill="1" applyBorder="1">
      <alignment/>
      <protection/>
    </xf>
    <xf numFmtId="3" fontId="36" fillId="0" borderId="81" xfId="72" applyNumberFormat="1" applyFont="1" applyFill="1" applyBorder="1">
      <alignment/>
      <protection/>
    </xf>
    <xf numFmtId="3" fontId="36" fillId="0" borderId="82" xfId="72" applyNumberFormat="1" applyFont="1" applyFill="1" applyBorder="1">
      <alignment/>
      <protection/>
    </xf>
    <xf numFmtId="3" fontId="36" fillId="0" borderId="43" xfId="72" applyNumberFormat="1" applyFont="1" applyFill="1" applyBorder="1">
      <alignment/>
      <protection/>
    </xf>
    <xf numFmtId="3" fontId="36" fillId="0" borderId="111" xfId="72" applyNumberFormat="1" applyFont="1" applyFill="1" applyBorder="1">
      <alignment/>
      <protection/>
    </xf>
    <xf numFmtId="3" fontId="36" fillId="0" borderId="45" xfId="72" applyNumberFormat="1" applyFont="1" applyFill="1" applyBorder="1">
      <alignment/>
      <protection/>
    </xf>
    <xf numFmtId="3" fontId="36" fillId="0" borderId="74" xfId="72" applyNumberFormat="1" applyFont="1" applyFill="1" applyBorder="1">
      <alignment/>
      <protection/>
    </xf>
    <xf numFmtId="3" fontId="36" fillId="0" borderId="93" xfId="72" applyNumberFormat="1" applyFont="1" applyFill="1" applyBorder="1">
      <alignment/>
      <protection/>
    </xf>
    <xf numFmtId="3" fontId="36" fillId="0" borderId="37" xfId="72" applyNumberFormat="1" applyFont="1" applyFill="1" applyBorder="1">
      <alignment/>
      <protection/>
    </xf>
    <xf numFmtId="3" fontId="36" fillId="0" borderId="91" xfId="72" applyNumberFormat="1" applyFont="1" applyFill="1" applyBorder="1">
      <alignment/>
      <protection/>
    </xf>
    <xf numFmtId="3" fontId="36" fillId="0" borderId="108" xfId="72" applyNumberFormat="1" applyFont="1" applyFill="1" applyBorder="1">
      <alignment/>
      <protection/>
    </xf>
    <xf numFmtId="3" fontId="36" fillId="0" borderId="72" xfId="72" applyNumberFormat="1" applyFont="1" applyFill="1" applyBorder="1">
      <alignment/>
      <protection/>
    </xf>
    <xf numFmtId="3" fontId="36" fillId="0" borderId="38" xfId="72" applyNumberFormat="1" applyFont="1" applyFill="1" applyBorder="1">
      <alignment/>
      <protection/>
    </xf>
    <xf numFmtId="3" fontId="36" fillId="0" borderId="106" xfId="72" applyNumberFormat="1" applyFont="1" applyFill="1" applyBorder="1">
      <alignment/>
      <protection/>
    </xf>
    <xf numFmtId="3" fontId="36" fillId="0" borderId="107" xfId="72" applyNumberFormat="1" applyFont="1" applyFill="1" applyBorder="1">
      <alignment/>
      <protection/>
    </xf>
    <xf numFmtId="3" fontId="36" fillId="0" borderId="90" xfId="72" applyNumberFormat="1" applyFont="1" applyFill="1" applyBorder="1">
      <alignment/>
      <protection/>
    </xf>
    <xf numFmtId="3" fontId="36" fillId="0" borderId="66" xfId="72" applyNumberFormat="1" applyFont="1" applyFill="1" applyBorder="1">
      <alignment/>
      <protection/>
    </xf>
    <xf numFmtId="3" fontId="36" fillId="0" borderId="75" xfId="72" applyNumberFormat="1" applyFont="1" applyFill="1" applyBorder="1">
      <alignment/>
      <protection/>
    </xf>
    <xf numFmtId="3" fontId="36" fillId="0" borderId="92" xfId="72" applyNumberFormat="1" applyFont="1" applyFill="1" applyBorder="1">
      <alignment/>
      <protection/>
    </xf>
    <xf numFmtId="3" fontId="36" fillId="0" borderId="0" xfId="72" applyNumberFormat="1" applyFont="1" applyFill="1" applyBorder="1">
      <alignment/>
      <protection/>
    </xf>
    <xf numFmtId="3" fontId="36" fillId="0" borderId="80" xfId="72" applyNumberFormat="1" applyFont="1" applyFill="1" applyBorder="1">
      <alignment/>
      <protection/>
    </xf>
    <xf numFmtId="3" fontId="36" fillId="0" borderId="53" xfId="72" applyNumberFormat="1" applyFont="1" applyFill="1" applyBorder="1">
      <alignment/>
      <protection/>
    </xf>
    <xf numFmtId="3" fontId="36" fillId="0" borderId="77" xfId="72" applyNumberFormat="1" applyFont="1" applyFill="1" applyBorder="1">
      <alignment/>
      <protection/>
    </xf>
    <xf numFmtId="3" fontId="36" fillId="0" borderId="47" xfId="72" applyNumberFormat="1" applyFont="1" applyFill="1" applyBorder="1">
      <alignment/>
      <protection/>
    </xf>
    <xf numFmtId="3" fontId="83" fillId="0" borderId="17" xfId="72" applyNumberFormat="1" applyFont="1" applyFill="1" applyBorder="1">
      <alignment/>
      <protection/>
    </xf>
    <xf numFmtId="3" fontId="83" fillId="0" borderId="50" xfId="72" applyNumberFormat="1" applyFont="1" applyFill="1" applyBorder="1">
      <alignment/>
      <protection/>
    </xf>
    <xf numFmtId="3" fontId="83" fillId="0" borderId="39" xfId="72" applyNumberFormat="1" applyFont="1" applyFill="1" applyBorder="1">
      <alignment/>
      <protection/>
    </xf>
    <xf numFmtId="3" fontId="83" fillId="0" borderId="40" xfId="72" applyNumberFormat="1" applyFont="1" applyFill="1" applyBorder="1">
      <alignment/>
      <protection/>
    </xf>
    <xf numFmtId="3" fontId="83" fillId="0" borderId="60" xfId="72" applyNumberFormat="1" applyFont="1" applyFill="1" applyBorder="1">
      <alignment/>
      <protection/>
    </xf>
    <xf numFmtId="3" fontId="36" fillId="0" borderId="60" xfId="72" applyNumberFormat="1" applyFont="1" applyFill="1" applyBorder="1">
      <alignment/>
      <protection/>
    </xf>
    <xf numFmtId="3" fontId="83" fillId="0" borderId="25" xfId="72" applyNumberFormat="1" applyFont="1" applyFill="1" applyBorder="1">
      <alignment/>
      <protection/>
    </xf>
    <xf numFmtId="182" fontId="36" fillId="0" borderId="0" xfId="72" applyNumberFormat="1" applyFont="1" applyFill="1">
      <alignment/>
      <protection/>
    </xf>
    <xf numFmtId="0" fontId="34" fillId="0" borderId="0" xfId="59" applyFill="1">
      <alignment/>
      <protection/>
    </xf>
    <xf numFmtId="0" fontId="34" fillId="0" borderId="0" xfId="59">
      <alignment/>
      <protection/>
    </xf>
    <xf numFmtId="14" fontId="100" fillId="0" borderId="0" xfId="59" applyNumberFormat="1" applyFont="1" applyAlignment="1">
      <alignment horizontal="left"/>
      <protection/>
    </xf>
    <xf numFmtId="0" fontId="101" fillId="0" borderId="0" xfId="59" applyFont="1" applyFill="1">
      <alignment/>
      <protection/>
    </xf>
    <xf numFmtId="0" fontId="101" fillId="0" borderId="0" xfId="59" applyFont="1">
      <alignment/>
      <protection/>
    </xf>
    <xf numFmtId="0" fontId="34" fillId="0" borderId="0" xfId="59" applyAlignment="1">
      <alignment horizontal="right"/>
      <protection/>
    </xf>
    <xf numFmtId="0" fontId="34" fillId="0" borderId="0" xfId="59" applyBorder="1">
      <alignment/>
      <protection/>
    </xf>
    <xf numFmtId="3" fontId="29" fillId="0" borderId="0" xfId="59" applyNumberFormat="1" applyFont="1" applyFill="1" applyBorder="1">
      <alignment/>
      <protection/>
    </xf>
    <xf numFmtId="4" fontId="34" fillId="0" borderId="0" xfId="59" applyNumberFormat="1" applyFill="1" applyBorder="1">
      <alignment/>
      <protection/>
    </xf>
    <xf numFmtId="0" fontId="34" fillId="0" borderId="0" xfId="59" applyFill="1" applyBorder="1">
      <alignment/>
      <protection/>
    </xf>
    <xf numFmtId="0" fontId="27" fillId="0" borderId="0" xfId="59" applyFont="1">
      <alignment/>
      <protection/>
    </xf>
    <xf numFmtId="0" fontId="29" fillId="0" borderId="0" xfId="59" applyFont="1" applyFill="1">
      <alignment/>
      <protection/>
    </xf>
    <xf numFmtId="3" fontId="34" fillId="0" borderId="0" xfId="59" applyNumberFormat="1">
      <alignment/>
      <protection/>
    </xf>
    <xf numFmtId="0" fontId="34" fillId="0" borderId="0" xfId="59" applyFont="1">
      <alignment/>
      <protection/>
    </xf>
    <xf numFmtId="14" fontId="34" fillId="0" borderId="82" xfId="59" applyNumberFormat="1" applyFont="1" applyBorder="1">
      <alignment/>
      <protection/>
    </xf>
    <xf numFmtId="0" fontId="43" fillId="0" borderId="33" xfId="59" applyFont="1" applyFill="1" applyBorder="1" applyAlignment="1">
      <alignment horizontal="center"/>
      <protection/>
    </xf>
    <xf numFmtId="0" fontId="43" fillId="0" borderId="33" xfId="59" applyFont="1" applyBorder="1" applyAlignment="1">
      <alignment horizontal="center"/>
      <protection/>
    </xf>
    <xf numFmtId="0" fontId="43" fillId="0" borderId="70" xfId="59" applyFont="1" applyBorder="1" applyAlignment="1">
      <alignment horizontal="center"/>
      <protection/>
    </xf>
    <xf numFmtId="0" fontId="34" fillId="0" borderId="80" xfId="59" applyFont="1" applyBorder="1">
      <alignment/>
      <protection/>
    </xf>
    <xf numFmtId="0" fontId="43" fillId="0" borderId="81" xfId="59" applyFont="1" applyFill="1" applyBorder="1" applyAlignment="1">
      <alignment horizontal="center"/>
      <protection/>
    </xf>
    <xf numFmtId="0" fontId="43" fillId="0" borderId="33" xfId="59" applyFont="1" applyBorder="1" applyAlignment="1">
      <alignment horizontal="centerContinuous"/>
      <protection/>
    </xf>
    <xf numFmtId="0" fontId="43" fillId="0" borderId="70" xfId="59" applyFont="1" applyBorder="1" applyAlignment="1">
      <alignment horizontal="centerContinuous"/>
      <protection/>
    </xf>
    <xf numFmtId="0" fontId="43" fillId="0" borderId="80" xfId="59" applyFont="1" applyBorder="1" applyAlignment="1">
      <alignment horizontal="left"/>
      <protection/>
    </xf>
    <xf numFmtId="0" fontId="43" fillId="0" borderId="85" xfId="59" applyFont="1" applyFill="1" applyBorder="1" applyAlignment="1">
      <alignment horizontal="center"/>
      <protection/>
    </xf>
    <xf numFmtId="0" fontId="43" fillId="0" borderId="19" xfId="59" applyFont="1" applyBorder="1" applyAlignment="1">
      <alignment horizontal="center"/>
      <protection/>
    </xf>
    <xf numFmtId="0" fontId="43" fillId="0" borderId="60" xfId="59" applyFont="1" applyBorder="1" applyAlignment="1">
      <alignment horizontal="center"/>
      <protection/>
    </xf>
    <xf numFmtId="0" fontId="34" fillId="0" borderId="82" xfId="59" applyFont="1" applyFill="1" applyBorder="1">
      <alignment/>
      <protection/>
    </xf>
    <xf numFmtId="3" fontId="34" fillId="0" borderId="89" xfId="59" applyNumberFormat="1" applyFont="1" applyFill="1" applyBorder="1">
      <alignment/>
      <protection/>
    </xf>
    <xf numFmtId="3" fontId="34" fillId="0" borderId="87" xfId="59" applyNumberFormat="1" applyFont="1" applyFill="1" applyBorder="1">
      <alignment/>
      <protection/>
    </xf>
    <xf numFmtId="4" fontId="34" fillId="0" borderId="71" xfId="59" applyNumberFormat="1" applyFont="1" applyFill="1" applyBorder="1">
      <alignment/>
      <protection/>
    </xf>
    <xf numFmtId="3" fontId="34" fillId="0" borderId="71" xfId="59" applyNumberFormat="1" applyFont="1" applyFill="1" applyBorder="1">
      <alignment/>
      <protection/>
    </xf>
    <xf numFmtId="4" fontId="34" fillId="0" borderId="91" xfId="59" applyNumberFormat="1" applyFont="1" applyFill="1" applyBorder="1">
      <alignment/>
      <protection/>
    </xf>
    <xf numFmtId="0" fontId="34" fillId="0" borderId="66" xfId="59" applyFont="1" applyFill="1" applyBorder="1">
      <alignment/>
      <protection/>
    </xf>
    <xf numFmtId="3" fontId="34" fillId="0" borderId="66" xfId="59" applyNumberFormat="1" applyFont="1" applyFill="1" applyBorder="1">
      <alignment/>
      <protection/>
    </xf>
    <xf numFmtId="3" fontId="34" fillId="0" borderId="93" xfId="59" applyNumberFormat="1" applyFont="1" applyFill="1" applyBorder="1">
      <alignment/>
      <protection/>
    </xf>
    <xf numFmtId="4" fontId="34" fillId="0" borderId="66" xfId="59" applyNumberFormat="1" applyFont="1" applyFill="1" applyBorder="1">
      <alignment/>
      <protection/>
    </xf>
    <xf numFmtId="0" fontId="34" fillId="0" borderId="95" xfId="59" applyFont="1" applyFill="1" applyBorder="1">
      <alignment/>
      <protection/>
    </xf>
    <xf numFmtId="3" fontId="34" fillId="0" borderId="81" xfId="59" applyNumberFormat="1" applyFont="1" applyFill="1" applyBorder="1">
      <alignment/>
      <protection/>
    </xf>
    <xf numFmtId="3" fontId="34" fillId="0" borderId="75" xfId="59" applyNumberFormat="1" applyFont="1" applyFill="1" applyBorder="1">
      <alignment/>
      <protection/>
    </xf>
    <xf numFmtId="4" fontId="34" fillId="0" borderId="80" xfId="59" applyNumberFormat="1" applyFont="1" applyFill="1" applyBorder="1">
      <alignment/>
      <protection/>
    </xf>
    <xf numFmtId="3" fontId="34" fillId="0" borderId="80" xfId="59" applyNumberFormat="1" applyFont="1" applyFill="1" applyBorder="1">
      <alignment/>
      <protection/>
    </xf>
    <xf numFmtId="4" fontId="34" fillId="0" borderId="81" xfId="59" applyNumberFormat="1" applyFont="1" applyFill="1" applyBorder="1">
      <alignment/>
      <protection/>
    </xf>
    <xf numFmtId="0" fontId="106" fillId="0" borderId="60" xfId="59" applyFont="1" applyFill="1" applyBorder="1">
      <alignment/>
      <protection/>
    </xf>
    <xf numFmtId="3" fontId="34" fillId="0" borderId="60" xfId="59" applyNumberFormat="1" applyFont="1" applyFill="1" applyBorder="1">
      <alignment/>
      <protection/>
    </xf>
    <xf numFmtId="3" fontId="34" fillId="0" borderId="17" xfId="59" applyNumberFormat="1" applyFont="1" applyFill="1" applyBorder="1">
      <alignment/>
      <protection/>
    </xf>
    <xf numFmtId="4" fontId="34" fillId="0" borderId="60" xfId="59" applyNumberFormat="1" applyFont="1" applyFill="1" applyBorder="1">
      <alignment/>
      <protection/>
    </xf>
    <xf numFmtId="4" fontId="34" fillId="0" borderId="19" xfId="59" applyNumberFormat="1" applyFont="1" applyFill="1" applyBorder="1">
      <alignment/>
      <protection/>
    </xf>
    <xf numFmtId="0" fontId="34" fillId="0" borderId="62" xfId="59" applyFont="1" applyFill="1" applyBorder="1">
      <alignment/>
      <protection/>
    </xf>
    <xf numFmtId="3" fontId="34" fillId="0" borderId="74" xfId="59" applyNumberFormat="1" applyFont="1" applyFill="1" applyBorder="1">
      <alignment/>
      <protection/>
    </xf>
    <xf numFmtId="3" fontId="34" fillId="0" borderId="73" xfId="59" applyNumberFormat="1" applyFont="1" applyFill="1" applyBorder="1">
      <alignment/>
      <protection/>
    </xf>
    <xf numFmtId="4" fontId="34" fillId="0" borderId="62" xfId="59" applyNumberFormat="1" applyFont="1" applyFill="1" applyBorder="1">
      <alignment/>
      <protection/>
    </xf>
    <xf numFmtId="3" fontId="34" fillId="0" borderId="62" xfId="59" applyNumberFormat="1" applyFont="1" applyFill="1" applyBorder="1">
      <alignment/>
      <protection/>
    </xf>
    <xf numFmtId="4" fontId="34" fillId="0" borderId="74" xfId="59" applyNumberFormat="1" applyFont="1" applyFill="1" applyBorder="1">
      <alignment/>
      <protection/>
    </xf>
    <xf numFmtId="0" fontId="34" fillId="0" borderId="76" xfId="59" applyFont="1" applyFill="1" applyBorder="1">
      <alignment/>
      <protection/>
    </xf>
    <xf numFmtId="3" fontId="34" fillId="0" borderId="76" xfId="59" applyNumberFormat="1" applyFont="1" applyFill="1" applyBorder="1">
      <alignment/>
      <protection/>
    </xf>
    <xf numFmtId="3" fontId="34" fillId="0" borderId="78" xfId="59" applyNumberFormat="1" applyFont="1" applyFill="1" applyBorder="1">
      <alignment/>
      <protection/>
    </xf>
    <xf numFmtId="4" fontId="34" fillId="0" borderId="76" xfId="59" applyNumberFormat="1" applyFont="1" applyFill="1" applyBorder="1">
      <alignment/>
      <protection/>
    </xf>
    <xf numFmtId="4" fontId="34" fillId="0" borderId="79" xfId="59" applyNumberFormat="1" applyFont="1" applyFill="1" applyBorder="1">
      <alignment/>
      <protection/>
    </xf>
    <xf numFmtId="3" fontId="34" fillId="0" borderId="99" xfId="59" applyNumberFormat="1" applyFont="1" applyFill="1" applyBorder="1">
      <alignment/>
      <protection/>
    </xf>
    <xf numFmtId="3" fontId="34" fillId="0" borderId="98" xfId="59" applyNumberFormat="1" applyFont="1" applyFill="1" applyBorder="1">
      <alignment/>
      <protection/>
    </xf>
    <xf numFmtId="3" fontId="34" fillId="0" borderId="95" xfId="59" applyNumberFormat="1" applyFont="1" applyFill="1" applyBorder="1">
      <alignment/>
      <protection/>
    </xf>
    <xf numFmtId="0" fontId="34" fillId="0" borderId="76" xfId="59" applyFont="1" applyBorder="1">
      <alignment/>
      <protection/>
    </xf>
    <xf numFmtId="4" fontId="34" fillId="0" borderId="95" xfId="59" applyNumberFormat="1" applyFont="1" applyFill="1" applyBorder="1">
      <alignment/>
      <protection/>
    </xf>
    <xf numFmtId="4" fontId="34" fillId="0" borderId="99" xfId="59" applyNumberFormat="1" applyFont="1" applyFill="1" applyBorder="1">
      <alignment/>
      <protection/>
    </xf>
    <xf numFmtId="3" fontId="34" fillId="0" borderId="19" xfId="59" applyNumberFormat="1" applyFont="1" applyFill="1" applyBorder="1">
      <alignment/>
      <protection/>
    </xf>
    <xf numFmtId="3" fontId="34" fillId="0" borderId="91" xfId="59" applyNumberFormat="1" applyFont="1" applyFill="1" applyBorder="1">
      <alignment/>
      <protection/>
    </xf>
    <xf numFmtId="4" fontId="34" fillId="0" borderId="66" xfId="59" applyNumberFormat="1" applyFont="1" applyBorder="1">
      <alignment/>
      <protection/>
    </xf>
    <xf numFmtId="3" fontId="34" fillId="0" borderId="66" xfId="59" applyNumberFormat="1" applyFont="1" applyBorder="1">
      <alignment/>
      <protection/>
    </xf>
    <xf numFmtId="4" fontId="34" fillId="0" borderId="91" xfId="59" applyNumberFormat="1" applyFont="1" applyBorder="1">
      <alignment/>
      <protection/>
    </xf>
    <xf numFmtId="0" fontId="34" fillId="0" borderId="80" xfId="59" applyFont="1" applyFill="1" applyBorder="1">
      <alignment/>
      <protection/>
    </xf>
    <xf numFmtId="4" fontId="34" fillId="0" borderId="95" xfId="59" applyNumberFormat="1" applyFont="1" applyBorder="1">
      <alignment/>
      <protection/>
    </xf>
    <xf numFmtId="3" fontId="34" fillId="0" borderId="76" xfId="59" applyNumberFormat="1" applyFont="1" applyBorder="1">
      <alignment/>
      <protection/>
    </xf>
    <xf numFmtId="4" fontId="34" fillId="0" borderId="79" xfId="59" applyNumberFormat="1" applyFont="1" applyBorder="1">
      <alignment/>
      <protection/>
    </xf>
    <xf numFmtId="4" fontId="34" fillId="0" borderId="60" xfId="59" applyNumberFormat="1" applyFont="1" applyBorder="1">
      <alignment/>
      <protection/>
    </xf>
    <xf numFmtId="4" fontId="34" fillId="0" borderId="85" xfId="59" applyNumberFormat="1" applyFont="1" applyBorder="1">
      <alignment/>
      <protection/>
    </xf>
    <xf numFmtId="3" fontId="34" fillId="0" borderId="70" xfId="59" applyNumberFormat="1" applyFont="1" applyFill="1" applyBorder="1">
      <alignment/>
      <protection/>
    </xf>
    <xf numFmtId="3" fontId="34" fillId="0" borderId="83" xfId="59" applyNumberFormat="1" applyFont="1" applyFill="1" applyBorder="1">
      <alignment/>
      <protection/>
    </xf>
    <xf numFmtId="4" fontId="34" fillId="0" borderId="82" xfId="59" applyNumberFormat="1" applyFont="1" applyBorder="1">
      <alignment/>
      <protection/>
    </xf>
    <xf numFmtId="3" fontId="34" fillId="0" borderId="82" xfId="59" applyNumberFormat="1" applyFont="1" applyBorder="1">
      <alignment/>
      <protection/>
    </xf>
    <xf numFmtId="4" fontId="34" fillId="0" borderId="70" xfId="59" applyNumberFormat="1" applyFont="1" applyBorder="1">
      <alignment/>
      <protection/>
    </xf>
    <xf numFmtId="3" fontId="34" fillId="0" borderId="79" xfId="59" applyNumberFormat="1" applyFont="1" applyFill="1" applyBorder="1">
      <alignment/>
      <protection/>
    </xf>
    <xf numFmtId="4" fontId="34" fillId="0" borderId="76" xfId="59" applyNumberFormat="1" applyFont="1" applyBorder="1">
      <alignment/>
      <protection/>
    </xf>
    <xf numFmtId="4" fontId="34" fillId="0" borderId="62" xfId="59" applyNumberFormat="1" applyFont="1" applyBorder="1">
      <alignment/>
      <protection/>
    </xf>
    <xf numFmtId="3" fontId="34" fillId="0" borderId="62" xfId="59" applyNumberFormat="1" applyFont="1" applyBorder="1">
      <alignment/>
      <protection/>
    </xf>
    <xf numFmtId="4" fontId="34" fillId="0" borderId="74" xfId="59" applyNumberFormat="1" applyFont="1" applyBorder="1">
      <alignment/>
      <protection/>
    </xf>
    <xf numFmtId="4" fontId="34" fillId="0" borderId="99" xfId="59" applyNumberFormat="1" applyFont="1" applyBorder="1">
      <alignment/>
      <protection/>
    </xf>
    <xf numFmtId="4" fontId="34" fillId="0" borderId="19" xfId="59" applyNumberFormat="1" applyFont="1" applyBorder="1">
      <alignment/>
      <protection/>
    </xf>
    <xf numFmtId="0" fontId="43" fillId="0" borderId="60" xfId="59" applyFont="1" applyFill="1" applyBorder="1">
      <alignment/>
      <protection/>
    </xf>
    <xf numFmtId="3" fontId="43" fillId="0" borderId="19" xfId="59" applyNumberFormat="1" applyFont="1" applyFill="1" applyBorder="1">
      <alignment/>
      <protection/>
    </xf>
    <xf numFmtId="4" fontId="43" fillId="0" borderId="60" xfId="59" applyNumberFormat="1" applyFont="1" applyBorder="1">
      <alignment/>
      <protection/>
    </xf>
    <xf numFmtId="4" fontId="43" fillId="0" borderId="19" xfId="59" applyNumberFormat="1" applyFont="1" applyBorder="1">
      <alignment/>
      <protection/>
    </xf>
    <xf numFmtId="0" fontId="34" fillId="0" borderId="0" xfId="71" applyFont="1" applyFill="1" applyAlignment="1" applyProtection="1">
      <alignment/>
      <protection locked="0"/>
    </xf>
    <xf numFmtId="0" fontId="83" fillId="0" borderId="0" xfId="55" applyFont="1">
      <alignment/>
      <protection/>
    </xf>
    <xf numFmtId="0" fontId="83" fillId="0" borderId="0" xfId="55" applyFont="1" applyAlignment="1">
      <alignment horizontal="right"/>
      <protection/>
    </xf>
    <xf numFmtId="0" fontId="34" fillId="0" borderId="0" xfId="55" applyFill="1">
      <alignment/>
      <protection/>
    </xf>
    <xf numFmtId="0" fontId="35" fillId="0" borderId="0" xfId="55" applyFont="1">
      <alignment/>
      <protection/>
    </xf>
    <xf numFmtId="0" fontId="35" fillId="0" borderId="0" xfId="55" applyFont="1" applyAlignment="1">
      <alignment horizontal="center"/>
      <protection/>
    </xf>
    <xf numFmtId="0" fontId="34" fillId="0" borderId="0" xfId="55" applyAlignment="1">
      <alignment horizontal="right"/>
      <protection/>
    </xf>
    <xf numFmtId="0" fontId="102" fillId="0" borderId="54" xfId="55" applyFont="1" applyBorder="1" applyAlignment="1">
      <alignment horizontal="center"/>
      <protection/>
    </xf>
    <xf numFmtId="0" fontId="107" fillId="0" borderId="55" xfId="55" applyFont="1" applyBorder="1" applyAlignment="1">
      <alignment horizontal="center" wrapText="1"/>
      <protection/>
    </xf>
    <xf numFmtId="0" fontId="102" fillId="0" borderId="55" xfId="55" applyFont="1" applyBorder="1" applyAlignment="1">
      <alignment horizontal="center" wrapText="1"/>
      <protection/>
    </xf>
    <xf numFmtId="0" fontId="102" fillId="0" borderId="112" xfId="55" applyFont="1" applyFill="1" applyBorder="1" applyAlignment="1">
      <alignment horizontal="center" wrapText="1"/>
      <protection/>
    </xf>
    <xf numFmtId="0" fontId="102" fillId="0" borderId="55" xfId="55" applyFont="1" applyFill="1" applyBorder="1" applyAlignment="1">
      <alignment horizontal="center" wrapText="1"/>
      <protection/>
    </xf>
    <xf numFmtId="0" fontId="102" fillId="0" borderId="70" xfId="55" applyFont="1" applyFill="1" applyBorder="1" applyAlignment="1">
      <alignment horizontal="center" wrapText="1"/>
      <protection/>
    </xf>
    <xf numFmtId="0" fontId="107" fillId="0" borderId="43" xfId="55" applyFont="1" applyBorder="1" applyAlignment="1">
      <alignment horizontal="center"/>
      <protection/>
    </xf>
    <xf numFmtId="0" fontId="107" fillId="0" borderId="44" xfId="55" applyFont="1" applyBorder="1">
      <alignment/>
      <protection/>
    </xf>
    <xf numFmtId="0" fontId="10" fillId="0" borderId="44" xfId="55" applyFont="1" applyBorder="1">
      <alignment/>
      <protection/>
    </xf>
    <xf numFmtId="0" fontId="45" fillId="0" borderId="44" xfId="55" applyFont="1" applyBorder="1">
      <alignment/>
      <protection/>
    </xf>
    <xf numFmtId="0" fontId="45" fillId="0" borderId="101" xfId="55" applyFont="1" applyBorder="1">
      <alignment/>
      <protection/>
    </xf>
    <xf numFmtId="0" fontId="45" fillId="0" borderId="44" xfId="55" applyFont="1" applyFill="1" applyBorder="1">
      <alignment/>
      <protection/>
    </xf>
    <xf numFmtId="0" fontId="45" fillId="0" borderId="89" xfId="55" applyFont="1" applyFill="1" applyBorder="1">
      <alignment/>
      <protection/>
    </xf>
    <xf numFmtId="0" fontId="102" fillId="0" borderId="108" xfId="55" applyFont="1" applyBorder="1">
      <alignment/>
      <protection/>
    </xf>
    <xf numFmtId="3" fontId="107" fillId="0" borderId="37" xfId="55" applyNumberFormat="1" applyFont="1" applyBorder="1">
      <alignment/>
      <protection/>
    </xf>
    <xf numFmtId="3" fontId="102" fillId="0" borderId="37" xfId="55" applyNumberFormat="1" applyFont="1" applyFill="1" applyBorder="1">
      <alignment/>
      <protection/>
    </xf>
    <xf numFmtId="3" fontId="102" fillId="0" borderId="107" xfId="55" applyNumberFormat="1" applyFont="1" applyBorder="1">
      <alignment/>
      <protection/>
    </xf>
    <xf numFmtId="3" fontId="102" fillId="0" borderId="107" xfId="55" applyNumberFormat="1" applyFont="1" applyFill="1" applyBorder="1">
      <alignment/>
      <protection/>
    </xf>
    <xf numFmtId="3" fontId="102" fillId="0" borderId="91" xfId="55" applyNumberFormat="1" applyFont="1" applyFill="1" applyBorder="1">
      <alignment/>
      <protection/>
    </xf>
    <xf numFmtId="0" fontId="10" fillId="0" borderId="108" xfId="55" applyFont="1" applyBorder="1">
      <alignment/>
      <protection/>
    </xf>
    <xf numFmtId="3" fontId="35" fillId="0" borderId="37" xfId="55" applyNumberFormat="1" applyFont="1" applyBorder="1">
      <alignment/>
      <protection/>
    </xf>
    <xf numFmtId="3" fontId="10" fillId="0" borderId="37" xfId="55" applyNumberFormat="1" applyFont="1" applyFill="1" applyBorder="1">
      <alignment/>
      <protection/>
    </xf>
    <xf numFmtId="3" fontId="10" fillId="0" borderId="107" xfId="55" applyNumberFormat="1" applyFont="1" applyFill="1" applyBorder="1">
      <alignment/>
      <protection/>
    </xf>
    <xf numFmtId="3" fontId="10" fillId="0" borderId="91" xfId="55" applyNumberFormat="1" applyFont="1" applyFill="1" applyBorder="1">
      <alignment/>
      <protection/>
    </xf>
    <xf numFmtId="3" fontId="34" fillId="0" borderId="0" xfId="55" applyNumberFormat="1" applyFill="1">
      <alignment/>
      <protection/>
    </xf>
    <xf numFmtId="3" fontId="10" fillId="0" borderId="37" xfId="55" applyNumberFormat="1" applyFont="1" applyBorder="1" applyAlignment="1">
      <alignment horizontal="center"/>
      <protection/>
    </xf>
    <xf numFmtId="3" fontId="10" fillId="0" borderId="107" xfId="55" applyNumberFormat="1" applyFont="1" applyFill="1" applyBorder="1" applyAlignment="1">
      <alignment horizontal="center"/>
      <protection/>
    </xf>
    <xf numFmtId="3" fontId="10" fillId="0" borderId="37" xfId="55" applyNumberFormat="1" applyFont="1" applyFill="1" applyBorder="1" applyAlignment="1">
      <alignment horizontal="center"/>
      <protection/>
    </xf>
    <xf numFmtId="0" fontId="34" fillId="0" borderId="0" xfId="55" applyFont="1" applyFill="1">
      <alignment/>
      <protection/>
    </xf>
    <xf numFmtId="4" fontId="34" fillId="0" borderId="0" xfId="55" applyNumberFormat="1" applyFill="1">
      <alignment/>
      <protection/>
    </xf>
    <xf numFmtId="0" fontId="35" fillId="0" borderId="37" xfId="55" applyFont="1" applyBorder="1">
      <alignment/>
      <protection/>
    </xf>
    <xf numFmtId="0" fontId="10" fillId="0" borderId="37" xfId="55" applyFont="1" applyBorder="1">
      <alignment/>
      <protection/>
    </xf>
    <xf numFmtId="0" fontId="45" fillId="0" borderId="37" xfId="55" applyFont="1" applyBorder="1">
      <alignment/>
      <protection/>
    </xf>
    <xf numFmtId="3" fontId="45" fillId="0" borderId="107" xfId="55" applyNumberFormat="1" applyFont="1" applyBorder="1">
      <alignment/>
      <protection/>
    </xf>
    <xf numFmtId="3" fontId="45" fillId="0" borderId="107" xfId="55" applyNumberFormat="1" applyFont="1" applyFill="1" applyBorder="1">
      <alignment/>
      <protection/>
    </xf>
    <xf numFmtId="3" fontId="45" fillId="0" borderId="37" xfId="55" applyNumberFormat="1" applyFont="1" applyFill="1" applyBorder="1">
      <alignment/>
      <protection/>
    </xf>
    <xf numFmtId="3" fontId="45" fillId="0" borderId="91" xfId="55" applyNumberFormat="1" applyFont="1" applyFill="1" applyBorder="1">
      <alignment/>
      <protection/>
    </xf>
    <xf numFmtId="3" fontId="102" fillId="0" borderId="37" xfId="55" applyNumberFormat="1" applyFont="1" applyBorder="1">
      <alignment/>
      <protection/>
    </xf>
    <xf numFmtId="0" fontId="107" fillId="0" borderId="0" xfId="55" applyFont="1" applyFill="1">
      <alignment/>
      <protection/>
    </xf>
    <xf numFmtId="0" fontId="107" fillId="0" borderId="0" xfId="55" applyFont="1">
      <alignment/>
      <protection/>
    </xf>
    <xf numFmtId="3" fontId="102" fillId="0" borderId="37" xfId="55" applyNumberFormat="1" applyFont="1" applyFill="1" applyBorder="1" applyAlignment="1">
      <alignment horizontal="right"/>
      <protection/>
    </xf>
    <xf numFmtId="3" fontId="102" fillId="0" borderId="37" xfId="55" applyNumberFormat="1" applyFont="1" applyFill="1" applyBorder="1" applyAlignment="1">
      <alignment horizontal="center"/>
      <protection/>
    </xf>
    <xf numFmtId="3" fontId="102" fillId="0" borderId="91" xfId="55" applyNumberFormat="1" applyFont="1" applyFill="1" applyBorder="1" applyAlignment="1">
      <alignment horizontal="center"/>
      <protection/>
    </xf>
    <xf numFmtId="3" fontId="107" fillId="0" borderId="0" xfId="55" applyNumberFormat="1" applyFont="1" applyFill="1">
      <alignment/>
      <protection/>
    </xf>
    <xf numFmtId="3" fontId="10" fillId="0" borderId="37" xfId="55" applyNumberFormat="1" applyFont="1" applyBorder="1">
      <alignment/>
      <protection/>
    </xf>
    <xf numFmtId="3" fontId="10" fillId="0" borderId="107" xfId="55" applyNumberFormat="1" applyFont="1" applyBorder="1">
      <alignment/>
      <protection/>
    </xf>
    <xf numFmtId="3" fontId="45" fillId="0" borderId="37" xfId="55" applyNumberFormat="1" applyFont="1" applyBorder="1">
      <alignment/>
      <protection/>
    </xf>
    <xf numFmtId="0" fontId="34" fillId="0" borderId="37" xfId="55" applyBorder="1">
      <alignment/>
      <protection/>
    </xf>
    <xf numFmtId="3" fontId="34" fillId="0" borderId="107" xfId="55" applyNumberFormat="1" applyBorder="1">
      <alignment/>
      <protection/>
    </xf>
    <xf numFmtId="3" fontId="34" fillId="0" borderId="107" xfId="55" applyNumberFormat="1" applyFill="1" applyBorder="1">
      <alignment/>
      <protection/>
    </xf>
    <xf numFmtId="0" fontId="34" fillId="0" borderId="37" xfId="55" applyFill="1" applyBorder="1">
      <alignment/>
      <protection/>
    </xf>
    <xf numFmtId="0" fontId="34" fillId="0" borderId="91" xfId="55" applyFill="1" applyBorder="1">
      <alignment/>
      <protection/>
    </xf>
    <xf numFmtId="2" fontId="35" fillId="0" borderId="37" xfId="55" applyNumberFormat="1" applyFont="1" applyBorder="1">
      <alignment/>
      <protection/>
    </xf>
    <xf numFmtId="2" fontId="10" fillId="0" borderId="37" xfId="55" applyNumberFormat="1" applyFont="1" applyBorder="1">
      <alignment/>
      <protection/>
    </xf>
    <xf numFmtId="2" fontId="10" fillId="0" borderId="107" xfId="55" applyNumberFormat="1" applyFont="1" applyFill="1" applyBorder="1">
      <alignment/>
      <protection/>
    </xf>
    <xf numFmtId="2" fontId="10" fillId="0" borderId="37" xfId="55" applyNumberFormat="1" applyFont="1" applyFill="1" applyBorder="1">
      <alignment/>
      <protection/>
    </xf>
    <xf numFmtId="2" fontId="10" fillId="0" borderId="37" xfId="55" applyNumberFormat="1" applyFont="1" applyFill="1" applyBorder="1" applyAlignment="1">
      <alignment horizontal="right"/>
      <protection/>
    </xf>
    <xf numFmtId="2" fontId="10" fillId="0" borderId="91" xfId="55" applyNumberFormat="1" applyFont="1" applyFill="1" applyBorder="1">
      <alignment/>
      <protection/>
    </xf>
    <xf numFmtId="2" fontId="10" fillId="0" borderId="107" xfId="55" applyNumberFormat="1" applyFont="1" applyFill="1" applyBorder="1" applyAlignment="1">
      <alignment horizontal="right"/>
      <protection/>
    </xf>
    <xf numFmtId="2" fontId="10" fillId="0" borderId="91" xfId="55" applyNumberFormat="1" applyFont="1" applyFill="1" applyBorder="1" applyAlignment="1">
      <alignment horizontal="right"/>
      <protection/>
    </xf>
    <xf numFmtId="2" fontId="10" fillId="0" borderId="107" xfId="55" applyNumberFormat="1" applyFont="1" applyBorder="1" applyAlignment="1">
      <alignment horizontal="right"/>
      <protection/>
    </xf>
    <xf numFmtId="0" fontId="45" fillId="0" borderId="37" xfId="55" applyFont="1" applyFill="1" applyBorder="1">
      <alignment/>
      <protection/>
    </xf>
    <xf numFmtId="0" fontId="45" fillId="0" borderId="37" xfId="55" applyFont="1" applyFill="1" applyBorder="1" applyAlignment="1">
      <alignment horizontal="right"/>
      <protection/>
    </xf>
    <xf numFmtId="0" fontId="45" fillId="0" borderId="91" xfId="55" applyFont="1" applyFill="1" applyBorder="1">
      <alignment/>
      <protection/>
    </xf>
    <xf numFmtId="3" fontId="10" fillId="0" borderId="37" xfId="55" applyNumberFormat="1" applyFont="1" applyFill="1" applyBorder="1" applyAlignment="1">
      <alignment horizontal="right"/>
      <protection/>
    </xf>
    <xf numFmtId="2" fontId="10" fillId="0" borderId="107" xfId="55" applyNumberFormat="1" applyFont="1" applyBorder="1">
      <alignment/>
      <protection/>
    </xf>
    <xf numFmtId="0" fontId="10" fillId="0" borderId="53" xfId="55" applyFont="1" applyBorder="1">
      <alignment/>
      <protection/>
    </xf>
    <xf numFmtId="0" fontId="35" fillId="0" borderId="46" xfId="55" applyFont="1" applyBorder="1">
      <alignment/>
      <protection/>
    </xf>
    <xf numFmtId="2" fontId="35" fillId="0" borderId="46" xfId="55" applyNumberFormat="1" applyFont="1" applyBorder="1">
      <alignment/>
      <protection/>
    </xf>
    <xf numFmtId="4" fontId="10" fillId="0" borderId="46" xfId="55" applyNumberFormat="1" applyFont="1" applyBorder="1">
      <alignment/>
      <protection/>
    </xf>
    <xf numFmtId="4" fontId="10" fillId="0" borderId="46" xfId="55" applyNumberFormat="1" applyFont="1" applyFill="1" applyBorder="1">
      <alignment/>
      <protection/>
    </xf>
    <xf numFmtId="4" fontId="10" fillId="0" borderId="46" xfId="55" applyNumberFormat="1" applyFont="1" applyFill="1" applyBorder="1" applyAlignment="1">
      <alignment horizontal="right"/>
      <protection/>
    </xf>
    <xf numFmtId="4" fontId="10" fillId="0" borderId="79" xfId="55" applyNumberFormat="1" applyFont="1" applyFill="1" applyBorder="1">
      <alignment/>
      <protection/>
    </xf>
    <xf numFmtId="0" fontId="10" fillId="0" borderId="0" xfId="55" applyFont="1" applyBorder="1">
      <alignment/>
      <protection/>
    </xf>
    <xf numFmtId="0" fontId="35" fillId="0" borderId="0" xfId="55" applyFont="1" applyBorder="1">
      <alignment/>
      <protection/>
    </xf>
    <xf numFmtId="2" fontId="35" fillId="0" borderId="0" xfId="55" applyNumberFormat="1" applyFont="1" applyBorder="1">
      <alignment/>
      <protection/>
    </xf>
    <xf numFmtId="4" fontId="10" fillId="0" borderId="0" xfId="55" applyNumberFormat="1" applyFont="1" applyBorder="1">
      <alignment/>
      <protection/>
    </xf>
    <xf numFmtId="4" fontId="10" fillId="0" borderId="0" xfId="55" applyNumberFormat="1" applyFont="1" applyFill="1" applyBorder="1">
      <alignment/>
      <protection/>
    </xf>
    <xf numFmtId="0" fontId="34" fillId="0" borderId="0" xfId="55" applyBorder="1">
      <alignment/>
      <protection/>
    </xf>
    <xf numFmtId="0" fontId="35" fillId="0" borderId="0" xfId="55" applyFont="1" applyFill="1" applyBorder="1">
      <alignment/>
      <protection/>
    </xf>
    <xf numFmtId="0" fontId="35" fillId="0" borderId="0" xfId="55" applyFont="1" applyFill="1">
      <alignment/>
      <protection/>
    </xf>
    <xf numFmtId="0" fontId="34" fillId="0" borderId="0" xfId="55" applyBorder="1" applyAlignment="1">
      <alignment/>
      <protection/>
    </xf>
    <xf numFmtId="0" fontId="34" fillId="0" borderId="0" xfId="55" applyAlignment="1">
      <alignment/>
      <protection/>
    </xf>
    <xf numFmtId="0" fontId="57" fillId="0" borderId="0" xfId="0" applyFont="1" applyBorder="1" applyAlignment="1">
      <alignment/>
    </xf>
    <xf numFmtId="0" fontId="36" fillId="0" borderId="0" xfId="55" applyFont="1">
      <alignment/>
      <protection/>
    </xf>
    <xf numFmtId="0" fontId="36" fillId="0" borderId="0" xfId="55" applyFont="1" applyBorder="1" applyAlignment="1">
      <alignment/>
      <protection/>
    </xf>
    <xf numFmtId="0" fontId="36" fillId="0" borderId="0" xfId="55" applyFont="1" applyAlignment="1">
      <alignment/>
      <protection/>
    </xf>
    <xf numFmtId="0" fontId="36" fillId="0" borderId="0" xfId="55" applyFont="1" applyFill="1">
      <alignment/>
      <protection/>
    </xf>
    <xf numFmtId="4" fontId="34" fillId="0" borderId="0" xfId="55" applyNumberFormat="1">
      <alignment/>
      <protection/>
    </xf>
    <xf numFmtId="0" fontId="103" fillId="0" borderId="0" xfId="57" applyFont="1" applyFill="1">
      <alignment/>
      <protection/>
    </xf>
    <xf numFmtId="0" fontId="103" fillId="0" borderId="0" xfId="57" applyFont="1" applyFill="1" applyAlignment="1">
      <alignment horizontal="left"/>
      <protection/>
    </xf>
    <xf numFmtId="168" fontId="103" fillId="0" borderId="0" xfId="0" applyNumberFormat="1" applyFont="1" applyFill="1" applyAlignment="1">
      <alignment/>
    </xf>
    <xf numFmtId="0" fontId="103" fillId="0" borderId="0" xfId="57" applyFont="1" applyFill="1" applyAlignment="1">
      <alignment horizontal="right"/>
      <protection/>
    </xf>
    <xf numFmtId="0" fontId="103" fillId="0" borderId="0" xfId="57" applyFont="1" applyFill="1" applyAlignment="1">
      <alignment horizontal="center"/>
      <protection/>
    </xf>
    <xf numFmtId="0" fontId="101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100" fillId="0" borderId="17" xfId="0" applyFont="1" applyFill="1" applyBorder="1" applyAlignment="1">
      <alignment horizontal="centerContinuous" vertical="center"/>
    </xf>
    <xf numFmtId="0" fontId="100" fillId="0" borderId="18" xfId="0" applyFont="1" applyFill="1" applyBorder="1" applyAlignment="1">
      <alignment horizontal="centerContinuous" vertical="center"/>
    </xf>
    <xf numFmtId="0" fontId="100" fillId="0" borderId="19" xfId="0" applyFont="1" applyFill="1" applyBorder="1" applyAlignment="1">
      <alignment horizontal="centerContinuous" vertical="center"/>
    </xf>
    <xf numFmtId="0" fontId="96" fillId="0" borderId="0" xfId="0" applyFont="1" applyFill="1" applyAlignment="1">
      <alignment horizontal="right"/>
    </xf>
    <xf numFmtId="0" fontId="111" fillId="0" borderId="60" xfId="0" applyFont="1" applyFill="1" applyBorder="1" applyAlignment="1">
      <alignment/>
    </xf>
    <xf numFmtId="3" fontId="111" fillId="0" borderId="94" xfId="0" applyNumberFormat="1" applyFont="1" applyFill="1" applyBorder="1" applyAlignment="1">
      <alignment/>
    </xf>
    <xf numFmtId="4" fontId="111" fillId="0" borderId="40" xfId="0" applyNumberFormat="1" applyFont="1" applyFill="1" applyBorder="1" applyAlignment="1">
      <alignment/>
    </xf>
    <xf numFmtId="3" fontId="111" fillId="0" borderId="17" xfId="0" applyNumberFormat="1" applyFont="1" applyFill="1" applyBorder="1" applyAlignment="1">
      <alignment/>
    </xf>
    <xf numFmtId="3" fontId="111" fillId="0" borderId="18" xfId="0" applyNumberFormat="1" applyFont="1" applyFill="1" applyBorder="1" applyAlignment="1">
      <alignment/>
    </xf>
    <xf numFmtId="0" fontId="112" fillId="0" borderId="0" xfId="0" applyFont="1" applyFill="1" applyAlignment="1">
      <alignment/>
    </xf>
    <xf numFmtId="0" fontId="96" fillId="0" borderId="66" xfId="66" applyFont="1" applyBorder="1">
      <alignment/>
      <protection/>
    </xf>
    <xf numFmtId="0" fontId="100" fillId="0" borderId="66" xfId="66" applyFont="1" applyBorder="1">
      <alignment/>
      <protection/>
    </xf>
    <xf numFmtId="3" fontId="111" fillId="0" borderId="94" xfId="66" applyNumberFormat="1" applyFont="1" applyBorder="1">
      <alignment/>
      <protection/>
    </xf>
    <xf numFmtId="3" fontId="111" fillId="0" borderId="39" xfId="66" applyNumberFormat="1" applyFont="1" applyBorder="1">
      <alignment/>
      <protection/>
    </xf>
    <xf numFmtId="4" fontId="111" fillId="0" borderId="19" xfId="66" applyNumberFormat="1" applyFont="1" applyBorder="1">
      <alignment/>
      <protection/>
    </xf>
    <xf numFmtId="0" fontId="111" fillId="0" borderId="0" xfId="66" applyFont="1">
      <alignment/>
      <protection/>
    </xf>
    <xf numFmtId="4" fontId="111" fillId="0" borderId="0" xfId="66" applyNumberFormat="1" applyFont="1">
      <alignment/>
      <protection/>
    </xf>
    <xf numFmtId="0" fontId="99" fillId="0" borderId="0" xfId="66" applyFont="1">
      <alignment/>
      <protection/>
    </xf>
    <xf numFmtId="0" fontId="36" fillId="25" borderId="0" xfId="66" applyFont="1" applyFill="1" applyAlignment="1">
      <alignment horizontal="right"/>
      <protection/>
    </xf>
    <xf numFmtId="3" fontId="93" fillId="0" borderId="0" xfId="69" applyNumberFormat="1" applyFont="1" applyFill="1">
      <alignment/>
      <protection/>
    </xf>
    <xf numFmtId="0" fontId="93" fillId="0" borderId="0" xfId="66" applyFont="1">
      <alignment/>
      <protection/>
    </xf>
    <xf numFmtId="4" fontId="93" fillId="0" borderId="0" xfId="69" applyNumberFormat="1" applyFont="1" applyFill="1">
      <alignment/>
      <protection/>
    </xf>
    <xf numFmtId="0" fontId="100" fillId="0" borderId="60" xfId="66" applyFont="1" applyBorder="1">
      <alignment/>
      <protection/>
    </xf>
    <xf numFmtId="0" fontId="36" fillId="0" borderId="62" xfId="67" applyFont="1" applyFill="1" applyBorder="1">
      <alignment/>
      <protection/>
    </xf>
    <xf numFmtId="0" fontId="36" fillId="25" borderId="62" xfId="67" applyFont="1" applyFill="1" applyBorder="1">
      <alignment/>
      <protection/>
    </xf>
    <xf numFmtId="0" fontId="36" fillId="25" borderId="66" xfId="67" applyFont="1" applyFill="1" applyBorder="1">
      <alignment/>
      <protection/>
    </xf>
    <xf numFmtId="0" fontId="36" fillId="0" borderId="66" xfId="67" applyFont="1" applyFill="1" applyBorder="1">
      <alignment/>
      <protection/>
    </xf>
    <xf numFmtId="0" fontId="36" fillId="25" borderId="80" xfId="67" applyFont="1" applyFill="1" applyBorder="1">
      <alignment/>
      <protection/>
    </xf>
    <xf numFmtId="0" fontId="113" fillId="25" borderId="60" xfId="67" applyFont="1" applyFill="1" applyBorder="1">
      <alignment/>
      <protection/>
    </xf>
    <xf numFmtId="3" fontId="45" fillId="0" borderId="0" xfId="69" applyNumberFormat="1" applyFont="1" applyFill="1">
      <alignment/>
      <protection/>
    </xf>
    <xf numFmtId="0" fontId="45" fillId="0" borderId="0" xfId="59" applyFont="1" applyFill="1">
      <alignment/>
      <protection/>
    </xf>
    <xf numFmtId="0" fontId="45" fillId="0" borderId="0" xfId="59" applyFont="1">
      <alignment/>
      <protection/>
    </xf>
    <xf numFmtId="0" fontId="45" fillId="0" borderId="0" xfId="66" applyFont="1">
      <alignment/>
      <protection/>
    </xf>
    <xf numFmtId="0" fontId="83" fillId="0" borderId="70" xfId="56" applyFont="1" applyFill="1" applyBorder="1" applyAlignment="1">
      <alignment horizontal="center" vertical="center" wrapText="1"/>
      <protection/>
    </xf>
    <xf numFmtId="0" fontId="83" fillId="0" borderId="84" xfId="56" applyFont="1" applyFill="1" applyBorder="1" applyAlignment="1">
      <alignment horizontal="center" vertical="center" wrapText="1"/>
      <protection/>
    </xf>
    <xf numFmtId="0" fontId="83" fillId="0" borderId="69" xfId="56" applyFont="1" applyBorder="1" applyAlignment="1">
      <alignment horizontal="center" vertical="center" wrapText="1"/>
      <protection/>
    </xf>
    <xf numFmtId="0" fontId="83" fillId="0" borderId="83" xfId="56" applyFont="1" applyFill="1" applyBorder="1" applyAlignment="1">
      <alignment horizontal="center" vertical="center" wrapText="1"/>
      <protection/>
    </xf>
    <xf numFmtId="0" fontId="83" fillId="0" borderId="75" xfId="56" applyFont="1" applyFill="1" applyBorder="1" applyAlignment="1">
      <alignment horizontal="center" vertical="center" wrapText="1"/>
      <protection/>
    </xf>
    <xf numFmtId="0" fontId="84" fillId="0" borderId="70" xfId="56" applyFont="1" applyBorder="1" applyAlignment="1">
      <alignment horizontal="center" vertical="center"/>
      <protection/>
    </xf>
    <xf numFmtId="0" fontId="84" fillId="0" borderId="81" xfId="56" applyFont="1" applyBorder="1" applyAlignment="1">
      <alignment horizontal="center" vertical="center"/>
      <protection/>
    </xf>
    <xf numFmtId="0" fontId="84" fillId="0" borderId="85" xfId="56" applyFont="1" applyBorder="1" applyAlignment="1">
      <alignment horizontal="center" vertical="center"/>
      <protection/>
    </xf>
    <xf numFmtId="0" fontId="83" fillId="0" borderId="82" xfId="56" applyFont="1" applyBorder="1" applyAlignment="1">
      <alignment horizontal="center" vertical="center" wrapText="1"/>
      <protection/>
    </xf>
    <xf numFmtId="0" fontId="83" fillId="0" borderId="80" xfId="56" applyFont="1" applyBorder="1" applyAlignment="1">
      <alignment horizontal="center" vertical="center" wrapText="1"/>
      <protection/>
    </xf>
    <xf numFmtId="0" fontId="36" fillId="0" borderId="84" xfId="56" applyFont="1" applyFill="1" applyBorder="1" applyAlignment="1">
      <alignment horizontal="center" vertical="center" wrapText="1"/>
      <protection/>
    </xf>
    <xf numFmtId="0" fontId="36" fillId="0" borderId="85" xfId="56" applyFont="1" applyFill="1" applyBorder="1" applyAlignment="1">
      <alignment horizontal="center" vertical="center" wrapText="1"/>
      <protection/>
    </xf>
    <xf numFmtId="0" fontId="83" fillId="25" borderId="82" xfId="56" applyFont="1" applyFill="1" applyBorder="1" applyAlignment="1">
      <alignment horizontal="center" vertical="center" wrapText="1"/>
      <protection/>
    </xf>
    <xf numFmtId="0" fontId="83" fillId="25" borderId="69" xfId="56" applyFont="1" applyFill="1" applyBorder="1" applyAlignment="1">
      <alignment horizontal="center" vertical="center" wrapText="1"/>
      <protection/>
    </xf>
    <xf numFmtId="0" fontId="85" fillId="0" borderId="0" xfId="56" applyFont="1" applyAlignment="1">
      <alignment horizontal="right"/>
      <protection/>
    </xf>
    <xf numFmtId="0" fontId="83" fillId="0" borderId="82" xfId="56" applyFont="1" applyFill="1" applyBorder="1" applyAlignment="1">
      <alignment horizontal="center" vertical="center" wrapText="1"/>
      <protection/>
    </xf>
    <xf numFmtId="0" fontId="83" fillId="0" borderId="80" xfId="56" applyFont="1" applyFill="1" applyBorder="1" applyAlignment="1">
      <alignment horizontal="center" vertical="center" wrapText="1"/>
      <protection/>
    </xf>
    <xf numFmtId="0" fontId="83" fillId="0" borderId="69" xfId="56" applyFont="1" applyFill="1" applyBorder="1" applyAlignment="1">
      <alignment horizontal="center" vertical="center" wrapText="1"/>
      <protection/>
    </xf>
    <xf numFmtId="0" fontId="83" fillId="0" borderId="85" xfId="56" applyFont="1" applyFill="1" applyBorder="1" applyAlignment="1">
      <alignment horizontal="center" vertical="center" wrapText="1"/>
      <protection/>
    </xf>
    <xf numFmtId="0" fontId="83" fillId="0" borderId="83" xfId="56" applyFont="1" applyBorder="1" applyAlignment="1">
      <alignment horizontal="center" vertical="center" wrapText="1"/>
      <protection/>
    </xf>
    <xf numFmtId="0" fontId="83" fillId="0" borderId="70" xfId="56" applyFont="1" applyBorder="1" applyAlignment="1">
      <alignment horizontal="center" vertical="center" wrapText="1"/>
      <protection/>
    </xf>
    <xf numFmtId="0" fontId="83" fillId="0" borderId="84" xfId="56" applyFont="1" applyBorder="1" applyAlignment="1">
      <alignment horizontal="center" vertical="center" wrapText="1"/>
      <protection/>
    </xf>
    <xf numFmtId="0" fontId="83" fillId="0" borderId="85" xfId="56" applyFont="1" applyBorder="1" applyAlignment="1">
      <alignment horizontal="center" vertical="center" wrapText="1"/>
      <protection/>
    </xf>
    <xf numFmtId="49" fontId="89" fillId="0" borderId="0" xfId="56" applyNumberFormat="1" applyFont="1" applyAlignment="1">
      <alignment horizontal="center" wrapText="1"/>
      <protection/>
    </xf>
    <xf numFmtId="0" fontId="90" fillId="0" borderId="0" xfId="56" applyFont="1" applyAlignment="1">
      <alignment horizontal="center" wrapText="1"/>
      <protection/>
    </xf>
    <xf numFmtId="0" fontId="36" fillId="0" borderId="71" xfId="56" applyFont="1" applyBorder="1" applyAlignment="1">
      <alignment horizontal="center"/>
      <protection/>
    </xf>
    <xf numFmtId="0" fontId="36" fillId="0" borderId="66" xfId="56" applyFont="1" applyBorder="1" applyAlignment="1">
      <alignment horizontal="center"/>
      <protection/>
    </xf>
    <xf numFmtId="0" fontId="36" fillId="0" borderId="95" xfId="56" applyFont="1" applyBorder="1" applyAlignment="1">
      <alignment horizontal="center"/>
      <protection/>
    </xf>
    <xf numFmtId="0" fontId="87" fillId="0" borderId="0" xfId="57" applyFont="1" applyAlignment="1">
      <alignment horizontal="right"/>
      <protection/>
    </xf>
    <xf numFmtId="0" fontId="83" fillId="7" borderId="82" xfId="56" applyFont="1" applyFill="1" applyBorder="1" applyAlignment="1">
      <alignment horizontal="center" vertical="center" wrapText="1"/>
      <protection/>
    </xf>
    <xf numFmtId="0" fontId="83" fillId="7" borderId="69" xfId="56" applyFont="1" applyFill="1" applyBorder="1" applyAlignment="1">
      <alignment horizontal="center" vertical="center" wrapText="1"/>
      <protection/>
    </xf>
    <xf numFmtId="0" fontId="89" fillId="0" borderId="0" xfId="56" applyFont="1" applyAlignment="1">
      <alignment horizontal="center" wrapText="1"/>
      <protection/>
    </xf>
    <xf numFmtId="0" fontId="84" fillId="7" borderId="82" xfId="56" applyFont="1" applyFill="1" applyBorder="1" applyAlignment="1">
      <alignment horizontal="center" vertical="center"/>
      <protection/>
    </xf>
    <xf numFmtId="0" fontId="84" fillId="7" borderId="69" xfId="56" applyFont="1" applyFill="1" applyBorder="1" applyAlignment="1">
      <alignment horizontal="center" vertical="center"/>
      <protection/>
    </xf>
    <xf numFmtId="0" fontId="45" fillId="0" borderId="0" xfId="71" applyFont="1" applyFill="1" applyAlignment="1" applyProtection="1">
      <alignment horizontal="right"/>
      <protection locked="0"/>
    </xf>
    <xf numFmtId="0" fontId="58" fillId="0" borderId="108" xfId="0" applyFont="1" applyBorder="1" applyAlignment="1">
      <alignment horizontal="left" vertical="center" wrapText="1" indent="1"/>
    </xf>
    <xf numFmtId="0" fontId="58" fillId="0" borderId="37" xfId="0" applyFont="1" applyBorder="1" applyAlignment="1">
      <alignment horizontal="left" vertical="center" wrapText="1" indent="1"/>
    </xf>
    <xf numFmtId="0" fontId="58" fillId="0" borderId="113" xfId="0" applyFont="1" applyBorder="1" applyAlignment="1">
      <alignment horizontal="left" vertical="center" wrapText="1" indent="1"/>
    </xf>
    <xf numFmtId="0" fontId="58" fillId="0" borderId="35" xfId="0" applyFont="1" applyBorder="1" applyAlignment="1">
      <alignment horizontal="left" vertical="center" wrapText="1" indent="1"/>
    </xf>
    <xf numFmtId="0" fontId="43" fillId="19" borderId="114" xfId="0" applyFont="1" applyFill="1" applyBorder="1" applyAlignment="1">
      <alignment horizontal="center" vertical="center"/>
    </xf>
    <xf numFmtId="0" fontId="43" fillId="19" borderId="115" xfId="0" applyFont="1" applyFill="1" applyBorder="1" applyAlignment="1">
      <alignment horizontal="center" vertical="center"/>
    </xf>
    <xf numFmtId="0" fontId="58" fillId="0" borderId="116" xfId="0" applyFont="1" applyBorder="1" applyAlignment="1">
      <alignment horizontal="left" vertical="center" wrapText="1" indent="1"/>
    </xf>
    <xf numFmtId="0" fontId="58" fillId="0" borderId="48" xfId="0" applyFont="1" applyBorder="1" applyAlignment="1">
      <alignment horizontal="left" vertical="center" wrapText="1" indent="1"/>
    </xf>
    <xf numFmtId="0" fontId="43" fillId="19" borderId="50" xfId="0" applyFont="1" applyFill="1" applyBorder="1" applyAlignment="1">
      <alignment horizontal="center" vertical="center"/>
    </xf>
    <xf numFmtId="0" fontId="43" fillId="19" borderId="39" xfId="0" applyFont="1" applyFill="1" applyBorder="1" applyAlignment="1">
      <alignment horizontal="center" vertical="center"/>
    </xf>
    <xf numFmtId="0" fontId="43" fillId="19" borderId="40" xfId="0" applyFont="1" applyFill="1" applyBorder="1" applyAlignment="1">
      <alignment horizontal="center" vertical="center"/>
    </xf>
    <xf numFmtId="0" fontId="80" fillId="19" borderId="114" xfId="0" applyFont="1" applyFill="1" applyBorder="1" applyAlignment="1">
      <alignment horizontal="center" vertical="center" wrapText="1"/>
    </xf>
    <xf numFmtId="0" fontId="58" fillId="0" borderId="115" xfId="0" applyFont="1" applyBorder="1" applyAlignment="1">
      <alignment horizontal="center" vertical="center" wrapText="1"/>
    </xf>
    <xf numFmtId="0" fontId="43" fillId="19" borderId="61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80" fillId="19" borderId="17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34" fillId="0" borderId="0" xfId="71" applyFont="1" applyFill="1" applyAlignment="1" applyProtection="1">
      <alignment horizontal="right"/>
      <protection locked="0"/>
    </xf>
    <xf numFmtId="0" fontId="79" fillId="0" borderId="0" xfId="0" applyFont="1" applyAlignment="1">
      <alignment horizontal="center"/>
    </xf>
    <xf numFmtId="0" fontId="80" fillId="0" borderId="113" xfId="0" applyFont="1" applyBorder="1" applyAlignment="1">
      <alignment horizontal="left" vertical="center" wrapText="1" indent="1"/>
    </xf>
    <xf numFmtId="0" fontId="80" fillId="0" borderId="118" xfId="0" applyFont="1" applyBorder="1" applyAlignment="1">
      <alignment horizontal="left" vertical="center" wrapText="1" indent="1"/>
    </xf>
    <xf numFmtId="0" fontId="43" fillId="0" borderId="119" xfId="0" applyFont="1" applyBorder="1" applyAlignment="1">
      <alignment horizontal="left" vertical="center" wrapText="1" indent="1"/>
    </xf>
    <xf numFmtId="0" fontId="80" fillId="19" borderId="120" xfId="0" applyFont="1" applyFill="1" applyBorder="1" applyAlignment="1">
      <alignment horizontal="center" vertical="center" wrapText="1"/>
    </xf>
    <xf numFmtId="0" fontId="43" fillId="19" borderId="121" xfId="0" applyFont="1" applyFill="1" applyBorder="1" applyAlignment="1">
      <alignment/>
    </xf>
    <xf numFmtId="0" fontId="80" fillId="0" borderId="122" xfId="0" applyFont="1" applyBorder="1" applyAlignment="1">
      <alignment horizontal="left" vertical="center" wrapText="1" indent="1"/>
    </xf>
    <xf numFmtId="0" fontId="0" fillId="0" borderId="118" xfId="0" applyBorder="1" applyAlignment="1">
      <alignment horizontal="left" vertical="center" wrapText="1" indent="1"/>
    </xf>
    <xf numFmtId="0" fontId="0" fillId="0" borderId="119" xfId="0" applyBorder="1" applyAlignment="1">
      <alignment horizontal="left" vertical="center" wrapText="1" indent="1"/>
    </xf>
    <xf numFmtId="0" fontId="80" fillId="0" borderId="123" xfId="0" applyFont="1" applyBorder="1" applyAlignment="1">
      <alignment horizontal="left" vertical="center" wrapText="1" indent="1"/>
    </xf>
    <xf numFmtId="0" fontId="43" fillId="19" borderId="54" xfId="0" applyFont="1" applyFill="1" applyBorder="1" applyAlignment="1">
      <alignment horizontal="center" vertical="center"/>
    </xf>
    <xf numFmtId="0" fontId="0" fillId="19" borderId="55" xfId="0" applyFont="1" applyFill="1" applyBorder="1" applyAlignment="1">
      <alignment horizontal="center" vertical="center"/>
    </xf>
    <xf numFmtId="0" fontId="0" fillId="19" borderId="56" xfId="0" applyFont="1" applyFill="1" applyBorder="1" applyAlignment="1">
      <alignment horizontal="center" vertical="center"/>
    </xf>
    <xf numFmtId="0" fontId="43" fillId="19" borderId="120" xfId="0" applyFont="1" applyFill="1" applyBorder="1" applyAlignment="1">
      <alignment horizontal="center" vertical="center" wrapText="1"/>
    </xf>
    <xf numFmtId="0" fontId="43" fillId="19" borderId="114" xfId="0" applyFont="1" applyFill="1" applyBorder="1" applyAlignment="1">
      <alignment horizontal="center" vertical="center" wrapText="1"/>
    </xf>
    <xf numFmtId="0" fontId="43" fillId="19" borderId="115" xfId="0" applyFont="1" applyFill="1" applyBorder="1" applyAlignment="1">
      <alignment/>
    </xf>
    <xf numFmtId="0" fontId="0" fillId="19" borderId="39" xfId="0" applyFont="1" applyFill="1" applyBorder="1" applyAlignment="1">
      <alignment horizontal="center" vertical="center"/>
    </xf>
    <xf numFmtId="0" fontId="0" fillId="19" borderId="40" xfId="0" applyFont="1" applyFill="1" applyBorder="1" applyAlignment="1">
      <alignment horizontal="center" vertical="center"/>
    </xf>
    <xf numFmtId="0" fontId="58" fillId="0" borderId="0" xfId="71" applyFont="1" applyFill="1" applyAlignment="1" applyProtection="1">
      <alignment horizontal="right"/>
      <protection locked="0"/>
    </xf>
    <xf numFmtId="0" fontId="100" fillId="0" borderId="0" xfId="59" applyFont="1" applyAlignment="1">
      <alignment horizontal="center"/>
      <protection/>
    </xf>
    <xf numFmtId="0" fontId="101" fillId="0" borderId="0" xfId="0" applyFont="1" applyFill="1" applyAlignment="1">
      <alignment horizontal="right"/>
    </xf>
    <xf numFmtId="0" fontId="45" fillId="0" borderId="0" xfId="59" applyFont="1" applyAlignment="1">
      <alignment horizontal="right"/>
      <protection/>
    </xf>
    <xf numFmtId="0" fontId="100" fillId="0" borderId="18" xfId="0" applyFont="1" applyFill="1" applyBorder="1" applyAlignment="1">
      <alignment horizontal="center" vertical="center"/>
    </xf>
    <xf numFmtId="0" fontId="100" fillId="0" borderId="1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00" fillId="0" borderId="82" xfId="0" applyFont="1" applyFill="1" applyBorder="1" applyAlignment="1">
      <alignment horizontal="center" vertical="center"/>
    </xf>
    <xf numFmtId="0" fontId="100" fillId="0" borderId="69" xfId="0" applyFont="1" applyFill="1" applyBorder="1" applyAlignment="1">
      <alignment horizontal="center" vertical="center"/>
    </xf>
    <xf numFmtId="0" fontId="100" fillId="0" borderId="17" xfId="0" applyFont="1" applyFill="1" applyBorder="1" applyAlignment="1">
      <alignment horizontal="center" vertical="center"/>
    </xf>
    <xf numFmtId="0" fontId="100" fillId="0" borderId="25" xfId="0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horizontal="center"/>
    </xf>
    <xf numFmtId="0" fontId="110" fillId="0" borderId="0" xfId="0" applyFont="1" applyFill="1" applyAlignment="1">
      <alignment horizontal="right"/>
    </xf>
    <xf numFmtId="0" fontId="98" fillId="0" borderId="0" xfId="66" applyFont="1" applyBorder="1" applyAlignment="1">
      <alignment horizontal="center"/>
      <protection/>
    </xf>
    <xf numFmtId="0" fontId="97" fillId="0" borderId="82" xfId="66" applyFont="1" applyBorder="1" applyAlignment="1">
      <alignment horizontal="center" vertical="center" wrapText="1"/>
      <protection/>
    </xf>
    <xf numFmtId="0" fontId="97" fillId="0" borderId="69" xfId="66" applyFont="1" applyBorder="1" applyAlignment="1">
      <alignment horizontal="center" vertical="center" wrapText="1"/>
      <protection/>
    </xf>
    <xf numFmtId="0" fontId="100" fillId="0" borderId="17" xfId="66" applyFont="1" applyBorder="1" applyAlignment="1">
      <alignment horizontal="center" vertical="center"/>
      <protection/>
    </xf>
    <xf numFmtId="0" fontId="100" fillId="0" borderId="18" xfId="66" applyFont="1" applyBorder="1" applyAlignment="1">
      <alignment horizontal="center" vertical="center"/>
      <protection/>
    </xf>
    <xf numFmtId="0" fontId="100" fillId="0" borderId="19" xfId="66" applyFont="1" applyBorder="1" applyAlignment="1">
      <alignment horizontal="center" vertical="center"/>
      <protection/>
    </xf>
    <xf numFmtId="0" fontId="93" fillId="0" borderId="0" xfId="66" applyFont="1" applyAlignment="1">
      <alignment horizontal="right"/>
      <protection/>
    </xf>
    <xf numFmtId="0" fontId="84" fillId="0" borderId="0" xfId="72" applyFont="1" applyAlignment="1">
      <alignment horizontal="right"/>
      <protection/>
    </xf>
    <xf numFmtId="0" fontId="34" fillId="0" borderId="0" xfId="67" applyFont="1" applyAlignment="1">
      <alignment horizontal="right"/>
      <protection/>
    </xf>
    <xf numFmtId="3" fontId="36" fillId="0" borderId="0" xfId="72" applyNumberFormat="1" applyFont="1" applyFill="1" applyAlignment="1">
      <alignment horizontal="right"/>
      <protection/>
    </xf>
    <xf numFmtId="3" fontId="79" fillId="0" borderId="0" xfId="72" applyNumberFormat="1" applyFont="1" applyFill="1" applyAlignment="1">
      <alignment horizontal="center"/>
      <protection/>
    </xf>
    <xf numFmtId="3" fontId="83" fillId="0" borderId="83" xfId="72" applyNumberFormat="1" applyFont="1" applyFill="1" applyBorder="1" applyAlignment="1">
      <alignment horizontal="center" vertical="center"/>
      <protection/>
    </xf>
    <xf numFmtId="3" fontId="83" fillId="0" borderId="33" xfId="72" applyNumberFormat="1" applyFont="1" applyFill="1" applyBorder="1" applyAlignment="1">
      <alignment horizontal="center" vertical="center"/>
      <protection/>
    </xf>
    <xf numFmtId="3" fontId="83" fillId="0" borderId="70" xfId="72" applyNumberFormat="1" applyFont="1" applyFill="1" applyBorder="1" applyAlignment="1">
      <alignment horizontal="center" vertical="center"/>
      <protection/>
    </xf>
    <xf numFmtId="3" fontId="83" fillId="0" borderId="83" xfId="72" applyNumberFormat="1" applyFont="1" applyFill="1" applyBorder="1" applyAlignment="1">
      <alignment horizontal="center"/>
      <protection/>
    </xf>
    <xf numFmtId="3" fontId="83" fillId="0" borderId="33" xfId="72" applyNumberFormat="1" applyFont="1" applyFill="1" applyBorder="1" applyAlignment="1">
      <alignment horizontal="center"/>
      <protection/>
    </xf>
    <xf numFmtId="3" fontId="83" fillId="0" borderId="70" xfId="72" applyNumberFormat="1" applyFont="1" applyFill="1" applyBorder="1" applyAlignment="1">
      <alignment horizontal="center"/>
      <protection/>
    </xf>
    <xf numFmtId="0" fontId="36" fillId="0" borderId="0" xfId="67" applyFont="1" applyAlignment="1">
      <alignment horizontal="right"/>
      <protection/>
    </xf>
    <xf numFmtId="0" fontId="84" fillId="0" borderId="0" xfId="67" applyFont="1" applyAlignment="1">
      <alignment horizontal="right"/>
      <protection/>
    </xf>
    <xf numFmtId="0" fontId="43" fillId="0" borderId="82" xfId="67" applyFont="1" applyBorder="1" applyAlignment="1">
      <alignment horizontal="center" vertical="center"/>
      <protection/>
    </xf>
    <xf numFmtId="0" fontId="43" fillId="0" borderId="80" xfId="67" applyFont="1" applyBorder="1" applyAlignment="1">
      <alignment horizontal="center" vertical="center"/>
      <protection/>
    </xf>
    <xf numFmtId="2" fontId="107" fillId="0" borderId="0" xfId="55" applyNumberFormat="1" applyFont="1" applyFill="1" applyBorder="1" applyAlignment="1">
      <alignment horizontal="left" vertical="center" wrapText="1"/>
      <protection/>
    </xf>
    <xf numFmtId="0" fontId="57" fillId="0" borderId="0" xfId="0" applyFont="1" applyAlignment="1">
      <alignment horizontal="right"/>
    </xf>
    <xf numFmtId="0" fontId="57" fillId="0" borderId="0" xfId="0" applyFont="1" applyBorder="1" applyAlignment="1">
      <alignment horizontal="right"/>
    </xf>
    <xf numFmtId="0" fontId="100" fillId="0" borderId="0" xfId="55" applyFont="1" applyAlignment="1">
      <alignment horizontal="center"/>
      <protection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9" fillId="0" borderId="124" xfId="0" applyFont="1" applyBorder="1" applyAlignment="1">
      <alignment horizontal="center" vertical="center" wrapText="1"/>
    </xf>
    <xf numFmtId="0" fontId="49" fillId="0" borderId="125" xfId="0" applyFont="1" applyBorder="1" applyAlignment="1">
      <alignment horizontal="center" vertical="center" wrapText="1"/>
    </xf>
    <xf numFmtId="0" fontId="49" fillId="0" borderId="126" xfId="0" applyFont="1" applyBorder="1" applyAlignment="1">
      <alignment horizontal="center" vertical="center" wrapText="1"/>
    </xf>
    <xf numFmtId="0" fontId="51" fillId="0" borderId="127" xfId="0" applyFont="1" applyFill="1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55" fillId="0" borderId="130" xfId="0" applyFont="1" applyFill="1" applyBorder="1" applyAlignment="1">
      <alignment horizontal="center" vertical="center"/>
    </xf>
    <xf numFmtId="0" fontId="55" fillId="0" borderId="131" xfId="0" applyFont="1" applyFill="1" applyBorder="1" applyAlignment="1">
      <alignment horizontal="center" vertical="center"/>
    </xf>
    <xf numFmtId="0" fontId="55" fillId="0" borderId="132" xfId="0" applyFont="1" applyFill="1" applyBorder="1" applyAlignment="1">
      <alignment horizontal="center" vertical="center"/>
    </xf>
    <xf numFmtId="0" fontId="55" fillId="0" borderId="130" xfId="0" applyFont="1" applyFill="1" applyBorder="1" applyAlignment="1">
      <alignment horizontal="center" vertical="center" wrapText="1"/>
    </xf>
    <xf numFmtId="0" fontId="0" fillId="0" borderId="131" xfId="0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top" wrapText="1"/>
    </xf>
    <xf numFmtId="0" fontId="44" fillId="0" borderId="18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54" fillId="0" borderId="127" xfId="0" applyFont="1" applyFill="1" applyBorder="1" applyAlignment="1">
      <alignment horizontal="center" vertical="center" wrapText="1"/>
    </xf>
    <xf numFmtId="0" fontId="54" fillId="0" borderId="128" xfId="0" applyFont="1" applyFill="1" applyBorder="1" applyAlignment="1">
      <alignment horizontal="center" vertical="center" wrapText="1"/>
    </xf>
    <xf numFmtId="0" fontId="54" fillId="0" borderId="129" xfId="0" applyFont="1" applyFill="1" applyBorder="1" applyAlignment="1">
      <alignment horizontal="center" vertical="center" wrapText="1"/>
    </xf>
    <xf numFmtId="0" fontId="51" fillId="0" borderId="127" xfId="0" applyFont="1" applyFill="1" applyBorder="1" applyAlignment="1">
      <alignment horizontal="center" wrapText="1"/>
    </xf>
    <xf numFmtId="0" fontId="51" fillId="0" borderId="128" xfId="0" applyFont="1" applyFill="1" applyBorder="1" applyAlignment="1">
      <alignment horizontal="center" wrapText="1"/>
    </xf>
    <xf numFmtId="0" fontId="51" fillId="0" borderId="129" xfId="0" applyFont="1" applyFill="1" applyBorder="1" applyAlignment="1">
      <alignment horizontal="center" wrapText="1"/>
    </xf>
    <xf numFmtId="0" fontId="55" fillId="0" borderId="131" xfId="0" applyFont="1" applyFill="1" applyBorder="1" applyAlignment="1">
      <alignment horizontal="center" vertical="center" wrapText="1"/>
    </xf>
    <xf numFmtId="0" fontId="55" fillId="0" borderId="132" xfId="0" applyFont="1" applyFill="1" applyBorder="1" applyAlignment="1">
      <alignment horizontal="center" vertical="center" wrapText="1"/>
    </xf>
    <xf numFmtId="0" fontId="38" fillId="7" borderId="0" xfId="0" applyFont="1" applyFill="1" applyAlignment="1">
      <alignment horizontal="center" wrapText="1"/>
    </xf>
    <xf numFmtId="0" fontId="46" fillId="25" borderId="83" xfId="0" applyFont="1" applyFill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70" xfId="0" applyFont="1" applyBorder="1" applyAlignment="1">
      <alignment horizontal="center" vertical="center"/>
    </xf>
    <xf numFmtId="0" fontId="12" fillId="25" borderId="83" xfId="0" applyFont="1" applyFill="1" applyBorder="1" applyAlignment="1">
      <alignment horizontal="center" vertical="center"/>
    </xf>
    <xf numFmtId="0" fontId="0" fillId="0" borderId="70" xfId="0" applyBorder="1" applyAlignment="1">
      <alignment/>
    </xf>
    <xf numFmtId="0" fontId="19" fillId="0" borderId="70" xfId="0" applyFont="1" applyBorder="1" applyAlignment="1">
      <alignment horizontal="center" vertical="center"/>
    </xf>
    <xf numFmtId="0" fontId="13" fillId="25" borderId="83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4" fillId="4" borderId="83" xfId="0" applyFont="1" applyFill="1" applyBorder="1" applyAlignment="1">
      <alignment horizontal="center" vertical="center" wrapText="1"/>
    </xf>
    <xf numFmtId="0" fontId="44" fillId="4" borderId="33" xfId="0" applyFont="1" applyFill="1" applyBorder="1" applyAlignment="1">
      <alignment horizontal="center" vertical="center" wrapText="1"/>
    </xf>
    <xf numFmtId="0" fontId="44" fillId="4" borderId="70" xfId="0" applyFont="1" applyFill="1" applyBorder="1" applyAlignment="1">
      <alignment horizontal="center" vertical="center" wrapText="1"/>
    </xf>
    <xf numFmtId="0" fontId="49" fillId="26" borderId="83" xfId="0" applyFont="1" applyFill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0" fontId="47" fillId="0" borderId="83" xfId="0" applyFont="1" applyFill="1" applyBorder="1" applyAlignment="1">
      <alignment horizontal="center" wrapText="1"/>
    </xf>
    <xf numFmtId="0" fontId="48" fillId="0" borderId="70" xfId="0" applyFont="1" applyFill="1" applyBorder="1" applyAlignment="1">
      <alignment horizontal="center" wrapText="1"/>
    </xf>
    <xf numFmtId="0" fontId="47" fillId="0" borderId="84" xfId="0" applyFont="1" applyFill="1" applyBorder="1" applyAlignment="1">
      <alignment horizontal="center" wrapText="1"/>
    </xf>
    <xf numFmtId="0" fontId="48" fillId="0" borderId="85" xfId="0" applyFont="1" applyFill="1" applyBorder="1" applyAlignment="1">
      <alignment horizontal="center" wrapText="1"/>
    </xf>
    <xf numFmtId="0" fontId="44" fillId="4" borderId="84" xfId="0" applyFont="1" applyFill="1" applyBorder="1" applyAlignment="1">
      <alignment horizontal="center" vertical="center"/>
    </xf>
    <xf numFmtId="0" fontId="44" fillId="4" borderId="11" xfId="0" applyFont="1" applyFill="1" applyBorder="1" applyAlignment="1">
      <alignment horizontal="center" vertical="center"/>
    </xf>
    <xf numFmtId="0" fontId="44" fillId="4" borderId="85" xfId="0" applyFont="1" applyFill="1" applyBorder="1" applyAlignment="1">
      <alignment horizontal="center" vertical="center"/>
    </xf>
    <xf numFmtId="0" fontId="49" fillId="26" borderId="84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85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6" fillId="25" borderId="84" xfId="0" applyFont="1" applyFill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85" xfId="0" applyFont="1" applyBorder="1" applyAlignment="1">
      <alignment horizontal="center"/>
    </xf>
    <xf numFmtId="0" fontId="12" fillId="25" borderId="84" xfId="0" applyFont="1" applyFill="1" applyBorder="1" applyAlignment="1">
      <alignment horizontal="center" vertical="center"/>
    </xf>
    <xf numFmtId="0" fontId="0" fillId="0" borderId="85" xfId="0" applyBorder="1" applyAlignment="1">
      <alignment/>
    </xf>
    <xf numFmtId="0" fontId="19" fillId="0" borderId="85" xfId="0" applyFont="1" applyBorder="1" applyAlignment="1">
      <alignment horizontal="center" vertical="center"/>
    </xf>
    <xf numFmtId="0" fontId="13" fillId="25" borderId="84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17" borderId="133" xfId="0" applyFill="1" applyBorder="1" applyAlignment="1">
      <alignment vertical="center"/>
    </xf>
    <xf numFmtId="0" fontId="0" fillId="0" borderId="16" xfId="0" applyBorder="1" applyAlignment="1">
      <alignment vertical="center"/>
    </xf>
    <xf numFmtId="49" fontId="43" fillId="17" borderId="33" xfId="0" applyNumberFormat="1" applyFont="1" applyFill="1" applyBorder="1" applyAlignment="1">
      <alignment horizontal="left" vertical="top" wrapText="1"/>
    </xf>
    <xf numFmtId="49" fontId="43" fillId="17" borderId="0" xfId="0" applyNumberFormat="1" applyFont="1" applyFill="1" applyBorder="1" applyAlignment="1">
      <alignment horizontal="left" vertical="top" wrapText="1"/>
    </xf>
  </cellXfs>
  <cellStyles count="8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čárky [0]_VPS 2008-2010" xfId="37"/>
    <cellStyle name="Comma [0]" xfId="38"/>
    <cellStyle name="Date" xfId="39"/>
    <cellStyle name="Fixed" xfId="40"/>
    <cellStyle name="Heading1" xfId="41"/>
    <cellStyle name="Heading2" xfId="42"/>
    <cellStyle name="Hyperlink" xfId="43"/>
    <cellStyle name="Chybně" xfId="44"/>
    <cellStyle name="Kontrolní buňka" xfId="45"/>
    <cellStyle name="Currency" xfId="46"/>
    <cellStyle name="Currency [0]" xfId="47"/>
    <cellStyle name="Nadpis 1" xfId="48"/>
    <cellStyle name="Nadpis 2" xfId="49"/>
    <cellStyle name="Nadpis 3" xfId="50"/>
    <cellStyle name="Nadpis 4" xfId="51"/>
    <cellStyle name="Název" xfId="52"/>
    <cellStyle name="Neutrální" xfId="53"/>
    <cellStyle name="Normal_Tableau1" xfId="54"/>
    <cellStyle name="normální_čerpání MV do KS" xfId="55"/>
    <cellStyle name="normální_duch osdszu08" xfId="56"/>
    <cellStyle name="normální_List1" xfId="57"/>
    <cellStyle name="normální_Příloha 1 upravená pro SZÚ 2006" xfId="58"/>
    <cellStyle name="normální_Q 2011" xfId="59"/>
    <cellStyle name="normální_tab 1(PRG-Celk)" xfId="60"/>
    <cellStyle name="_x0000_normální_tab 3 (adres" xfId="61"/>
    <cellStyle name="normální_tab 3 (adres)" xfId="62"/>
    <cellStyle name="normální_tab 3 (adres)_pokus jiné sloupce příl1_pokyn NMV_ novelizace_vzorce" xfId="63"/>
    <cellStyle name="_x0000_normální_tab 5 (odpr" xfId="64"/>
    <cellStyle name="normální_Tab. 12,13 Soc.,důch" xfId="65"/>
    <cellStyle name="normální_Tab. 17 PČR" xfId="66"/>
    <cellStyle name="normální_Tab.19 archivnictví" xfId="67"/>
    <cellStyle name="_x0000_normální_tab200" xfId="68"/>
    <cellStyle name="normální_tabulka pro ER 2008" xfId="69"/>
    <cellStyle name="normální_Tabulky č   9  2008 SZÚ" xfId="70"/>
    <cellStyle name="normální_tabulky SZÚ_2007" xfId="71"/>
    <cellStyle name="normální_ZÚ 2011 - školy" xfId="72"/>
    <cellStyle name="Percent" xfId="73"/>
    <cellStyle name="Poznámka" xfId="74"/>
    <cellStyle name="Percent" xfId="75"/>
    <cellStyle name="Propojená buňka" xfId="76"/>
    <cellStyle name="Followed Hyperlink" xfId="77"/>
    <cellStyle name="Správně" xfId="78"/>
    <cellStyle name="Styl 1" xfId="79"/>
    <cellStyle name="Styl 2" xfId="80"/>
    <cellStyle name="Styl 3" xfId="81"/>
    <cellStyle name="Text upozornění" xfId="82"/>
    <cellStyle name="Total" xfId="83"/>
    <cellStyle name="Vstup" xfId="84"/>
    <cellStyle name="Výpočet" xfId="85"/>
    <cellStyle name="Výstup" xfId="86"/>
    <cellStyle name="Vysvětlující text" xfId="87"/>
    <cellStyle name="Zvýraznění 1" xfId="88"/>
    <cellStyle name="Zvýraznění 2" xfId="89"/>
    <cellStyle name="Zvýraznění 3" xfId="90"/>
    <cellStyle name="Zvýraznění 4" xfId="91"/>
    <cellStyle name="Zvýraznění 5" xfId="92"/>
    <cellStyle name="Zvýraznění 6" xfId="93"/>
  </cellStyles>
  <dxfs count="2">
    <dxf>
      <font>
        <color auto="1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="60" zoomScaleNormal="60" workbookViewId="0" topLeftCell="C1">
      <selection activeCell="H13" sqref="H13"/>
    </sheetView>
  </sheetViews>
  <sheetFormatPr defaultColWidth="9.00390625" defaultRowHeight="12.75"/>
  <cols>
    <col min="1" max="1" width="4.875" style="244" customWidth="1"/>
    <col min="2" max="2" width="36.25390625" style="337" customWidth="1"/>
    <col min="3" max="5" width="17.875" style="244" customWidth="1"/>
    <col min="6" max="7" width="14.00390625" style="244" customWidth="1"/>
    <col min="8" max="8" width="18.125" style="244" customWidth="1"/>
    <col min="9" max="9" width="16.75390625" style="244" customWidth="1"/>
    <col min="10" max="13" width="14.00390625" style="244" customWidth="1"/>
    <col min="14" max="14" width="15.125" style="244" customWidth="1"/>
    <col min="15" max="15" width="14.75390625" style="244" customWidth="1"/>
    <col min="16" max="16384" width="9.125" style="244" customWidth="1"/>
  </cols>
  <sheetData>
    <row r="1" spans="2:15" ht="24.75" customHeight="1">
      <c r="B1" s="338" t="s">
        <v>178</v>
      </c>
      <c r="C1" s="245"/>
      <c r="D1" s="245"/>
      <c r="E1" s="245"/>
      <c r="F1" s="246"/>
      <c r="G1" s="246"/>
      <c r="H1" s="246"/>
      <c r="I1" s="246"/>
      <c r="N1" s="918" t="s">
        <v>179</v>
      </c>
      <c r="O1" s="918"/>
    </row>
    <row r="3" spans="1:15" ht="26.25">
      <c r="A3" s="927" t="s">
        <v>200</v>
      </c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</row>
    <row r="4" spans="1:15" ht="18">
      <c r="A4" s="247"/>
      <c r="B4" s="248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5" ht="18.75" thickBot="1">
      <c r="A5" s="45"/>
      <c r="B5" s="928"/>
      <c r="C5" s="928"/>
      <c r="D5" s="928"/>
      <c r="E5" s="928"/>
      <c r="F5" s="928"/>
      <c r="G5" s="928"/>
      <c r="H5" s="928"/>
      <c r="I5" s="928"/>
      <c r="J5" s="928"/>
      <c r="K5" s="928"/>
      <c r="L5" s="249"/>
      <c r="M5" s="249"/>
      <c r="N5" s="249"/>
      <c r="O5" s="250" t="s">
        <v>201</v>
      </c>
    </row>
    <row r="6" spans="1:15" ht="21.75" customHeight="1">
      <c r="A6" s="929"/>
      <c r="B6" s="909" t="s">
        <v>202</v>
      </c>
      <c r="C6" s="912" t="s">
        <v>95</v>
      </c>
      <c r="D6" s="907" t="s">
        <v>166</v>
      </c>
      <c r="E6" s="916" t="s">
        <v>203</v>
      </c>
      <c r="F6" s="907" t="s">
        <v>441</v>
      </c>
      <c r="G6" s="904"/>
      <c r="H6" s="919" t="s">
        <v>241</v>
      </c>
      <c r="I6" s="919" t="s">
        <v>204</v>
      </c>
      <c r="J6" s="907" t="s">
        <v>205</v>
      </c>
      <c r="K6" s="904"/>
      <c r="L6" s="923" t="s">
        <v>206</v>
      </c>
      <c r="M6" s="924"/>
      <c r="N6" s="919" t="s">
        <v>440</v>
      </c>
      <c r="O6" s="919" t="s">
        <v>207</v>
      </c>
    </row>
    <row r="7" spans="1:15" ht="43.5" customHeight="1" thickBot="1">
      <c r="A7" s="930"/>
      <c r="B7" s="910"/>
      <c r="C7" s="913"/>
      <c r="D7" s="908"/>
      <c r="E7" s="917"/>
      <c r="F7" s="914"/>
      <c r="G7" s="915"/>
      <c r="H7" s="920"/>
      <c r="I7" s="920"/>
      <c r="J7" s="905"/>
      <c r="K7" s="922"/>
      <c r="L7" s="925"/>
      <c r="M7" s="926"/>
      <c r="N7" s="920"/>
      <c r="O7" s="920"/>
    </row>
    <row r="8" spans="1:15" ht="59.25" customHeight="1" thickBot="1">
      <c r="A8" s="931"/>
      <c r="B8" s="911"/>
      <c r="C8" s="906"/>
      <c r="D8" s="905"/>
      <c r="E8" s="252" t="s">
        <v>208</v>
      </c>
      <c r="F8" s="252" t="s">
        <v>201</v>
      </c>
      <c r="G8" s="252" t="s">
        <v>209</v>
      </c>
      <c r="H8" s="921"/>
      <c r="I8" s="921"/>
      <c r="J8" s="253" t="s">
        <v>210</v>
      </c>
      <c r="K8" s="253" t="s">
        <v>211</v>
      </c>
      <c r="L8" s="251" t="s">
        <v>212</v>
      </c>
      <c r="M8" s="251" t="s">
        <v>213</v>
      </c>
      <c r="N8" s="921"/>
      <c r="O8" s="921"/>
    </row>
    <row r="9" spans="1:15" ht="18" customHeight="1" thickBot="1">
      <c r="A9" s="254"/>
      <c r="B9" s="255" t="s">
        <v>183</v>
      </c>
      <c r="C9" s="256">
        <v>1</v>
      </c>
      <c r="D9" s="257">
        <v>2</v>
      </c>
      <c r="E9" s="258">
        <v>3</v>
      </c>
      <c r="F9" s="256" t="s">
        <v>214</v>
      </c>
      <c r="G9" s="256" t="s">
        <v>215</v>
      </c>
      <c r="H9" s="259">
        <v>7</v>
      </c>
      <c r="I9" s="259" t="s">
        <v>216</v>
      </c>
      <c r="J9" s="260" t="s">
        <v>217</v>
      </c>
      <c r="K9" s="261" t="s">
        <v>218</v>
      </c>
      <c r="L9" s="260" t="s">
        <v>219</v>
      </c>
      <c r="M9" s="260" t="s">
        <v>220</v>
      </c>
      <c r="N9" s="260" t="s">
        <v>221</v>
      </c>
      <c r="O9" s="260" t="s">
        <v>222</v>
      </c>
    </row>
    <row r="10" spans="1:15" s="267" customFormat="1" ht="27" customHeight="1" thickBot="1">
      <c r="A10" s="262"/>
      <c r="B10" s="263" t="s">
        <v>223</v>
      </c>
      <c r="C10" s="264">
        <f>SUM(C12:C24)-SUM(C18:C19)-SUM(C22:C23)</f>
        <v>4435199000</v>
      </c>
      <c r="D10" s="264">
        <f>SUM(D12:D24)-SUM(D18:D19)-SUM(D22:D23)</f>
        <v>4335199000</v>
      </c>
      <c r="E10" s="264">
        <f>SUM(E12:E24)-SUM(E18:E19)-SUM(E22:E23)</f>
        <v>4334339869.62</v>
      </c>
      <c r="F10" s="264">
        <f>SUM(F12:F24)-SUM(F18:F19)-SUM(F22:F23)</f>
        <v>-859130.3799999952</v>
      </c>
      <c r="G10" s="265">
        <f>E10/D10</f>
        <v>0.9998018244652668</v>
      </c>
      <c r="H10" s="264">
        <f>SUM(H12:H24)-SUM(H18:H19)-SUM(H22:H23)</f>
        <v>4034918308</v>
      </c>
      <c r="I10" s="265">
        <f>E10/H10</f>
        <v>1.0742075895381424</v>
      </c>
      <c r="J10" s="264">
        <f>SUM(J12:J24)-SUM(J18:J19)-SUM(J22:J23)</f>
        <v>31249</v>
      </c>
      <c r="K10" s="264">
        <f>SUM(K12:K24)-SUM(K18:K19)-SUM(K22:K23)</f>
        <v>30644</v>
      </c>
      <c r="L10" s="266" t="s">
        <v>224</v>
      </c>
      <c r="M10" s="266" t="s">
        <v>224</v>
      </c>
      <c r="N10" s="264">
        <f>SUM(N12:N24)-SUM(N18:N19)-SUM(N22:N23)</f>
        <v>2447</v>
      </c>
      <c r="O10" s="264">
        <f>SUM(O12:O24)-SUM(O18:O19)-SUM(O22:O23)</f>
        <v>363</v>
      </c>
    </row>
    <row r="11" spans="1:15" ht="17.25" customHeight="1">
      <c r="A11" s="268"/>
      <c r="B11" s="269" t="s">
        <v>225</v>
      </c>
      <c r="C11" s="270"/>
      <c r="D11" s="270"/>
      <c r="E11" s="271"/>
      <c r="F11" s="270"/>
      <c r="G11" s="272"/>
      <c r="H11" s="273"/>
      <c r="I11" s="274"/>
      <c r="J11" s="275"/>
      <c r="K11" s="275"/>
      <c r="L11" s="276"/>
      <c r="M11" s="276"/>
      <c r="N11" s="277"/>
      <c r="O11" s="277"/>
    </row>
    <row r="12" spans="1:15" ht="27" customHeight="1">
      <c r="A12" s="278">
        <v>1</v>
      </c>
      <c r="B12" s="279" t="s">
        <v>226</v>
      </c>
      <c r="C12" s="280">
        <v>4013099000</v>
      </c>
      <c r="D12" s="280">
        <v>3948209000</v>
      </c>
      <c r="E12" s="281">
        <v>3947513239.5</v>
      </c>
      <c r="F12" s="282">
        <f>E12-D12</f>
        <v>-695760.5</v>
      </c>
      <c r="G12" s="283">
        <f>E12/D12</f>
        <v>0.9998237781991784</v>
      </c>
      <c r="H12" s="284">
        <v>3653997380</v>
      </c>
      <c r="I12" s="285">
        <f>E12/H12</f>
        <v>1.080327331679696</v>
      </c>
      <c r="J12" s="286">
        <v>25648</v>
      </c>
      <c r="K12" s="286">
        <v>24862</v>
      </c>
      <c r="L12" s="287">
        <v>12756</v>
      </c>
      <c r="M12" s="287">
        <v>12261</v>
      </c>
      <c r="N12" s="288">
        <v>1758</v>
      </c>
      <c r="O12" s="288">
        <v>363</v>
      </c>
    </row>
    <row r="13" spans="1:15" ht="27" customHeight="1">
      <c r="A13" s="289">
        <v>2</v>
      </c>
      <c r="B13" s="279" t="s">
        <v>227</v>
      </c>
      <c r="C13" s="280">
        <v>136000000</v>
      </c>
      <c r="D13" s="280">
        <v>120500000</v>
      </c>
      <c r="E13" s="281">
        <v>120414724.3</v>
      </c>
      <c r="F13" s="282">
        <f>E13-D13</f>
        <v>-85275.70000000298</v>
      </c>
      <c r="G13" s="283">
        <f>E13/D13</f>
        <v>0.9992923178423236</v>
      </c>
      <c r="H13" s="284">
        <v>121758554</v>
      </c>
      <c r="I13" s="285">
        <f>E13/H13</f>
        <v>0.98896315982859</v>
      </c>
      <c r="J13" s="286">
        <v>738</v>
      </c>
      <c r="K13" s="286">
        <v>814</v>
      </c>
      <c r="L13" s="287">
        <v>12562</v>
      </c>
      <c r="M13" s="290">
        <v>12084</v>
      </c>
      <c r="N13" s="288">
        <v>77</v>
      </c>
      <c r="O13" s="288">
        <v>0</v>
      </c>
    </row>
    <row r="14" spans="1:15" ht="27" customHeight="1">
      <c r="A14" s="278">
        <v>3</v>
      </c>
      <c r="B14" s="279" t="s">
        <v>228</v>
      </c>
      <c r="C14" s="280">
        <v>9800000</v>
      </c>
      <c r="D14" s="280">
        <v>12510000</v>
      </c>
      <c r="E14" s="281">
        <v>12502303.64</v>
      </c>
      <c r="F14" s="282">
        <f>E14-D14</f>
        <v>-7696.359999999404</v>
      </c>
      <c r="G14" s="283">
        <f>E14/D14</f>
        <v>0.9993847833733014</v>
      </c>
      <c r="H14" s="284">
        <v>9107254</v>
      </c>
      <c r="I14" s="285">
        <f>E14/H14</f>
        <v>1.3727852149506317</v>
      </c>
      <c r="J14" s="286">
        <v>142</v>
      </c>
      <c r="K14" s="287">
        <v>107</v>
      </c>
      <c r="L14" s="287">
        <v>8059</v>
      </c>
      <c r="M14" s="287">
        <v>7767</v>
      </c>
      <c r="N14" s="288">
        <v>63</v>
      </c>
      <c r="O14" s="288">
        <v>0</v>
      </c>
    </row>
    <row r="15" spans="1:15" ht="27" customHeight="1">
      <c r="A15" s="278">
        <v>4</v>
      </c>
      <c r="B15" s="279" t="s">
        <v>229</v>
      </c>
      <c r="C15" s="280">
        <v>27100000</v>
      </c>
      <c r="D15" s="280">
        <v>26260000</v>
      </c>
      <c r="E15" s="281">
        <v>26253494</v>
      </c>
      <c r="F15" s="282">
        <f>E15-D15</f>
        <v>-6506</v>
      </c>
      <c r="G15" s="283">
        <f>E15/D15</f>
        <v>0.9997522467631379</v>
      </c>
      <c r="H15" s="284">
        <v>24728584</v>
      </c>
      <c r="I15" s="285">
        <f>E15/H15</f>
        <v>1.061665884306194</v>
      </c>
      <c r="J15" s="286">
        <v>298</v>
      </c>
      <c r="K15" s="291">
        <v>308</v>
      </c>
      <c r="L15" s="287">
        <v>7252</v>
      </c>
      <c r="M15" s="290">
        <v>7208</v>
      </c>
      <c r="N15" s="288">
        <v>60</v>
      </c>
      <c r="O15" s="288">
        <v>0</v>
      </c>
    </row>
    <row r="16" spans="1:15" ht="27" customHeight="1">
      <c r="A16" s="289">
        <v>5</v>
      </c>
      <c r="B16" s="279" t="s">
        <v>230</v>
      </c>
      <c r="C16" s="292">
        <v>139200000</v>
      </c>
      <c r="D16" s="292">
        <v>122800000</v>
      </c>
      <c r="E16" s="293">
        <v>122771694.18</v>
      </c>
      <c r="F16" s="282">
        <f>E16-D16</f>
        <v>-28305.819999992847</v>
      </c>
      <c r="G16" s="283">
        <f>E16/D16</f>
        <v>0.9997694965798046</v>
      </c>
      <c r="H16" s="294">
        <v>125278892</v>
      </c>
      <c r="I16" s="285">
        <f>E16/H16</f>
        <v>0.9799870690107956</v>
      </c>
      <c r="J16" s="294">
        <v>1776</v>
      </c>
      <c r="K16" s="294">
        <v>1898</v>
      </c>
      <c r="L16" s="295">
        <v>5321</v>
      </c>
      <c r="M16" s="295">
        <v>5351</v>
      </c>
      <c r="N16" s="294">
        <v>188</v>
      </c>
      <c r="O16" s="294">
        <v>0</v>
      </c>
    </row>
    <row r="17" spans="1:15" ht="18" customHeight="1">
      <c r="A17" s="268"/>
      <c r="B17" s="296" t="s">
        <v>231</v>
      </c>
      <c r="C17" s="270"/>
      <c r="D17" s="270"/>
      <c r="E17" s="297"/>
      <c r="F17" s="270"/>
      <c r="G17" s="272"/>
      <c r="H17" s="282"/>
      <c r="I17" s="298"/>
      <c r="J17" s="282"/>
      <c r="K17" s="282"/>
      <c r="L17" s="274"/>
      <c r="M17" s="274"/>
      <c r="N17" s="277"/>
      <c r="O17" s="277"/>
    </row>
    <row r="18" spans="1:15" s="304" customFormat="1" ht="27" customHeight="1">
      <c r="A18" s="299" t="s">
        <v>232</v>
      </c>
      <c r="B18" s="300" t="s">
        <v>233</v>
      </c>
      <c r="C18" s="270" t="s">
        <v>224</v>
      </c>
      <c r="D18" s="270" t="s">
        <v>224</v>
      </c>
      <c r="E18" s="301"/>
      <c r="F18" s="270" t="s">
        <v>224</v>
      </c>
      <c r="G18" s="272" t="s">
        <v>224</v>
      </c>
      <c r="H18" s="302" t="s">
        <v>224</v>
      </c>
      <c r="I18" s="303" t="s">
        <v>224</v>
      </c>
      <c r="J18" s="284">
        <v>896</v>
      </c>
      <c r="K18" s="284">
        <v>1060</v>
      </c>
      <c r="L18" s="295">
        <v>7655</v>
      </c>
      <c r="M18" s="295">
        <v>7300</v>
      </c>
      <c r="N18" s="288">
        <v>119</v>
      </c>
      <c r="O18" s="288">
        <v>0</v>
      </c>
    </row>
    <row r="19" spans="1:15" s="304" customFormat="1" ht="27" customHeight="1">
      <c r="A19" s="299" t="s">
        <v>234</v>
      </c>
      <c r="B19" s="300" t="s">
        <v>235</v>
      </c>
      <c r="C19" s="270" t="s">
        <v>224</v>
      </c>
      <c r="D19" s="270" t="s">
        <v>224</v>
      </c>
      <c r="E19" s="301"/>
      <c r="F19" s="270" t="s">
        <v>224</v>
      </c>
      <c r="G19" s="272" t="s">
        <v>224</v>
      </c>
      <c r="H19" s="305" t="s">
        <v>224</v>
      </c>
      <c r="I19" s="303" t="s">
        <v>224</v>
      </c>
      <c r="J19" s="284">
        <v>880</v>
      </c>
      <c r="K19" s="306">
        <v>838</v>
      </c>
      <c r="L19" s="295">
        <v>2946</v>
      </c>
      <c r="M19" s="295">
        <v>2887</v>
      </c>
      <c r="N19" s="288">
        <v>69</v>
      </c>
      <c r="O19" s="288">
        <v>0</v>
      </c>
    </row>
    <row r="20" spans="1:15" ht="27" customHeight="1">
      <c r="A20" s="289">
        <v>6</v>
      </c>
      <c r="B20" s="279" t="s">
        <v>236</v>
      </c>
      <c r="C20" s="292">
        <v>41500000</v>
      </c>
      <c r="D20" s="292">
        <v>39920000</v>
      </c>
      <c r="E20" s="293">
        <v>39913624</v>
      </c>
      <c r="F20" s="307">
        <f>E20-D20</f>
        <v>-6376</v>
      </c>
      <c r="G20" s="298">
        <f>E20/D20</f>
        <v>0.9998402805611223</v>
      </c>
      <c r="H20" s="294">
        <v>37615058</v>
      </c>
      <c r="I20" s="285">
        <f>E20/H20</f>
        <v>1.0611076021735764</v>
      </c>
      <c r="J20" s="294">
        <v>1839</v>
      </c>
      <c r="K20" s="294">
        <v>1789</v>
      </c>
      <c r="L20" s="295">
        <v>1789</v>
      </c>
      <c r="M20" s="295">
        <v>1700</v>
      </c>
      <c r="N20" s="294">
        <v>205</v>
      </c>
      <c r="O20" s="294">
        <v>0</v>
      </c>
    </row>
    <row r="21" spans="1:15" ht="17.25" customHeight="1">
      <c r="A21" s="308"/>
      <c r="B21" s="296" t="s">
        <v>231</v>
      </c>
      <c r="C21" s="270"/>
      <c r="D21" s="270"/>
      <c r="E21" s="297"/>
      <c r="F21" s="270"/>
      <c r="G21" s="272"/>
      <c r="H21" s="282"/>
      <c r="I21" s="298"/>
      <c r="J21" s="282"/>
      <c r="K21" s="282"/>
      <c r="L21" s="274"/>
      <c r="M21" s="274"/>
      <c r="N21" s="309"/>
      <c r="O21" s="309"/>
    </row>
    <row r="22" spans="1:15" s="304" customFormat="1" ht="27" customHeight="1">
      <c r="A22" s="299" t="s">
        <v>237</v>
      </c>
      <c r="B22" s="300" t="s">
        <v>233</v>
      </c>
      <c r="C22" s="270" t="s">
        <v>224</v>
      </c>
      <c r="D22" s="270" t="s">
        <v>224</v>
      </c>
      <c r="E22" s="301"/>
      <c r="F22" s="270" t="s">
        <v>224</v>
      </c>
      <c r="G22" s="272" t="s">
        <v>224</v>
      </c>
      <c r="H22" s="305" t="s">
        <v>224</v>
      </c>
      <c r="I22" s="303" t="s">
        <v>224</v>
      </c>
      <c r="J22" s="284">
        <v>28</v>
      </c>
      <c r="K22" s="284">
        <v>27</v>
      </c>
      <c r="L22" s="295">
        <v>6767</v>
      </c>
      <c r="M22" s="295">
        <v>6353</v>
      </c>
      <c r="N22" s="288">
        <v>6</v>
      </c>
      <c r="O22" s="288">
        <v>0</v>
      </c>
    </row>
    <row r="23" spans="1:15" s="304" customFormat="1" ht="27" customHeight="1">
      <c r="A23" s="299" t="s">
        <v>238</v>
      </c>
      <c r="B23" s="300" t="s">
        <v>235</v>
      </c>
      <c r="C23" s="270" t="s">
        <v>224</v>
      </c>
      <c r="D23" s="270" t="s">
        <v>224</v>
      </c>
      <c r="E23" s="301"/>
      <c r="F23" s="270" t="s">
        <v>224</v>
      </c>
      <c r="G23" s="272" t="s">
        <v>224</v>
      </c>
      <c r="H23" s="310" t="s">
        <v>224</v>
      </c>
      <c r="I23" s="303" t="s">
        <v>224</v>
      </c>
      <c r="J23" s="284">
        <v>1811</v>
      </c>
      <c r="K23" s="284">
        <v>1762</v>
      </c>
      <c r="L23" s="295">
        <v>1712</v>
      </c>
      <c r="M23" s="295">
        <v>1628</v>
      </c>
      <c r="N23" s="288">
        <v>199</v>
      </c>
      <c r="O23" s="288">
        <v>0</v>
      </c>
    </row>
    <row r="24" spans="1:15" ht="27" customHeight="1" thickBot="1">
      <c r="A24" s="311">
        <v>7</v>
      </c>
      <c r="B24" s="312" t="s">
        <v>239</v>
      </c>
      <c r="C24" s="313">
        <v>68500000</v>
      </c>
      <c r="D24" s="313">
        <v>65000000</v>
      </c>
      <c r="E24" s="314">
        <v>64970790</v>
      </c>
      <c r="F24" s="315">
        <f>E24-D24</f>
        <v>-29210</v>
      </c>
      <c r="G24" s="316">
        <f>E24/D24</f>
        <v>0.9995506153846154</v>
      </c>
      <c r="H24" s="317">
        <v>62432586</v>
      </c>
      <c r="I24" s="318">
        <f>E24/H24</f>
        <v>1.040655115583391</v>
      </c>
      <c r="J24" s="319">
        <v>808</v>
      </c>
      <c r="K24" s="319">
        <v>866</v>
      </c>
      <c r="L24" s="320">
        <v>6152</v>
      </c>
      <c r="M24" s="320">
        <v>5838</v>
      </c>
      <c r="N24" s="321">
        <v>96</v>
      </c>
      <c r="O24" s="321">
        <v>0</v>
      </c>
    </row>
    <row r="25" spans="1:15" ht="18">
      <c r="A25" s="45"/>
      <c r="B25" s="322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5" ht="18">
      <c r="A26" s="45"/>
      <c r="B26" s="322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1:15" ht="18">
      <c r="A27" s="45"/>
      <c r="B27" s="323"/>
      <c r="C27" s="324"/>
      <c r="D27" s="324"/>
      <c r="E27" s="324"/>
      <c r="F27" s="325"/>
      <c r="G27" s="324"/>
      <c r="H27" s="324"/>
      <c r="I27" s="324"/>
      <c r="J27" s="324"/>
      <c r="K27" s="45"/>
      <c r="L27" s="45"/>
      <c r="M27" s="45"/>
      <c r="N27" s="45"/>
      <c r="O27" s="45"/>
    </row>
    <row r="28" spans="1:15" ht="18">
      <c r="A28" s="45"/>
      <c r="B28" s="323"/>
      <c r="C28" s="324"/>
      <c r="D28" s="324"/>
      <c r="E28" s="324"/>
      <c r="F28" s="326"/>
      <c r="G28" s="324"/>
      <c r="H28" s="324"/>
      <c r="I28" s="324"/>
      <c r="J28" s="324"/>
      <c r="K28" s="45"/>
      <c r="L28" s="45"/>
      <c r="M28" s="45"/>
      <c r="N28" s="45"/>
      <c r="O28" s="45"/>
    </row>
    <row r="29" spans="1:15" s="329" customFormat="1" ht="20.25">
      <c r="A29" s="327"/>
      <c r="B29" s="327" t="s">
        <v>196</v>
      </c>
      <c r="C29" s="328"/>
      <c r="D29" s="327"/>
      <c r="F29" s="330" t="s">
        <v>240</v>
      </c>
      <c r="G29" s="331"/>
      <c r="H29" s="332"/>
      <c r="I29" s="333"/>
      <c r="J29" s="334"/>
      <c r="K29" s="335"/>
      <c r="L29" s="336"/>
      <c r="M29" s="334"/>
      <c r="N29" s="334" t="s">
        <v>167</v>
      </c>
      <c r="O29" s="328"/>
    </row>
  </sheetData>
  <mergeCells count="15">
    <mergeCell ref="N1:O1"/>
    <mergeCell ref="N6:N8"/>
    <mergeCell ref="O6:O8"/>
    <mergeCell ref="H6:H8"/>
    <mergeCell ref="I6:I8"/>
    <mergeCell ref="J6:K7"/>
    <mergeCell ref="L6:M7"/>
    <mergeCell ref="A3:O3"/>
    <mergeCell ref="B5:K5"/>
    <mergeCell ref="A6:A8"/>
    <mergeCell ref="B6:B8"/>
    <mergeCell ref="C6:C8"/>
    <mergeCell ref="D6:D8"/>
    <mergeCell ref="F6:G7"/>
    <mergeCell ref="E6:E7"/>
  </mergeCells>
  <conditionalFormatting sqref="I21 G10">
    <cfRule type="expression" priority="1" dxfId="0" stopIfTrue="1">
      <formula>$G10&gt;0</formula>
    </cfRule>
  </conditionalFormatting>
  <conditionalFormatting sqref="I10 I22:I24 I12:I20">
    <cfRule type="expression" priority="2" dxfId="0" stopIfTrue="1">
      <formula>$H10&gt;0</formula>
    </cfRule>
  </conditionalFormatting>
  <conditionalFormatting sqref="H23">
    <cfRule type="expression" priority="3" dxfId="0" stopIfTrue="1">
      <formula>$I23&gt;0</formula>
    </cfRule>
  </conditionalFormatting>
  <conditionalFormatting sqref="G17 G21 H24 H21:H22 H17:H19 H12:H15 D17 D21">
    <cfRule type="cellIs" priority="4" dxfId="1" operator="equal" stopIfTrue="1">
      <formula>0</formula>
    </cfRule>
  </conditionalFormatting>
  <conditionalFormatting sqref="J16:K16 N20:O20 J20:K20 N16:O16 J10:K10 N10:O10 H16 H10 C16:E16 C20:H20 C10:F10">
    <cfRule type="expression" priority="5" dxfId="0" stopIfTrue="1">
      <formula>C10&gt;0</formula>
    </cfRule>
  </conditionalFormatting>
  <conditionalFormatting sqref="D13">
    <cfRule type="cellIs" priority="6" dxfId="1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3937007874015748"/>
  <pageSetup blackAndWhite="1" fitToHeight="1" fitToWidth="1" horizontalDpi="600" verticalDpi="600" orientation="landscape" paperSize="9" scale="52" r:id="rId1"/>
  <headerFooter alignWithMargins="0">
    <oddFooter>&amp;C&amp;16&amp;P+84
&amp;14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tabSelected="1" workbookViewId="0" topLeftCell="A22">
      <selection activeCell="H13" sqref="H13"/>
    </sheetView>
  </sheetViews>
  <sheetFormatPr defaultColWidth="9.00390625" defaultRowHeight="12.75"/>
  <cols>
    <col min="1" max="1" width="41.125" style="113" customWidth="1"/>
    <col min="2" max="2" width="10.75390625" style="113" customWidth="1"/>
    <col min="3" max="7" width="20.75390625" style="113" customWidth="1"/>
    <col min="8" max="10" width="15.75390625" style="113" customWidth="1"/>
    <col min="11" max="12" width="11.75390625" style="113" customWidth="1"/>
    <col min="13" max="13" width="12.875" style="113" customWidth="1"/>
    <col min="14" max="14" width="10.75390625" style="113" customWidth="1"/>
    <col min="15" max="16384" width="9.125" style="113" customWidth="1"/>
  </cols>
  <sheetData>
    <row r="2" spans="1:13" ht="17.25" customHeight="1">
      <c r="A2" s="958" t="s">
        <v>151</v>
      </c>
      <c r="B2" s="958"/>
      <c r="C2" s="958"/>
      <c r="D2" s="958"/>
      <c r="E2" s="958"/>
      <c r="F2" s="958"/>
      <c r="G2" s="958"/>
      <c r="H2" s="139"/>
      <c r="I2" s="139"/>
      <c r="J2" s="139"/>
      <c r="K2" s="139"/>
      <c r="L2" s="139"/>
      <c r="M2" s="139"/>
    </row>
    <row r="3" ht="16.5" customHeight="1" thickBot="1">
      <c r="G3" s="155" t="s">
        <v>92</v>
      </c>
    </row>
    <row r="4" spans="1:13" s="43" customFormat="1" ht="17.25" customHeight="1" thickBot="1">
      <c r="A4" s="947" t="s">
        <v>122</v>
      </c>
      <c r="B4" s="948"/>
      <c r="C4" s="948"/>
      <c r="D4" s="948"/>
      <c r="E4" s="948"/>
      <c r="F4" s="948"/>
      <c r="G4" s="949"/>
      <c r="H4" s="130"/>
      <c r="I4" s="130"/>
      <c r="J4" s="130"/>
      <c r="K4" s="130"/>
      <c r="L4" s="130"/>
      <c r="M4" s="130"/>
    </row>
    <row r="5" spans="1:7" ht="36.75" thickBot="1">
      <c r="A5" s="183" t="s">
        <v>152</v>
      </c>
      <c r="B5" s="141" t="s">
        <v>153</v>
      </c>
      <c r="C5" s="141" t="s">
        <v>124</v>
      </c>
      <c r="D5" s="141" t="s">
        <v>154</v>
      </c>
      <c r="E5" s="141" t="s">
        <v>125</v>
      </c>
      <c r="F5" s="141" t="s">
        <v>126</v>
      </c>
      <c r="G5" s="142" t="s">
        <v>121</v>
      </c>
    </row>
    <row r="6" spans="1:7" ht="19.5" customHeight="1">
      <c r="A6" s="964" t="s">
        <v>155</v>
      </c>
      <c r="B6" s="180">
        <v>114070</v>
      </c>
      <c r="C6" s="181">
        <v>47388</v>
      </c>
      <c r="D6" s="181">
        <v>0</v>
      </c>
      <c r="E6" s="181">
        <v>0</v>
      </c>
      <c r="F6" s="181">
        <v>0</v>
      </c>
      <c r="G6" s="182">
        <f>SUM(C6:F6)</f>
        <v>47388</v>
      </c>
    </row>
    <row r="7" spans="1:7" ht="19.5" customHeight="1">
      <c r="A7" s="960"/>
      <c r="B7" s="159">
        <v>114110</v>
      </c>
      <c r="C7" s="160">
        <v>268982</v>
      </c>
      <c r="D7" s="160">
        <v>14509</v>
      </c>
      <c r="E7" s="160">
        <v>47922</v>
      </c>
      <c r="F7" s="160">
        <v>48053</v>
      </c>
      <c r="G7" s="161">
        <f>SUM(C7:F7)</f>
        <v>379466</v>
      </c>
    </row>
    <row r="8" spans="1:7" ht="19.5" customHeight="1">
      <c r="A8" s="960"/>
      <c r="B8" s="159">
        <v>214110</v>
      </c>
      <c r="C8" s="160">
        <v>425814</v>
      </c>
      <c r="D8" s="160">
        <v>2557</v>
      </c>
      <c r="E8" s="160">
        <v>15</v>
      </c>
      <c r="F8" s="160">
        <v>14480</v>
      </c>
      <c r="G8" s="161">
        <f>SUM(C8:F8)</f>
        <v>442866</v>
      </c>
    </row>
    <row r="9" spans="1:7" ht="19.5" customHeight="1">
      <c r="A9" s="961"/>
      <c r="B9" s="162" t="s">
        <v>121</v>
      </c>
      <c r="C9" s="163">
        <f>SUM(C6:C8)</f>
        <v>742184</v>
      </c>
      <c r="D9" s="163">
        <f>SUM(D6:D8)</f>
        <v>17066</v>
      </c>
      <c r="E9" s="163">
        <f>SUM(E6:E8)</f>
        <v>47937</v>
      </c>
      <c r="F9" s="163">
        <f>SUM(F6:F8)</f>
        <v>62533</v>
      </c>
      <c r="G9" s="164">
        <f>SUM(G6:G8)</f>
        <v>869720</v>
      </c>
    </row>
    <row r="10" spans="1:7" ht="19.5" customHeight="1">
      <c r="A10" s="959" t="s">
        <v>156</v>
      </c>
      <c r="B10" s="159">
        <v>114070</v>
      </c>
      <c r="C10" s="160">
        <v>97600</v>
      </c>
      <c r="D10" s="160">
        <v>0</v>
      </c>
      <c r="E10" s="160">
        <v>0</v>
      </c>
      <c r="F10" s="160">
        <v>0</v>
      </c>
      <c r="G10" s="161">
        <f>SUM(C10:F10)</f>
        <v>97600</v>
      </c>
    </row>
    <row r="11" spans="1:7" ht="19.5" customHeight="1">
      <c r="A11" s="960"/>
      <c r="B11" s="159">
        <v>114210</v>
      </c>
      <c r="C11" s="160">
        <v>136613</v>
      </c>
      <c r="D11" s="160">
        <v>487</v>
      </c>
      <c r="E11" s="160">
        <v>2758</v>
      </c>
      <c r="F11" s="160">
        <v>0</v>
      </c>
      <c r="G11" s="161">
        <f>SUM(C11:F11)</f>
        <v>139858</v>
      </c>
    </row>
    <row r="12" spans="1:7" ht="19.5" customHeight="1">
      <c r="A12" s="960"/>
      <c r="B12" s="159">
        <v>114230</v>
      </c>
      <c r="C12" s="160">
        <v>60000</v>
      </c>
      <c r="D12" s="160">
        <v>0</v>
      </c>
      <c r="E12" s="160">
        <v>0</v>
      </c>
      <c r="F12" s="160">
        <v>0</v>
      </c>
      <c r="G12" s="161">
        <f>SUM(C12:F12)</f>
        <v>60000</v>
      </c>
    </row>
    <row r="13" spans="1:7" ht="19.5" customHeight="1">
      <c r="A13" s="960"/>
      <c r="B13" s="159">
        <v>214210</v>
      </c>
      <c r="C13" s="160">
        <v>21650</v>
      </c>
      <c r="D13" s="160">
        <v>0</v>
      </c>
      <c r="E13" s="160">
        <v>0</v>
      </c>
      <c r="F13" s="160">
        <v>0</v>
      </c>
      <c r="G13" s="161">
        <f>SUM(C13:F13)</f>
        <v>21650</v>
      </c>
    </row>
    <row r="14" spans="1:7" ht="19.5" customHeight="1">
      <c r="A14" s="961"/>
      <c r="B14" s="162" t="s">
        <v>121</v>
      </c>
      <c r="C14" s="163">
        <f>SUM(C10:C13)</f>
        <v>315863</v>
      </c>
      <c r="D14" s="163">
        <f>SUM(D10:D13)</f>
        <v>487</v>
      </c>
      <c r="E14" s="163">
        <f>SUM(E10:E13)</f>
        <v>2758</v>
      </c>
      <c r="F14" s="163">
        <f>SUM(F10:F13)</f>
        <v>0</v>
      </c>
      <c r="G14" s="164">
        <f>SUM(G10:G13)</f>
        <v>319108</v>
      </c>
    </row>
    <row r="15" spans="1:7" ht="19.5" customHeight="1">
      <c r="A15" s="959" t="s">
        <v>157</v>
      </c>
      <c r="B15" s="159">
        <v>114020</v>
      </c>
      <c r="C15" s="160">
        <v>0</v>
      </c>
      <c r="D15" s="160">
        <v>0</v>
      </c>
      <c r="E15" s="160">
        <v>0</v>
      </c>
      <c r="F15" s="160">
        <v>0</v>
      </c>
      <c r="G15" s="161">
        <f aca="true" t="shared" si="0" ref="G15:G22">SUM(C15:F15)</f>
        <v>0</v>
      </c>
    </row>
    <row r="16" spans="1:7" ht="19.5" customHeight="1">
      <c r="A16" s="965"/>
      <c r="B16" s="159">
        <v>114040</v>
      </c>
      <c r="C16" s="160">
        <v>0</v>
      </c>
      <c r="D16" s="160">
        <v>0</v>
      </c>
      <c r="E16" s="160">
        <v>0</v>
      </c>
      <c r="F16" s="160">
        <v>0</v>
      </c>
      <c r="G16" s="161">
        <f t="shared" si="0"/>
        <v>0</v>
      </c>
    </row>
    <row r="17" spans="1:7" ht="19.5" customHeight="1">
      <c r="A17" s="965"/>
      <c r="B17" s="159">
        <v>114050</v>
      </c>
      <c r="C17" s="160">
        <v>35000</v>
      </c>
      <c r="D17" s="160">
        <v>0</v>
      </c>
      <c r="E17" s="160">
        <v>0</v>
      </c>
      <c r="F17" s="160">
        <v>0</v>
      </c>
      <c r="G17" s="161">
        <f t="shared" si="0"/>
        <v>35000</v>
      </c>
    </row>
    <row r="18" spans="1:7" ht="19.5" customHeight="1">
      <c r="A18" s="965"/>
      <c r="B18" s="159">
        <v>114070</v>
      </c>
      <c r="C18" s="160">
        <v>0</v>
      </c>
      <c r="D18" s="160">
        <v>0</v>
      </c>
      <c r="E18" s="160">
        <v>0</v>
      </c>
      <c r="F18" s="160">
        <v>0</v>
      </c>
      <c r="G18" s="161">
        <f t="shared" si="0"/>
        <v>0</v>
      </c>
    </row>
    <row r="19" spans="1:7" ht="19.5" customHeight="1">
      <c r="A19" s="965"/>
      <c r="B19" s="159">
        <v>114410</v>
      </c>
      <c r="C19" s="160">
        <v>4000</v>
      </c>
      <c r="D19" s="160">
        <v>0</v>
      </c>
      <c r="E19" s="160">
        <v>0</v>
      </c>
      <c r="F19" s="160">
        <v>0</v>
      </c>
      <c r="G19" s="161">
        <f t="shared" si="0"/>
        <v>4000</v>
      </c>
    </row>
    <row r="20" spans="1:7" ht="19.5" customHeight="1">
      <c r="A20" s="965"/>
      <c r="B20" s="159">
        <v>214020</v>
      </c>
      <c r="C20" s="160">
        <v>0</v>
      </c>
      <c r="D20" s="160">
        <v>0</v>
      </c>
      <c r="E20" s="160">
        <v>0</v>
      </c>
      <c r="F20" s="160">
        <v>0</v>
      </c>
      <c r="G20" s="161">
        <f t="shared" si="0"/>
        <v>0</v>
      </c>
    </row>
    <row r="21" spans="1:7" ht="19.5" customHeight="1">
      <c r="A21" s="965"/>
      <c r="B21" s="159">
        <v>214110</v>
      </c>
      <c r="C21" s="160">
        <v>0</v>
      </c>
      <c r="D21" s="160">
        <v>0</v>
      </c>
      <c r="E21" s="160">
        <v>0</v>
      </c>
      <c r="F21" s="160">
        <v>0</v>
      </c>
      <c r="G21" s="161">
        <f t="shared" si="0"/>
        <v>0</v>
      </c>
    </row>
    <row r="22" spans="1:7" ht="19.5" customHeight="1">
      <c r="A22" s="965"/>
      <c r="B22" s="159">
        <v>214910</v>
      </c>
      <c r="C22" s="160">
        <v>31000</v>
      </c>
      <c r="D22" s="160">
        <v>0</v>
      </c>
      <c r="E22" s="160">
        <v>0</v>
      </c>
      <c r="F22" s="160">
        <v>0</v>
      </c>
      <c r="G22" s="161">
        <f t="shared" si="0"/>
        <v>31000</v>
      </c>
    </row>
    <row r="23" spans="1:7" ht="19.5" customHeight="1">
      <c r="A23" s="966"/>
      <c r="B23" s="162" t="s">
        <v>121</v>
      </c>
      <c r="C23" s="163">
        <f>SUM(C16:C22)</f>
        <v>70000</v>
      </c>
      <c r="D23" s="163">
        <f>SUM(D16:D22)</f>
        <v>0</v>
      </c>
      <c r="E23" s="163">
        <f>SUM(E16:E22)</f>
        <v>0</v>
      </c>
      <c r="F23" s="163">
        <f>SUM(F16:F22)</f>
        <v>0</v>
      </c>
      <c r="G23" s="164">
        <f>SUM(G16:G22)</f>
        <v>70000</v>
      </c>
    </row>
    <row r="24" spans="1:7" ht="19.5" customHeight="1">
      <c r="A24" s="959" t="s">
        <v>158</v>
      </c>
      <c r="B24" s="159">
        <v>114020</v>
      </c>
      <c r="C24" s="160">
        <v>5000</v>
      </c>
      <c r="D24" s="160">
        <v>0</v>
      </c>
      <c r="E24" s="160">
        <v>0</v>
      </c>
      <c r="F24" s="160">
        <v>0</v>
      </c>
      <c r="G24" s="161">
        <f>SUM(C24:F24)</f>
        <v>5000</v>
      </c>
    </row>
    <row r="25" spans="1:7" ht="19.5" customHeight="1">
      <c r="A25" s="965"/>
      <c r="B25" s="159">
        <v>114030</v>
      </c>
      <c r="C25" s="160">
        <v>0</v>
      </c>
      <c r="D25" s="160">
        <v>0</v>
      </c>
      <c r="E25" s="160">
        <v>0</v>
      </c>
      <c r="F25" s="160">
        <v>0</v>
      </c>
      <c r="G25" s="161">
        <f>SUM(C25:F25)</f>
        <v>0</v>
      </c>
    </row>
    <row r="26" spans="1:7" ht="19.5" customHeight="1">
      <c r="A26" s="965"/>
      <c r="B26" s="159">
        <v>114040</v>
      </c>
      <c r="C26" s="160">
        <v>600</v>
      </c>
      <c r="D26" s="160">
        <v>0</v>
      </c>
      <c r="E26" s="160">
        <v>0</v>
      </c>
      <c r="F26" s="160">
        <v>0</v>
      </c>
      <c r="G26" s="161">
        <f>SUM(C26:F26)</f>
        <v>600</v>
      </c>
    </row>
    <row r="27" spans="1:7" ht="19.5" customHeight="1">
      <c r="A27" s="965"/>
      <c r="B27" s="159">
        <v>214020</v>
      </c>
      <c r="C27" s="160">
        <v>0</v>
      </c>
      <c r="D27" s="160">
        <v>0</v>
      </c>
      <c r="E27" s="160">
        <v>0</v>
      </c>
      <c r="F27" s="160">
        <v>0</v>
      </c>
      <c r="G27" s="161">
        <f>SUM(C27:F27)</f>
        <v>0</v>
      </c>
    </row>
    <row r="28" spans="1:7" ht="19.5" customHeight="1">
      <c r="A28" s="965"/>
      <c r="B28" s="159">
        <v>214030</v>
      </c>
      <c r="C28" s="160">
        <v>0</v>
      </c>
      <c r="D28" s="160">
        <v>0</v>
      </c>
      <c r="E28" s="160">
        <v>0</v>
      </c>
      <c r="F28" s="160">
        <v>0</v>
      </c>
      <c r="G28" s="161">
        <f>SUM(C28:F28)</f>
        <v>0</v>
      </c>
    </row>
    <row r="29" spans="1:7" ht="19.5" customHeight="1">
      <c r="A29" s="966"/>
      <c r="B29" s="162" t="s">
        <v>121</v>
      </c>
      <c r="C29" s="163">
        <f>SUM(C24:C28)</f>
        <v>5600</v>
      </c>
      <c r="D29" s="163">
        <f>SUM(D24:D28)</f>
        <v>0</v>
      </c>
      <c r="E29" s="163">
        <f>SUM(E24:E28)</f>
        <v>0</v>
      </c>
      <c r="F29" s="163">
        <f>SUM(F24:F28)</f>
        <v>0</v>
      </c>
      <c r="G29" s="164">
        <f>SUM(G24:G28)</f>
        <v>5600</v>
      </c>
    </row>
    <row r="30" spans="1:7" ht="19.5" customHeight="1">
      <c r="A30" s="959" t="s">
        <v>159</v>
      </c>
      <c r="B30" s="159">
        <v>114070</v>
      </c>
      <c r="C30" s="160">
        <v>0</v>
      </c>
      <c r="D30" s="160">
        <v>196945</v>
      </c>
      <c r="E30" s="160">
        <v>961064</v>
      </c>
      <c r="F30" s="160">
        <v>0</v>
      </c>
      <c r="G30" s="161">
        <f>SUM(C30:F30)</f>
        <v>1158009</v>
      </c>
    </row>
    <row r="31" spans="1:7" ht="19.5" customHeight="1">
      <c r="A31" s="960"/>
      <c r="B31" s="159">
        <v>114110</v>
      </c>
      <c r="C31" s="160">
        <v>0</v>
      </c>
      <c r="D31" s="160">
        <v>0</v>
      </c>
      <c r="E31" s="160">
        <v>0</v>
      </c>
      <c r="F31" s="160">
        <v>0</v>
      </c>
      <c r="G31" s="161">
        <f>SUM(C31:F31)</f>
        <v>0</v>
      </c>
    </row>
    <row r="32" spans="1:7" ht="19.5" customHeight="1">
      <c r="A32" s="960"/>
      <c r="B32" s="159">
        <v>114410</v>
      </c>
      <c r="C32" s="160">
        <v>0</v>
      </c>
      <c r="D32" s="160">
        <v>0</v>
      </c>
      <c r="E32" s="160">
        <v>0</v>
      </c>
      <c r="F32" s="160">
        <v>0</v>
      </c>
      <c r="G32" s="161">
        <f>SUM(C32:F32)</f>
        <v>0</v>
      </c>
    </row>
    <row r="33" spans="1:7" ht="19.5" customHeight="1">
      <c r="A33" s="960"/>
      <c r="B33" s="159">
        <v>214110</v>
      </c>
      <c r="C33" s="160">
        <v>0</v>
      </c>
      <c r="D33" s="160">
        <v>11133</v>
      </c>
      <c r="E33" s="160">
        <v>31028</v>
      </c>
      <c r="F33" s="160">
        <v>0</v>
      </c>
      <c r="G33" s="161">
        <f>SUM(C33:F33)</f>
        <v>42161</v>
      </c>
    </row>
    <row r="34" spans="1:7" ht="19.5" customHeight="1">
      <c r="A34" s="961"/>
      <c r="B34" s="162" t="s">
        <v>121</v>
      </c>
      <c r="C34" s="163">
        <f>SUM(C30:C33)</f>
        <v>0</v>
      </c>
      <c r="D34" s="163">
        <f>SUM(D30:D33)</f>
        <v>208078</v>
      </c>
      <c r="E34" s="163">
        <f>SUM(E30:E33)</f>
        <v>992092</v>
      </c>
      <c r="F34" s="163">
        <f>SUM(F30:F33)</f>
        <v>0</v>
      </c>
      <c r="G34" s="164">
        <f>SUM(G30:G33)</f>
        <v>1200170</v>
      </c>
    </row>
    <row r="35" spans="1:7" ht="19.5" customHeight="1" thickBot="1">
      <c r="A35" s="186" t="s">
        <v>160</v>
      </c>
      <c r="B35" s="187">
        <v>114020</v>
      </c>
      <c r="C35" s="165">
        <v>100</v>
      </c>
      <c r="D35" s="165">
        <v>0</v>
      </c>
      <c r="E35" s="165">
        <v>0</v>
      </c>
      <c r="F35" s="165">
        <v>0</v>
      </c>
      <c r="G35" s="166">
        <f>SUM(C35:F35)</f>
        <v>100</v>
      </c>
    </row>
    <row r="36" spans="1:7" ht="34.5" customHeight="1" thickBot="1">
      <c r="A36" s="962" t="s">
        <v>121</v>
      </c>
      <c r="B36" s="963"/>
      <c r="C36" s="184">
        <f>SUM(C35,C34,C29,C23,C14,C9)</f>
        <v>1133747</v>
      </c>
      <c r="D36" s="184">
        <f>SUM(D35,D34,D29,D23,D14,D9)</f>
        <v>225631</v>
      </c>
      <c r="E36" s="184">
        <f>SUM(E35,E34,E29,E23,E14,E9)</f>
        <v>1042787</v>
      </c>
      <c r="F36" s="184">
        <f>SUM(F35,F34,F29,F23,F14,F9)</f>
        <v>62533</v>
      </c>
      <c r="G36" s="185">
        <f>SUM(G35,G34,G29,G23,G14,G9)</f>
        <v>2464698</v>
      </c>
    </row>
    <row r="37" ht="12">
      <c r="D37" s="167"/>
    </row>
  </sheetData>
  <sheetProtection/>
  <mergeCells count="8">
    <mergeCell ref="A2:G2"/>
    <mergeCell ref="A30:A34"/>
    <mergeCell ref="A36:B36"/>
    <mergeCell ref="A4:G4"/>
    <mergeCell ref="A6:A9"/>
    <mergeCell ref="A10:A14"/>
    <mergeCell ref="A15:A23"/>
    <mergeCell ref="A24:A29"/>
  </mergeCells>
  <printOptions horizontalCentered="1"/>
  <pageMargins left="0.7874015748031497" right="0.7874015748031497" top="0.984251968503937" bottom="0.984251968503937" header="0.7086614173228347" footer="0.31496062992125984"/>
  <pageSetup blackAndWhite="1" fitToHeight="1" fitToWidth="1" horizontalDpi="600" verticalDpi="600" orientation="landscape" paperSize="9" scale="63" r:id="rId1"/>
  <headerFooter alignWithMargins="0">
    <oddHeader>&amp;L&amp;"Arial CE,Tučné"&amp;12Kapitola: 314 - Ministerstvo vnitra&amp;R&amp;"Arial CE,Tučné"&amp;12Tabulky č. 13/3&amp;"Arial CE,Obyčejné"&amp;10
List č. 1/5</oddHeader>
    <oddFooter>&amp;C&amp;12
&amp;P+158
&amp;10
&amp;11
&amp;12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41.25390625" style="113" customWidth="1"/>
    <col min="2" max="2" width="10.75390625" style="113" customWidth="1"/>
    <col min="3" max="7" width="20.75390625" style="113" customWidth="1"/>
    <col min="8" max="10" width="15.75390625" style="113" customWidth="1"/>
    <col min="11" max="12" width="11.75390625" style="113" customWidth="1"/>
    <col min="13" max="13" width="12.875" style="113" customWidth="1"/>
    <col min="14" max="14" width="10.75390625" style="113" customWidth="1"/>
    <col min="15" max="16384" width="9.125" style="113" customWidth="1"/>
  </cols>
  <sheetData>
    <row r="2" spans="1:13" ht="17.25" customHeight="1">
      <c r="A2" s="958" t="s">
        <v>151</v>
      </c>
      <c r="B2" s="958"/>
      <c r="C2" s="958"/>
      <c r="D2" s="958"/>
      <c r="E2" s="958"/>
      <c r="F2" s="958"/>
      <c r="G2" s="958"/>
      <c r="H2" s="139"/>
      <c r="I2" s="139"/>
      <c r="J2" s="139"/>
      <c r="K2" s="139"/>
      <c r="L2" s="139"/>
      <c r="M2" s="139"/>
    </row>
    <row r="3" ht="16.5" customHeight="1" thickBot="1">
      <c r="G3" s="155" t="s">
        <v>92</v>
      </c>
    </row>
    <row r="4" spans="1:13" s="43" customFormat="1" ht="17.25" customHeight="1" thickBot="1">
      <c r="A4" s="947" t="s">
        <v>168</v>
      </c>
      <c r="B4" s="948"/>
      <c r="C4" s="948"/>
      <c r="D4" s="948"/>
      <c r="E4" s="948"/>
      <c r="F4" s="948"/>
      <c r="G4" s="949"/>
      <c r="H4" s="130"/>
      <c r="I4" s="130"/>
      <c r="J4" s="130"/>
      <c r="K4" s="130"/>
      <c r="L4" s="130"/>
      <c r="M4" s="130"/>
    </row>
    <row r="5" spans="1:7" ht="36.75" thickBot="1">
      <c r="A5" s="188" t="s">
        <v>152</v>
      </c>
      <c r="B5" s="189" t="s">
        <v>153</v>
      </c>
      <c r="C5" s="189" t="s">
        <v>124</v>
      </c>
      <c r="D5" s="189" t="s">
        <v>154</v>
      </c>
      <c r="E5" s="189" t="s">
        <v>125</v>
      </c>
      <c r="F5" s="189" t="s">
        <v>126</v>
      </c>
      <c r="G5" s="190" t="s">
        <v>121</v>
      </c>
    </row>
    <row r="6" spans="1:7" ht="19.5" customHeight="1">
      <c r="A6" s="967" t="s">
        <v>155</v>
      </c>
      <c r="B6" s="191">
        <v>114070</v>
      </c>
      <c r="C6" s="192">
        <v>20236</v>
      </c>
      <c r="D6" s="192">
        <v>0</v>
      </c>
      <c r="E6" s="192">
        <v>0</v>
      </c>
      <c r="F6" s="192">
        <v>0</v>
      </c>
      <c r="G6" s="193">
        <f>SUM(C6:F6)</f>
        <v>20236</v>
      </c>
    </row>
    <row r="7" spans="1:7" ht="19.5" customHeight="1">
      <c r="A7" s="960"/>
      <c r="B7" s="159">
        <v>114110</v>
      </c>
      <c r="C7" s="160">
        <v>383910</v>
      </c>
      <c r="D7" s="160">
        <v>9270</v>
      </c>
      <c r="E7" s="160">
        <v>50509</v>
      </c>
      <c r="F7" s="160">
        <v>48053</v>
      </c>
      <c r="G7" s="161">
        <f>SUM(C7:F7)</f>
        <v>491742</v>
      </c>
    </row>
    <row r="8" spans="1:7" ht="19.5" customHeight="1">
      <c r="A8" s="960"/>
      <c r="B8" s="159">
        <v>214110</v>
      </c>
      <c r="C8" s="160">
        <v>426086</v>
      </c>
      <c r="D8" s="160">
        <v>2556</v>
      </c>
      <c r="E8" s="160">
        <v>3327</v>
      </c>
      <c r="F8" s="160">
        <v>14480</v>
      </c>
      <c r="G8" s="161">
        <f>SUM(C8:F8)</f>
        <v>446449</v>
      </c>
    </row>
    <row r="9" spans="1:7" ht="19.5" customHeight="1">
      <c r="A9" s="961"/>
      <c r="B9" s="162" t="s">
        <v>121</v>
      </c>
      <c r="C9" s="163">
        <f>SUM(C6:C8)</f>
        <v>830232</v>
      </c>
      <c r="D9" s="163">
        <f>SUM(D6:D8)</f>
        <v>11826</v>
      </c>
      <c r="E9" s="163">
        <f>SUM(E6:E8)</f>
        <v>53836</v>
      </c>
      <c r="F9" s="163">
        <f>SUM(F6:F8)</f>
        <v>62533</v>
      </c>
      <c r="G9" s="164">
        <f>SUM(G6:G8)</f>
        <v>958427</v>
      </c>
    </row>
    <row r="10" spans="1:7" ht="19.5" customHeight="1">
      <c r="A10" s="959" t="s">
        <v>156</v>
      </c>
      <c r="B10" s="159">
        <v>114070</v>
      </c>
      <c r="C10" s="160">
        <v>49723</v>
      </c>
      <c r="D10" s="160">
        <v>0</v>
      </c>
      <c r="E10" s="160">
        <v>0</v>
      </c>
      <c r="F10" s="160">
        <v>0</v>
      </c>
      <c r="G10" s="161">
        <f>SUM(C10:F10)</f>
        <v>49723</v>
      </c>
    </row>
    <row r="11" spans="1:7" ht="19.5" customHeight="1">
      <c r="A11" s="960"/>
      <c r="B11" s="159">
        <v>114210</v>
      </c>
      <c r="C11" s="160">
        <v>246140</v>
      </c>
      <c r="D11" s="160">
        <v>3265</v>
      </c>
      <c r="E11" s="160">
        <v>22428</v>
      </c>
      <c r="F11" s="160">
        <v>0</v>
      </c>
      <c r="G11" s="161">
        <f>SUM(C11:F11)</f>
        <v>271833</v>
      </c>
    </row>
    <row r="12" spans="1:7" ht="19.5" customHeight="1">
      <c r="A12" s="960"/>
      <c r="B12" s="159">
        <v>114230</v>
      </c>
      <c r="C12" s="160">
        <v>56034</v>
      </c>
      <c r="D12" s="160">
        <v>0</v>
      </c>
      <c r="E12" s="160">
        <v>0</v>
      </c>
      <c r="F12" s="160">
        <v>0</v>
      </c>
      <c r="G12" s="161">
        <f>SUM(C12:F12)</f>
        <v>56034</v>
      </c>
    </row>
    <row r="13" spans="1:7" ht="19.5" customHeight="1">
      <c r="A13" s="960"/>
      <c r="B13" s="159">
        <v>214210</v>
      </c>
      <c r="C13" s="160">
        <v>8503</v>
      </c>
      <c r="D13" s="160">
        <v>0</v>
      </c>
      <c r="E13" s="160">
        <v>0</v>
      </c>
      <c r="F13" s="160">
        <v>0</v>
      </c>
      <c r="G13" s="161">
        <f>SUM(C13:F13)</f>
        <v>8503</v>
      </c>
    </row>
    <row r="14" spans="1:7" ht="19.5" customHeight="1">
      <c r="A14" s="961"/>
      <c r="B14" s="162" t="s">
        <v>121</v>
      </c>
      <c r="C14" s="163">
        <f>SUM(C10:C13)</f>
        <v>360400</v>
      </c>
      <c r="D14" s="163">
        <f>SUM(D10:D13)</f>
        <v>3265</v>
      </c>
      <c r="E14" s="163">
        <f>SUM(E10:E13)</f>
        <v>22428</v>
      </c>
      <c r="F14" s="163">
        <f>SUM(F10:F13)</f>
        <v>0</v>
      </c>
      <c r="G14" s="164">
        <f>SUM(G10:G13)</f>
        <v>386093</v>
      </c>
    </row>
    <row r="15" spans="1:7" ht="19.5" customHeight="1">
      <c r="A15" s="959" t="s">
        <v>157</v>
      </c>
      <c r="B15" s="159">
        <v>114020</v>
      </c>
      <c r="C15" s="160">
        <v>0</v>
      </c>
      <c r="D15" s="160">
        <v>0</v>
      </c>
      <c r="E15" s="160">
        <v>0</v>
      </c>
      <c r="F15" s="160">
        <v>0</v>
      </c>
      <c r="G15" s="161">
        <f aca="true" t="shared" si="0" ref="G15:G22">SUM(C15:F15)</f>
        <v>0</v>
      </c>
    </row>
    <row r="16" spans="1:7" ht="19.5" customHeight="1">
      <c r="A16" s="965"/>
      <c r="B16" s="159">
        <v>114040</v>
      </c>
      <c r="C16" s="160">
        <v>2465</v>
      </c>
      <c r="D16" s="160">
        <v>0</v>
      </c>
      <c r="E16" s="160">
        <v>0</v>
      </c>
      <c r="F16" s="160">
        <v>0</v>
      </c>
      <c r="G16" s="161">
        <f t="shared" si="0"/>
        <v>2465</v>
      </c>
    </row>
    <row r="17" spans="1:7" ht="19.5" customHeight="1">
      <c r="A17" s="965"/>
      <c r="B17" s="159">
        <v>114050</v>
      </c>
      <c r="C17" s="160">
        <v>21220</v>
      </c>
      <c r="D17" s="160">
        <v>0</v>
      </c>
      <c r="E17" s="160">
        <v>0</v>
      </c>
      <c r="F17" s="160">
        <v>0</v>
      </c>
      <c r="G17" s="161">
        <f t="shared" si="0"/>
        <v>21220</v>
      </c>
    </row>
    <row r="18" spans="1:7" ht="19.5" customHeight="1">
      <c r="A18" s="965"/>
      <c r="B18" s="159">
        <v>114070</v>
      </c>
      <c r="C18" s="160">
        <v>16000</v>
      </c>
      <c r="D18" s="160">
        <v>0</v>
      </c>
      <c r="E18" s="160">
        <v>0</v>
      </c>
      <c r="F18" s="160">
        <v>0</v>
      </c>
      <c r="G18" s="161">
        <f t="shared" si="0"/>
        <v>16000</v>
      </c>
    </row>
    <row r="19" spans="1:7" ht="19.5" customHeight="1">
      <c r="A19" s="965"/>
      <c r="B19" s="159">
        <v>114410</v>
      </c>
      <c r="C19" s="160">
        <v>6614</v>
      </c>
      <c r="D19" s="160">
        <v>0</v>
      </c>
      <c r="E19" s="160">
        <v>0</v>
      </c>
      <c r="F19" s="160">
        <v>0</v>
      </c>
      <c r="G19" s="161">
        <f t="shared" si="0"/>
        <v>6614</v>
      </c>
    </row>
    <row r="20" spans="1:7" ht="19.5" customHeight="1">
      <c r="A20" s="965"/>
      <c r="B20" s="159">
        <v>214020</v>
      </c>
      <c r="C20" s="160">
        <v>0</v>
      </c>
      <c r="D20" s="160">
        <v>0</v>
      </c>
      <c r="E20" s="160">
        <v>0</v>
      </c>
      <c r="F20" s="160">
        <v>0</v>
      </c>
      <c r="G20" s="161">
        <f t="shared" si="0"/>
        <v>0</v>
      </c>
    </row>
    <row r="21" spans="1:7" ht="19.5" customHeight="1">
      <c r="A21" s="965"/>
      <c r="B21" s="159">
        <v>214110</v>
      </c>
      <c r="C21" s="160">
        <v>19000</v>
      </c>
      <c r="D21" s="160">
        <v>4035</v>
      </c>
      <c r="E21" s="160">
        <v>29130</v>
      </c>
      <c r="F21" s="160">
        <v>0</v>
      </c>
      <c r="G21" s="161">
        <f t="shared" si="0"/>
        <v>52165</v>
      </c>
    </row>
    <row r="22" spans="1:7" ht="19.5" customHeight="1">
      <c r="A22" s="965"/>
      <c r="B22" s="159">
        <v>214910</v>
      </c>
      <c r="C22" s="160">
        <v>25584</v>
      </c>
      <c r="D22" s="160">
        <v>0</v>
      </c>
      <c r="E22" s="160">
        <v>0</v>
      </c>
      <c r="F22" s="160">
        <v>0</v>
      </c>
      <c r="G22" s="161">
        <f t="shared" si="0"/>
        <v>25584</v>
      </c>
    </row>
    <row r="23" spans="1:7" ht="19.5" customHeight="1">
      <c r="A23" s="966"/>
      <c r="B23" s="162" t="s">
        <v>121</v>
      </c>
      <c r="C23" s="163">
        <f>SUM(C16:C22)</f>
        <v>90883</v>
      </c>
      <c r="D23" s="163">
        <f>SUM(D16:D22)</f>
        <v>4035</v>
      </c>
      <c r="E23" s="163">
        <f>SUM(E16:E22)</f>
        <v>29130</v>
      </c>
      <c r="F23" s="163">
        <f>SUM(F16:F22)</f>
        <v>0</v>
      </c>
      <c r="G23" s="164">
        <f>SUM(G16:G22)</f>
        <v>124048</v>
      </c>
    </row>
    <row r="24" spans="1:7" ht="19.5" customHeight="1">
      <c r="A24" s="959" t="s">
        <v>158</v>
      </c>
      <c r="B24" s="159">
        <v>114020</v>
      </c>
      <c r="C24" s="160">
        <v>11298</v>
      </c>
      <c r="D24" s="160">
        <v>0</v>
      </c>
      <c r="E24" s="160">
        <v>0</v>
      </c>
      <c r="F24" s="160">
        <v>0</v>
      </c>
      <c r="G24" s="161">
        <f>SUM(C24:F24)</f>
        <v>11298</v>
      </c>
    </row>
    <row r="25" spans="1:7" ht="19.5" customHeight="1">
      <c r="A25" s="965"/>
      <c r="B25" s="159">
        <v>114030</v>
      </c>
      <c r="C25" s="160">
        <v>11594</v>
      </c>
      <c r="D25" s="160">
        <v>0</v>
      </c>
      <c r="E25" s="160">
        <v>0</v>
      </c>
      <c r="F25" s="160">
        <v>0</v>
      </c>
      <c r="G25" s="161">
        <f>SUM(C25:F25)</f>
        <v>11594</v>
      </c>
    </row>
    <row r="26" spans="1:7" ht="19.5" customHeight="1">
      <c r="A26" s="965"/>
      <c r="B26" s="159">
        <v>114040</v>
      </c>
      <c r="C26" s="160">
        <v>1419</v>
      </c>
      <c r="D26" s="160">
        <v>0</v>
      </c>
      <c r="E26" s="160">
        <v>0</v>
      </c>
      <c r="F26" s="160">
        <v>0</v>
      </c>
      <c r="G26" s="161">
        <f>SUM(C26:F26)</f>
        <v>1419</v>
      </c>
    </row>
    <row r="27" spans="1:7" ht="19.5" customHeight="1">
      <c r="A27" s="965"/>
      <c r="B27" s="159">
        <v>214020</v>
      </c>
      <c r="C27" s="160">
        <v>3047</v>
      </c>
      <c r="D27" s="160">
        <v>0</v>
      </c>
      <c r="E27" s="160">
        <v>0</v>
      </c>
      <c r="F27" s="160">
        <v>0</v>
      </c>
      <c r="G27" s="161">
        <f>SUM(C27:F27)</f>
        <v>3047</v>
      </c>
    </row>
    <row r="28" spans="1:7" ht="19.5" customHeight="1">
      <c r="A28" s="965"/>
      <c r="B28" s="159">
        <v>214030</v>
      </c>
      <c r="C28" s="160">
        <v>32682</v>
      </c>
      <c r="D28" s="160">
        <v>0</v>
      </c>
      <c r="E28" s="160">
        <v>0</v>
      </c>
      <c r="F28" s="160">
        <v>0</v>
      </c>
      <c r="G28" s="161">
        <f>SUM(C28:F28)</f>
        <v>32682</v>
      </c>
    </row>
    <row r="29" spans="1:7" ht="19.5" customHeight="1">
      <c r="A29" s="966"/>
      <c r="B29" s="162" t="s">
        <v>121</v>
      </c>
      <c r="C29" s="163">
        <f>SUM(C24:C28)</f>
        <v>60040</v>
      </c>
      <c r="D29" s="163">
        <f>SUM(D24:D28)</f>
        <v>0</v>
      </c>
      <c r="E29" s="163">
        <f>SUM(E24:E28)</f>
        <v>0</v>
      </c>
      <c r="F29" s="163">
        <f>SUM(F24:F28)</f>
        <v>0</v>
      </c>
      <c r="G29" s="164">
        <f>SUM(G24:G28)</f>
        <v>60040</v>
      </c>
    </row>
    <row r="30" spans="1:7" ht="19.5" customHeight="1">
      <c r="A30" s="959" t="s">
        <v>159</v>
      </c>
      <c r="B30" s="159">
        <v>114070</v>
      </c>
      <c r="C30" s="160">
        <v>0</v>
      </c>
      <c r="D30" s="160">
        <v>133109</v>
      </c>
      <c r="E30" s="160">
        <v>964459</v>
      </c>
      <c r="F30" s="160">
        <v>0</v>
      </c>
      <c r="G30" s="161">
        <f>SUM(C30:F30)</f>
        <v>1097568</v>
      </c>
    </row>
    <row r="31" spans="1:7" ht="19.5" customHeight="1">
      <c r="A31" s="960"/>
      <c r="B31" s="159">
        <v>114110</v>
      </c>
      <c r="C31" s="160">
        <v>0</v>
      </c>
      <c r="D31" s="160">
        <v>0</v>
      </c>
      <c r="E31" s="160">
        <v>0</v>
      </c>
      <c r="F31" s="160">
        <v>0</v>
      </c>
      <c r="G31" s="161">
        <f>SUM(C31:F31)</f>
        <v>0</v>
      </c>
    </row>
    <row r="32" spans="1:7" ht="19.5" customHeight="1">
      <c r="A32" s="960"/>
      <c r="B32" s="159">
        <v>114410</v>
      </c>
      <c r="C32" s="160">
        <v>0</v>
      </c>
      <c r="D32" s="160">
        <v>0</v>
      </c>
      <c r="E32" s="160">
        <v>0</v>
      </c>
      <c r="F32" s="160">
        <v>0</v>
      </c>
      <c r="G32" s="161">
        <f>SUM(C32:F32)</f>
        <v>0</v>
      </c>
    </row>
    <row r="33" spans="1:7" ht="19.5" customHeight="1">
      <c r="A33" s="960"/>
      <c r="B33" s="159">
        <v>214110</v>
      </c>
      <c r="C33" s="160">
        <v>0</v>
      </c>
      <c r="D33" s="160">
        <v>10972</v>
      </c>
      <c r="E33" s="160">
        <v>27101</v>
      </c>
      <c r="F33" s="160">
        <v>0</v>
      </c>
      <c r="G33" s="161">
        <f>SUM(C33:F33)</f>
        <v>38073</v>
      </c>
    </row>
    <row r="34" spans="1:7" ht="19.5" customHeight="1">
      <c r="A34" s="961"/>
      <c r="B34" s="162" t="s">
        <v>121</v>
      </c>
      <c r="C34" s="163">
        <f>SUM(C30:C33)</f>
        <v>0</v>
      </c>
      <c r="D34" s="163">
        <f>SUM(D30:D33)</f>
        <v>144081</v>
      </c>
      <c r="E34" s="163">
        <f>SUM(E30:E33)</f>
        <v>991560</v>
      </c>
      <c r="F34" s="163">
        <f>SUM(F30:F33)</f>
        <v>0</v>
      </c>
      <c r="G34" s="164">
        <f>SUM(G30:G33)</f>
        <v>1135641</v>
      </c>
    </row>
    <row r="35" spans="1:7" ht="19.5" customHeight="1" thickBot="1">
      <c r="A35" s="186" t="s">
        <v>160</v>
      </c>
      <c r="B35" s="187">
        <v>114020</v>
      </c>
      <c r="C35" s="165">
        <v>30100</v>
      </c>
      <c r="D35" s="165">
        <v>0</v>
      </c>
      <c r="E35" s="165">
        <v>0</v>
      </c>
      <c r="F35" s="165">
        <v>0</v>
      </c>
      <c r="G35" s="166">
        <f>SUM(C35:F35)</f>
        <v>30100</v>
      </c>
    </row>
    <row r="36" spans="1:7" ht="34.5" customHeight="1" thickBot="1">
      <c r="A36" s="962" t="s">
        <v>121</v>
      </c>
      <c r="B36" s="963"/>
      <c r="C36" s="184">
        <f>SUM(C35,C34,C29,C23,C14,C9)</f>
        <v>1371655</v>
      </c>
      <c r="D36" s="184">
        <f>SUM(D35,D34,D29,D23,D14,D9)</f>
        <v>163207</v>
      </c>
      <c r="E36" s="184">
        <f>SUM(E35,E34,E29,E23,E14,E9)</f>
        <v>1096954</v>
      </c>
      <c r="F36" s="184">
        <f>SUM(F35,F34,F29,F23,F14,F9)</f>
        <v>62533</v>
      </c>
      <c r="G36" s="185">
        <f>SUM(G35,G34,G29,G23,G14,G9)</f>
        <v>2694349</v>
      </c>
    </row>
    <row r="37" ht="12">
      <c r="D37" s="167"/>
    </row>
  </sheetData>
  <sheetProtection/>
  <mergeCells count="8">
    <mergeCell ref="A30:A34"/>
    <mergeCell ref="A36:B36"/>
    <mergeCell ref="A2:G2"/>
    <mergeCell ref="A4:G4"/>
    <mergeCell ref="A6:A9"/>
    <mergeCell ref="A10:A14"/>
    <mergeCell ref="A15:A23"/>
    <mergeCell ref="A24:A29"/>
  </mergeCells>
  <printOptions horizontalCentered="1"/>
  <pageMargins left="0.7874015748031497" right="0.7874015748031497" top="0.984251968503937" bottom="0.984251968503937" header="0.7086614173228347" footer="0.31496062992125984"/>
  <pageSetup blackAndWhite="1" fitToHeight="1" fitToWidth="1" horizontalDpi="600" verticalDpi="600" orientation="landscape" paperSize="9" scale="63" r:id="rId1"/>
  <headerFooter alignWithMargins="0">
    <oddHeader>&amp;L&amp;"Arial CE,Tučné"&amp;12Kapitola: 314 - Ministerstvo vnitra&amp;R&amp;"Arial CE,Tučné"&amp;12Tabulky č. 13/3&amp;"Arial CE,Obyčejné"&amp;10
List č. 2/5</oddHeader>
    <oddFooter>&amp;C&amp;12&amp;P+159&amp;11
&amp;12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6"/>
  <sheetViews>
    <sheetView tabSelected="1" workbookViewId="0" topLeftCell="A16">
      <selection activeCell="H13" sqref="H13"/>
    </sheetView>
  </sheetViews>
  <sheetFormatPr defaultColWidth="9.00390625" defaultRowHeight="12.75"/>
  <cols>
    <col min="1" max="1" width="41.125" style="113" customWidth="1"/>
    <col min="2" max="2" width="10.75390625" style="113" customWidth="1"/>
    <col min="3" max="9" width="16.75390625" style="113" customWidth="1"/>
    <col min="10" max="10" width="15.75390625" style="113" customWidth="1"/>
    <col min="11" max="12" width="11.75390625" style="113" customWidth="1"/>
    <col min="13" max="13" width="12.875" style="113" customWidth="1"/>
    <col min="14" max="14" width="10.75390625" style="113" customWidth="1"/>
    <col min="15" max="16384" width="9.125" style="113" customWidth="1"/>
  </cols>
  <sheetData>
    <row r="2" spans="1:13" ht="17.25" customHeight="1">
      <c r="A2" s="958" t="s">
        <v>151</v>
      </c>
      <c r="B2" s="958"/>
      <c r="C2" s="958"/>
      <c r="D2" s="958"/>
      <c r="E2" s="958"/>
      <c r="F2" s="958"/>
      <c r="G2" s="958"/>
      <c r="H2" s="958"/>
      <c r="I2" s="958"/>
      <c r="J2" s="139"/>
      <c r="K2" s="139"/>
      <c r="L2" s="139"/>
      <c r="M2" s="139"/>
    </row>
    <row r="3" ht="16.5" customHeight="1" thickBot="1">
      <c r="I3" s="155" t="s">
        <v>92</v>
      </c>
    </row>
    <row r="4" spans="1:14" s="170" customFormat="1" ht="17.25" customHeight="1" thickBot="1">
      <c r="A4" s="968" t="s">
        <v>161</v>
      </c>
      <c r="B4" s="969"/>
      <c r="C4" s="969"/>
      <c r="D4" s="969"/>
      <c r="E4" s="969"/>
      <c r="F4" s="969"/>
      <c r="G4" s="969"/>
      <c r="H4" s="969"/>
      <c r="I4" s="970"/>
      <c r="J4" s="168"/>
      <c r="K4" s="168"/>
      <c r="L4" s="168"/>
      <c r="M4" s="168"/>
      <c r="N4" s="169"/>
    </row>
    <row r="5" spans="1:9" ht="60">
      <c r="A5" s="156" t="s">
        <v>152</v>
      </c>
      <c r="B5" s="157" t="s">
        <v>153</v>
      </c>
      <c r="C5" s="157" t="s">
        <v>143</v>
      </c>
      <c r="D5" s="157" t="s">
        <v>162</v>
      </c>
      <c r="E5" s="157" t="s">
        <v>147</v>
      </c>
      <c r="F5" s="157" t="s">
        <v>163</v>
      </c>
      <c r="G5" s="157" t="s">
        <v>144</v>
      </c>
      <c r="H5" s="157" t="s">
        <v>145</v>
      </c>
      <c r="I5" s="158" t="s">
        <v>121</v>
      </c>
    </row>
    <row r="6" spans="1:9" ht="19.5" customHeight="1">
      <c r="A6" s="959" t="s">
        <v>155</v>
      </c>
      <c r="B6" s="159">
        <v>114070</v>
      </c>
      <c r="C6" s="160">
        <v>2</v>
      </c>
      <c r="D6" s="160">
        <v>0</v>
      </c>
      <c r="E6" s="160">
        <v>0</v>
      </c>
      <c r="F6" s="160">
        <v>0</v>
      </c>
      <c r="G6" s="160">
        <v>0</v>
      </c>
      <c r="H6" s="160">
        <v>0</v>
      </c>
      <c r="I6" s="161">
        <f>SUM(C6:H6)</f>
        <v>2</v>
      </c>
    </row>
    <row r="7" spans="1:9" ht="19.5" customHeight="1">
      <c r="A7" s="960"/>
      <c r="B7" s="159">
        <v>114110</v>
      </c>
      <c r="C7" s="160">
        <v>7396</v>
      </c>
      <c r="D7" s="160">
        <v>2190</v>
      </c>
      <c r="E7" s="160">
        <v>5384</v>
      </c>
      <c r="F7" s="160">
        <v>0</v>
      </c>
      <c r="G7" s="160">
        <v>198</v>
      </c>
      <c r="H7" s="160">
        <v>1252</v>
      </c>
      <c r="I7" s="161">
        <f>SUM(C7:H7)</f>
        <v>16420</v>
      </c>
    </row>
    <row r="8" spans="1:9" ht="19.5" customHeight="1">
      <c r="A8" s="960"/>
      <c r="B8" s="159">
        <v>214110</v>
      </c>
      <c r="C8" s="171">
        <v>3781</v>
      </c>
      <c r="D8" s="171">
        <v>1740</v>
      </c>
      <c r="E8" s="171">
        <v>5487</v>
      </c>
      <c r="F8" s="171">
        <v>0</v>
      </c>
      <c r="G8" s="171">
        <v>884</v>
      </c>
      <c r="H8" s="171">
        <v>421</v>
      </c>
      <c r="I8" s="172">
        <f>SUM(C8:H8)</f>
        <v>12313</v>
      </c>
    </row>
    <row r="9" spans="1:9" ht="19.5" customHeight="1">
      <c r="A9" s="961"/>
      <c r="B9" s="162" t="s">
        <v>121</v>
      </c>
      <c r="C9" s="163">
        <f aca="true" t="shared" si="0" ref="C9:I9">SUM(C6:C8)</f>
        <v>11179</v>
      </c>
      <c r="D9" s="163">
        <f t="shared" si="0"/>
        <v>3930</v>
      </c>
      <c r="E9" s="163">
        <f t="shared" si="0"/>
        <v>10871</v>
      </c>
      <c r="F9" s="163">
        <f t="shared" si="0"/>
        <v>0</v>
      </c>
      <c r="G9" s="163">
        <f t="shared" si="0"/>
        <v>1082</v>
      </c>
      <c r="H9" s="163">
        <f t="shared" si="0"/>
        <v>1673</v>
      </c>
      <c r="I9" s="164">
        <f t="shared" si="0"/>
        <v>28735</v>
      </c>
    </row>
    <row r="10" spans="1:9" ht="19.5" customHeight="1">
      <c r="A10" s="959" t="s">
        <v>156</v>
      </c>
      <c r="B10" s="159">
        <v>114070</v>
      </c>
      <c r="C10" s="160">
        <v>0</v>
      </c>
      <c r="D10" s="160">
        <v>0</v>
      </c>
      <c r="E10" s="160">
        <v>0</v>
      </c>
      <c r="F10" s="160">
        <v>0</v>
      </c>
      <c r="G10" s="160">
        <v>0</v>
      </c>
      <c r="H10" s="160">
        <v>0</v>
      </c>
      <c r="I10" s="161">
        <f>SUM(C10:H10)</f>
        <v>0</v>
      </c>
    </row>
    <row r="11" spans="1:9" ht="19.5" customHeight="1">
      <c r="A11" s="960"/>
      <c r="B11" s="159">
        <v>114210</v>
      </c>
      <c r="C11" s="160">
        <v>0</v>
      </c>
      <c r="D11" s="160">
        <v>3</v>
      </c>
      <c r="E11" s="160">
        <v>48</v>
      </c>
      <c r="F11" s="160">
        <v>0</v>
      </c>
      <c r="G11" s="160">
        <v>1111</v>
      </c>
      <c r="H11" s="160">
        <v>104024</v>
      </c>
      <c r="I11" s="161">
        <f>SUM(C11:H11)</f>
        <v>105186</v>
      </c>
    </row>
    <row r="12" spans="1:9" ht="19.5" customHeight="1">
      <c r="A12" s="960"/>
      <c r="B12" s="159">
        <v>114230</v>
      </c>
      <c r="C12" s="160">
        <v>0</v>
      </c>
      <c r="D12" s="160">
        <v>0</v>
      </c>
      <c r="E12" s="160">
        <v>0</v>
      </c>
      <c r="F12" s="160">
        <v>0</v>
      </c>
      <c r="G12" s="160">
        <v>0</v>
      </c>
      <c r="H12" s="160">
        <v>0</v>
      </c>
      <c r="I12" s="161">
        <f>SUM(C12:H12)</f>
        <v>0</v>
      </c>
    </row>
    <row r="13" spans="1:9" ht="19.5" customHeight="1">
      <c r="A13" s="960"/>
      <c r="B13" s="159">
        <v>214210</v>
      </c>
      <c r="C13" s="160">
        <v>0</v>
      </c>
      <c r="D13" s="160">
        <v>0</v>
      </c>
      <c r="E13" s="160">
        <v>0</v>
      </c>
      <c r="F13" s="160">
        <v>0</v>
      </c>
      <c r="G13" s="160">
        <v>0</v>
      </c>
      <c r="H13" s="160">
        <v>0</v>
      </c>
      <c r="I13" s="161">
        <f>SUM(C13:H13)</f>
        <v>0</v>
      </c>
    </row>
    <row r="14" spans="1:9" ht="19.5" customHeight="1">
      <c r="A14" s="961"/>
      <c r="B14" s="162" t="s">
        <v>121</v>
      </c>
      <c r="C14" s="163">
        <f aca="true" t="shared" si="1" ref="C14:I14">SUM(C10:C13)</f>
        <v>0</v>
      </c>
      <c r="D14" s="163">
        <f t="shared" si="1"/>
        <v>3</v>
      </c>
      <c r="E14" s="163">
        <f t="shared" si="1"/>
        <v>48</v>
      </c>
      <c r="F14" s="163">
        <f t="shared" si="1"/>
        <v>0</v>
      </c>
      <c r="G14" s="163">
        <f t="shared" si="1"/>
        <v>1111</v>
      </c>
      <c r="H14" s="163">
        <f t="shared" si="1"/>
        <v>104024</v>
      </c>
      <c r="I14" s="164">
        <f t="shared" si="1"/>
        <v>105186</v>
      </c>
    </row>
    <row r="15" spans="1:9" ht="19.5" customHeight="1">
      <c r="A15" s="959" t="s">
        <v>157</v>
      </c>
      <c r="B15" s="159">
        <v>114020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1">
        <f aca="true" t="shared" si="2" ref="I15:I22">SUM(C15:H15)</f>
        <v>0</v>
      </c>
    </row>
    <row r="16" spans="1:9" ht="19.5" customHeight="1">
      <c r="A16" s="965"/>
      <c r="B16" s="159">
        <v>114040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1">
        <f t="shared" si="2"/>
        <v>0</v>
      </c>
    </row>
    <row r="17" spans="1:9" ht="19.5" customHeight="1">
      <c r="A17" s="965"/>
      <c r="B17" s="159">
        <v>114050</v>
      </c>
      <c r="C17" s="160">
        <v>0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  <c r="I17" s="161">
        <f t="shared" si="2"/>
        <v>0</v>
      </c>
    </row>
    <row r="18" spans="1:9" ht="19.5" customHeight="1">
      <c r="A18" s="965"/>
      <c r="B18" s="159">
        <v>114070</v>
      </c>
      <c r="C18" s="160">
        <v>0</v>
      </c>
      <c r="D18" s="160">
        <v>0</v>
      </c>
      <c r="E18" s="160">
        <v>0</v>
      </c>
      <c r="F18" s="160">
        <v>0</v>
      </c>
      <c r="G18" s="160">
        <v>0</v>
      </c>
      <c r="H18" s="160">
        <v>0</v>
      </c>
      <c r="I18" s="161">
        <f t="shared" si="2"/>
        <v>0</v>
      </c>
    </row>
    <row r="19" spans="1:9" ht="19.5" customHeight="1">
      <c r="A19" s="965"/>
      <c r="B19" s="159">
        <v>114410</v>
      </c>
      <c r="C19" s="160">
        <v>0</v>
      </c>
      <c r="D19" s="160">
        <v>0</v>
      </c>
      <c r="E19" s="160">
        <v>0</v>
      </c>
      <c r="F19" s="160">
        <v>0</v>
      </c>
      <c r="G19" s="160">
        <v>0</v>
      </c>
      <c r="H19" s="160">
        <v>0</v>
      </c>
      <c r="I19" s="161">
        <f t="shared" si="2"/>
        <v>0</v>
      </c>
    </row>
    <row r="20" spans="1:9" ht="19.5" customHeight="1">
      <c r="A20" s="965"/>
      <c r="B20" s="159">
        <v>214020</v>
      </c>
      <c r="C20" s="160">
        <v>762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1">
        <f t="shared" si="2"/>
        <v>762</v>
      </c>
    </row>
    <row r="21" spans="1:9" ht="19.5" customHeight="1">
      <c r="A21" s="965"/>
      <c r="B21" s="159">
        <v>214110</v>
      </c>
      <c r="C21" s="160">
        <v>49410</v>
      </c>
      <c r="D21" s="160">
        <v>2954</v>
      </c>
      <c r="E21" s="160">
        <v>0</v>
      </c>
      <c r="F21" s="160">
        <v>0</v>
      </c>
      <c r="G21" s="160">
        <v>0</v>
      </c>
      <c r="H21" s="160">
        <v>0</v>
      </c>
      <c r="I21" s="161">
        <f t="shared" si="2"/>
        <v>52364</v>
      </c>
    </row>
    <row r="22" spans="1:9" ht="19.5" customHeight="1">
      <c r="A22" s="965"/>
      <c r="B22" s="159">
        <v>214910</v>
      </c>
      <c r="C22" s="160">
        <v>12774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1">
        <f t="shared" si="2"/>
        <v>12774</v>
      </c>
    </row>
    <row r="23" spans="1:9" ht="19.5" customHeight="1">
      <c r="A23" s="966"/>
      <c r="B23" s="162" t="s">
        <v>121</v>
      </c>
      <c r="C23" s="163">
        <f aca="true" t="shared" si="3" ref="C23:I23">SUM(C15:C22)</f>
        <v>62946</v>
      </c>
      <c r="D23" s="163">
        <f t="shared" si="3"/>
        <v>2954</v>
      </c>
      <c r="E23" s="163">
        <f t="shared" si="3"/>
        <v>0</v>
      </c>
      <c r="F23" s="163">
        <f t="shared" si="3"/>
        <v>0</v>
      </c>
      <c r="G23" s="163">
        <f t="shared" si="3"/>
        <v>0</v>
      </c>
      <c r="H23" s="163">
        <f t="shared" si="3"/>
        <v>0</v>
      </c>
      <c r="I23" s="164">
        <f t="shared" si="3"/>
        <v>65900</v>
      </c>
    </row>
    <row r="24" spans="1:9" ht="19.5" customHeight="1">
      <c r="A24" s="959" t="s">
        <v>158</v>
      </c>
      <c r="B24" s="159">
        <v>114020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1">
        <f>SUM(C24:H24)</f>
        <v>0</v>
      </c>
    </row>
    <row r="25" spans="1:9" ht="19.5" customHeight="1">
      <c r="A25" s="965"/>
      <c r="B25" s="159">
        <v>114030</v>
      </c>
      <c r="C25" s="160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61">
        <f>SUM(C25:H25)</f>
        <v>0</v>
      </c>
    </row>
    <row r="26" spans="1:9" ht="19.5" customHeight="1">
      <c r="A26" s="965"/>
      <c r="B26" s="159">
        <v>114040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1">
        <f>SUM(C26:H26)</f>
        <v>0</v>
      </c>
    </row>
    <row r="27" spans="1:9" ht="19.5" customHeight="1">
      <c r="A27" s="965"/>
      <c r="B27" s="159">
        <v>214020</v>
      </c>
      <c r="C27" s="160">
        <v>8125</v>
      </c>
      <c r="D27" s="160">
        <v>717</v>
      </c>
      <c r="E27" s="160">
        <v>4059</v>
      </c>
      <c r="F27" s="160">
        <v>0</v>
      </c>
      <c r="G27" s="160">
        <v>0</v>
      </c>
      <c r="H27" s="160">
        <v>0</v>
      </c>
      <c r="I27" s="161">
        <f>SUM(C27:H27)</f>
        <v>12901</v>
      </c>
    </row>
    <row r="28" spans="1:9" ht="19.5" customHeight="1">
      <c r="A28" s="965"/>
      <c r="B28" s="159">
        <v>214030</v>
      </c>
      <c r="C28" s="160">
        <v>0</v>
      </c>
      <c r="D28" s="160">
        <v>254</v>
      </c>
      <c r="E28" s="160">
        <v>1442</v>
      </c>
      <c r="F28" s="160">
        <v>0</v>
      </c>
      <c r="G28" s="160">
        <v>0</v>
      </c>
      <c r="H28" s="160">
        <v>0</v>
      </c>
      <c r="I28" s="161">
        <f>SUM(C28:H28)</f>
        <v>1696</v>
      </c>
    </row>
    <row r="29" spans="1:9" ht="19.5" customHeight="1">
      <c r="A29" s="966"/>
      <c r="B29" s="162" t="s">
        <v>121</v>
      </c>
      <c r="C29" s="163">
        <f aca="true" t="shared" si="4" ref="C29:I29">SUM(C24:C28)</f>
        <v>8125</v>
      </c>
      <c r="D29" s="163">
        <f t="shared" si="4"/>
        <v>971</v>
      </c>
      <c r="E29" s="163">
        <f t="shared" si="4"/>
        <v>5501</v>
      </c>
      <c r="F29" s="163">
        <f t="shared" si="4"/>
        <v>0</v>
      </c>
      <c r="G29" s="163">
        <f t="shared" si="4"/>
        <v>0</v>
      </c>
      <c r="H29" s="163">
        <f t="shared" si="4"/>
        <v>0</v>
      </c>
      <c r="I29" s="164">
        <f t="shared" si="4"/>
        <v>14597</v>
      </c>
    </row>
    <row r="30" spans="1:9" ht="19.5" customHeight="1">
      <c r="A30" s="959" t="s">
        <v>159</v>
      </c>
      <c r="B30" s="159">
        <v>114070</v>
      </c>
      <c r="C30" s="160">
        <v>0</v>
      </c>
      <c r="D30" s="160">
        <v>112168</v>
      </c>
      <c r="E30" s="160">
        <v>691714</v>
      </c>
      <c r="F30" s="160">
        <v>0</v>
      </c>
      <c r="G30" s="160">
        <v>0</v>
      </c>
      <c r="H30" s="160">
        <v>0</v>
      </c>
      <c r="I30" s="161">
        <f>SUM(C30:H30)</f>
        <v>803882</v>
      </c>
    </row>
    <row r="31" spans="1:9" ht="19.5" customHeight="1">
      <c r="A31" s="960"/>
      <c r="B31" s="159">
        <v>114110</v>
      </c>
      <c r="C31" s="160">
        <v>0</v>
      </c>
      <c r="D31" s="160">
        <v>0</v>
      </c>
      <c r="E31" s="160">
        <v>0</v>
      </c>
      <c r="F31" s="160">
        <v>0</v>
      </c>
      <c r="G31" s="160">
        <v>0</v>
      </c>
      <c r="H31" s="160">
        <v>0</v>
      </c>
      <c r="I31" s="161">
        <f>SUM(C31:H31)</f>
        <v>0</v>
      </c>
    </row>
    <row r="32" spans="1:9" ht="19.5" customHeight="1">
      <c r="A32" s="960"/>
      <c r="B32" s="159">
        <v>114410</v>
      </c>
      <c r="C32" s="160">
        <v>0</v>
      </c>
      <c r="D32" s="160">
        <v>21073</v>
      </c>
      <c r="E32" s="160">
        <v>119413</v>
      </c>
      <c r="F32" s="160">
        <v>0</v>
      </c>
      <c r="G32" s="160">
        <v>0</v>
      </c>
      <c r="H32" s="160">
        <v>0</v>
      </c>
      <c r="I32" s="161">
        <f>SUM(C32:H32)</f>
        <v>140486</v>
      </c>
    </row>
    <row r="33" spans="1:9" ht="19.5" customHeight="1">
      <c r="A33" s="960"/>
      <c r="B33" s="159">
        <v>214110</v>
      </c>
      <c r="C33" s="160">
        <v>0</v>
      </c>
      <c r="D33" s="160">
        <v>24432</v>
      </c>
      <c r="E33" s="160">
        <v>30002</v>
      </c>
      <c r="F33" s="160">
        <v>0</v>
      </c>
      <c r="G33" s="160">
        <v>0</v>
      </c>
      <c r="H33" s="160">
        <v>0</v>
      </c>
      <c r="I33" s="161">
        <f>SUM(C33:H33)</f>
        <v>54434</v>
      </c>
    </row>
    <row r="34" spans="1:9" ht="19.5" customHeight="1">
      <c r="A34" s="961"/>
      <c r="B34" s="162" t="s">
        <v>121</v>
      </c>
      <c r="C34" s="163">
        <f aca="true" t="shared" si="5" ref="C34:I34">SUM(C30:C33)</f>
        <v>0</v>
      </c>
      <c r="D34" s="163">
        <f t="shared" si="5"/>
        <v>157673</v>
      </c>
      <c r="E34" s="163">
        <f t="shared" si="5"/>
        <v>841129</v>
      </c>
      <c r="F34" s="163">
        <f t="shared" si="5"/>
        <v>0</v>
      </c>
      <c r="G34" s="163">
        <f t="shared" si="5"/>
        <v>0</v>
      </c>
      <c r="H34" s="163">
        <f t="shared" si="5"/>
        <v>0</v>
      </c>
      <c r="I34" s="164">
        <f t="shared" si="5"/>
        <v>998802</v>
      </c>
    </row>
    <row r="35" spans="1:9" ht="19.5" customHeight="1" thickBot="1">
      <c r="A35" s="186" t="s">
        <v>160</v>
      </c>
      <c r="B35" s="187">
        <v>214020</v>
      </c>
      <c r="C35" s="165">
        <v>0</v>
      </c>
      <c r="D35" s="165">
        <v>0</v>
      </c>
      <c r="E35" s="165">
        <v>0</v>
      </c>
      <c r="F35" s="165">
        <v>0</v>
      </c>
      <c r="G35" s="165">
        <v>0</v>
      </c>
      <c r="H35" s="165">
        <v>0</v>
      </c>
      <c r="I35" s="166">
        <f>SUM(C35:H35)</f>
        <v>0</v>
      </c>
    </row>
    <row r="36" spans="1:9" s="43" customFormat="1" ht="34.5" customHeight="1" thickBot="1">
      <c r="A36" s="971" t="s">
        <v>121</v>
      </c>
      <c r="B36" s="963"/>
      <c r="C36" s="194">
        <f aca="true" t="shared" si="6" ref="C36:I36">SUM(C35,C34,C29,C23,C14,C9)</f>
        <v>82250</v>
      </c>
      <c r="D36" s="194">
        <f t="shared" si="6"/>
        <v>165531</v>
      </c>
      <c r="E36" s="194">
        <f t="shared" si="6"/>
        <v>857549</v>
      </c>
      <c r="F36" s="194">
        <f t="shared" si="6"/>
        <v>0</v>
      </c>
      <c r="G36" s="194">
        <f t="shared" si="6"/>
        <v>2193</v>
      </c>
      <c r="H36" s="194">
        <f t="shared" si="6"/>
        <v>105697</v>
      </c>
      <c r="I36" s="195">
        <f t="shared" si="6"/>
        <v>1213220</v>
      </c>
    </row>
  </sheetData>
  <sheetProtection/>
  <mergeCells count="8">
    <mergeCell ref="A2:I2"/>
    <mergeCell ref="A4:I4"/>
    <mergeCell ref="A6:A9"/>
    <mergeCell ref="A36:B36"/>
    <mergeCell ref="A10:A14"/>
    <mergeCell ref="A30:A34"/>
    <mergeCell ref="A15:A23"/>
    <mergeCell ref="A24:A29"/>
  </mergeCells>
  <printOptions horizontalCentered="1"/>
  <pageMargins left="0.7874015748031497" right="0.7874015748031497" top="0.984251968503937" bottom="0.984251968503937" header="0.7086614173228347" footer="0.31496062992125984"/>
  <pageSetup blackAndWhite="1" fitToHeight="1" fitToWidth="1" horizontalDpi="600" verticalDpi="600" orientation="landscape" paperSize="9" scale="61" r:id="rId1"/>
  <headerFooter alignWithMargins="0">
    <oddHeader>&amp;L&amp;"Arial CE,Tučné"&amp;12Kapitola: 314 - Ministerstvo vnitra&amp;R&amp;"Arial CE,Tučné"&amp;12Tabulky č. 13/3&amp;"Arial CE,Obyčejné"&amp;10
List č. 3/5</oddHeader>
    <oddFooter>&amp;C&amp;12&amp;P+160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41.00390625" style="113" customWidth="1"/>
    <col min="2" max="2" width="10.75390625" style="113" customWidth="1"/>
    <col min="3" max="3" width="12.625" style="113" customWidth="1"/>
    <col min="4" max="4" width="16.75390625" style="113" customWidth="1"/>
    <col min="5" max="6" width="12.625" style="113" customWidth="1"/>
    <col min="7" max="7" width="16.00390625" style="113" customWidth="1"/>
    <col min="8" max="10" width="15.75390625" style="113" customWidth="1"/>
    <col min="11" max="12" width="11.75390625" style="113" customWidth="1"/>
    <col min="13" max="13" width="12.875" style="113" customWidth="1"/>
    <col min="14" max="14" width="10.75390625" style="113" customWidth="1"/>
    <col min="15" max="16384" width="9.125" style="113" customWidth="1"/>
  </cols>
  <sheetData>
    <row r="2" spans="1:13" ht="17.25" customHeight="1">
      <c r="A2" s="958" t="s">
        <v>151</v>
      </c>
      <c r="B2" s="958"/>
      <c r="C2" s="958"/>
      <c r="D2" s="958"/>
      <c r="E2" s="958"/>
      <c r="F2" s="958"/>
      <c r="G2" s="958"/>
      <c r="H2" s="958"/>
      <c r="I2" s="958"/>
      <c r="J2" s="958"/>
      <c r="K2" s="958"/>
      <c r="L2" s="958"/>
      <c r="M2" s="958"/>
    </row>
    <row r="3" ht="16.5" customHeight="1" thickBot="1">
      <c r="M3" s="155" t="s">
        <v>92</v>
      </c>
    </row>
    <row r="4" spans="1:13" s="170" customFormat="1" ht="17.25" customHeight="1" thickBot="1">
      <c r="A4" s="947" t="s">
        <v>146</v>
      </c>
      <c r="B4" s="974"/>
      <c r="C4" s="974"/>
      <c r="D4" s="974"/>
      <c r="E4" s="974"/>
      <c r="F4" s="974"/>
      <c r="G4" s="974"/>
      <c r="H4" s="974"/>
      <c r="I4" s="974"/>
      <c r="J4" s="974"/>
      <c r="K4" s="974"/>
      <c r="L4" s="974"/>
      <c r="M4" s="975"/>
    </row>
    <row r="5" spans="1:13" ht="60.75" thickBot="1">
      <c r="A5" s="183" t="s">
        <v>152</v>
      </c>
      <c r="B5" s="141" t="s">
        <v>153</v>
      </c>
      <c r="C5" s="141" t="s">
        <v>124</v>
      </c>
      <c r="D5" s="141" t="s">
        <v>154</v>
      </c>
      <c r="E5" s="141" t="s">
        <v>125</v>
      </c>
      <c r="F5" s="141" t="s">
        <v>164</v>
      </c>
      <c r="G5" s="141" t="s">
        <v>143</v>
      </c>
      <c r="H5" s="141" t="s">
        <v>162</v>
      </c>
      <c r="I5" s="141" t="s">
        <v>147</v>
      </c>
      <c r="J5" s="141" t="s">
        <v>163</v>
      </c>
      <c r="K5" s="141" t="s">
        <v>144</v>
      </c>
      <c r="L5" s="141" t="s">
        <v>145</v>
      </c>
      <c r="M5" s="142" t="s">
        <v>121</v>
      </c>
    </row>
    <row r="6" spans="1:13" ht="19.5" customHeight="1">
      <c r="A6" s="967" t="s">
        <v>155</v>
      </c>
      <c r="B6" s="191">
        <v>114070</v>
      </c>
      <c r="C6" s="192">
        <v>13180</v>
      </c>
      <c r="D6" s="192">
        <v>0</v>
      </c>
      <c r="E6" s="192">
        <v>0</v>
      </c>
      <c r="F6" s="192">
        <v>0</v>
      </c>
      <c r="G6" s="192">
        <v>2</v>
      </c>
      <c r="H6" s="192">
        <v>0</v>
      </c>
      <c r="I6" s="192">
        <v>0</v>
      </c>
      <c r="J6" s="192">
        <v>0</v>
      </c>
      <c r="K6" s="192">
        <v>0</v>
      </c>
      <c r="L6" s="192">
        <v>0</v>
      </c>
      <c r="M6" s="193">
        <f>SUM(C6:L6)</f>
        <v>13182</v>
      </c>
    </row>
    <row r="7" spans="1:13" ht="19.5" customHeight="1">
      <c r="A7" s="960"/>
      <c r="B7" s="159">
        <v>114110</v>
      </c>
      <c r="C7" s="171">
        <v>299481</v>
      </c>
      <c r="D7" s="171">
        <v>18</v>
      </c>
      <c r="E7" s="160">
        <v>40</v>
      </c>
      <c r="F7" s="160">
        <v>102</v>
      </c>
      <c r="G7" s="160">
        <v>7396</v>
      </c>
      <c r="H7" s="160">
        <v>2190</v>
      </c>
      <c r="I7" s="160">
        <v>5384</v>
      </c>
      <c r="J7" s="160">
        <v>0</v>
      </c>
      <c r="K7" s="160">
        <v>198</v>
      </c>
      <c r="L7" s="160">
        <v>1252</v>
      </c>
      <c r="M7" s="161">
        <f>SUM(C7:L7)</f>
        <v>316061</v>
      </c>
    </row>
    <row r="8" spans="1:13" ht="19.5" customHeight="1">
      <c r="A8" s="960"/>
      <c r="B8" s="159">
        <v>214110</v>
      </c>
      <c r="C8" s="160">
        <v>402759</v>
      </c>
      <c r="D8" s="160">
        <v>0</v>
      </c>
      <c r="E8" s="160">
        <v>0</v>
      </c>
      <c r="F8" s="160">
        <v>0</v>
      </c>
      <c r="G8" s="171">
        <v>3781</v>
      </c>
      <c r="H8" s="171">
        <v>1740</v>
      </c>
      <c r="I8" s="171">
        <v>5487</v>
      </c>
      <c r="J8" s="171">
        <v>0</v>
      </c>
      <c r="K8" s="171">
        <v>884</v>
      </c>
      <c r="L8" s="171">
        <v>421</v>
      </c>
      <c r="M8" s="172">
        <f>SUM(C8:L8)</f>
        <v>415072</v>
      </c>
    </row>
    <row r="9" spans="1:13" ht="19.5" customHeight="1">
      <c r="A9" s="961"/>
      <c r="B9" s="162" t="s">
        <v>121</v>
      </c>
      <c r="C9" s="163">
        <f aca="true" t="shared" si="0" ref="C9:M9">SUM(C6:C8)</f>
        <v>715420</v>
      </c>
      <c r="D9" s="163">
        <f t="shared" si="0"/>
        <v>18</v>
      </c>
      <c r="E9" s="163">
        <f t="shared" si="0"/>
        <v>40</v>
      </c>
      <c r="F9" s="163">
        <f t="shared" si="0"/>
        <v>102</v>
      </c>
      <c r="G9" s="163">
        <f t="shared" si="0"/>
        <v>11179</v>
      </c>
      <c r="H9" s="163">
        <f t="shared" si="0"/>
        <v>3930</v>
      </c>
      <c r="I9" s="163">
        <f t="shared" si="0"/>
        <v>10871</v>
      </c>
      <c r="J9" s="163">
        <f t="shared" si="0"/>
        <v>0</v>
      </c>
      <c r="K9" s="163">
        <f t="shared" si="0"/>
        <v>1082</v>
      </c>
      <c r="L9" s="163">
        <f t="shared" si="0"/>
        <v>1673</v>
      </c>
      <c r="M9" s="164">
        <f t="shared" si="0"/>
        <v>744315</v>
      </c>
    </row>
    <row r="10" spans="1:13" ht="19.5" customHeight="1">
      <c r="A10" s="959" t="s">
        <v>156</v>
      </c>
      <c r="B10" s="159">
        <v>114070</v>
      </c>
      <c r="C10" s="160">
        <v>36851</v>
      </c>
      <c r="D10" s="160">
        <v>0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1">
        <f>SUM(C10:L10)</f>
        <v>36851</v>
      </c>
    </row>
    <row r="11" spans="1:13" ht="19.5" customHeight="1">
      <c r="A11" s="960"/>
      <c r="B11" s="159">
        <v>114210</v>
      </c>
      <c r="C11" s="160">
        <v>216987</v>
      </c>
      <c r="D11" s="160">
        <v>642</v>
      </c>
      <c r="E11" s="160">
        <v>2668</v>
      </c>
      <c r="F11" s="160">
        <v>0</v>
      </c>
      <c r="G11" s="160">
        <v>0</v>
      </c>
      <c r="H11" s="160">
        <v>3</v>
      </c>
      <c r="I11" s="160">
        <v>48</v>
      </c>
      <c r="J11" s="160">
        <v>0</v>
      </c>
      <c r="K11" s="160">
        <v>1111</v>
      </c>
      <c r="L11" s="160">
        <v>104024</v>
      </c>
      <c r="M11" s="161">
        <f>SUM(C11:L11)</f>
        <v>325483</v>
      </c>
    </row>
    <row r="12" spans="1:13" ht="19.5" customHeight="1">
      <c r="A12" s="960"/>
      <c r="B12" s="159">
        <v>114230</v>
      </c>
      <c r="C12" s="160">
        <v>56028</v>
      </c>
      <c r="D12" s="160">
        <v>0</v>
      </c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1">
        <f>SUM(C12:L12)</f>
        <v>56028</v>
      </c>
    </row>
    <row r="13" spans="1:13" ht="19.5" customHeight="1">
      <c r="A13" s="960"/>
      <c r="B13" s="159">
        <v>214210</v>
      </c>
      <c r="C13" s="171">
        <v>8500</v>
      </c>
      <c r="D13" s="160">
        <v>0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1">
        <f>SUM(C13:L13)</f>
        <v>8500</v>
      </c>
    </row>
    <row r="14" spans="1:13" ht="19.5" customHeight="1">
      <c r="A14" s="961"/>
      <c r="B14" s="162" t="s">
        <v>121</v>
      </c>
      <c r="C14" s="163">
        <f aca="true" t="shared" si="1" ref="C14:M14">SUM(C10:C13)</f>
        <v>318366</v>
      </c>
      <c r="D14" s="163">
        <f t="shared" si="1"/>
        <v>642</v>
      </c>
      <c r="E14" s="163">
        <f t="shared" si="1"/>
        <v>2668</v>
      </c>
      <c r="F14" s="163">
        <f t="shared" si="1"/>
        <v>0</v>
      </c>
      <c r="G14" s="163">
        <f t="shared" si="1"/>
        <v>0</v>
      </c>
      <c r="H14" s="163">
        <f t="shared" si="1"/>
        <v>3</v>
      </c>
      <c r="I14" s="163">
        <f t="shared" si="1"/>
        <v>48</v>
      </c>
      <c r="J14" s="163">
        <f t="shared" si="1"/>
        <v>0</v>
      </c>
      <c r="K14" s="163">
        <f t="shared" si="1"/>
        <v>1111</v>
      </c>
      <c r="L14" s="163">
        <f t="shared" si="1"/>
        <v>104024</v>
      </c>
      <c r="M14" s="164">
        <f t="shared" si="1"/>
        <v>426862</v>
      </c>
    </row>
    <row r="15" spans="1:13" ht="19.5" customHeight="1">
      <c r="A15" s="959" t="s">
        <v>157</v>
      </c>
      <c r="B15" s="159">
        <v>114020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1">
        <f aca="true" t="shared" si="2" ref="M15:M22">SUM(C15:L15)</f>
        <v>0</v>
      </c>
    </row>
    <row r="16" spans="1:13" ht="19.5" customHeight="1">
      <c r="A16" s="965"/>
      <c r="B16" s="159">
        <v>114040</v>
      </c>
      <c r="C16" s="160">
        <v>2457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1">
        <f t="shared" si="2"/>
        <v>2457</v>
      </c>
    </row>
    <row r="17" spans="1:13" ht="19.5" customHeight="1">
      <c r="A17" s="965"/>
      <c r="B17" s="159">
        <v>114050</v>
      </c>
      <c r="C17" s="160">
        <v>18314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61">
        <f t="shared" si="2"/>
        <v>18314</v>
      </c>
    </row>
    <row r="18" spans="1:13" ht="19.5" customHeight="1">
      <c r="A18" s="965"/>
      <c r="B18" s="159">
        <v>114070</v>
      </c>
      <c r="C18" s="160">
        <v>0</v>
      </c>
      <c r="D18" s="160">
        <v>0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60">
        <v>0</v>
      </c>
      <c r="M18" s="161">
        <f t="shared" si="2"/>
        <v>0</v>
      </c>
    </row>
    <row r="19" spans="1:13" ht="19.5" customHeight="1">
      <c r="A19" s="965"/>
      <c r="B19" s="159">
        <v>114410</v>
      </c>
      <c r="C19" s="160">
        <v>0</v>
      </c>
      <c r="D19" s="160">
        <v>0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1">
        <f t="shared" si="2"/>
        <v>0</v>
      </c>
    </row>
    <row r="20" spans="1:13" ht="19.5" customHeight="1">
      <c r="A20" s="965"/>
      <c r="B20" s="159">
        <v>214020</v>
      </c>
      <c r="C20" s="160">
        <v>0</v>
      </c>
      <c r="D20" s="160">
        <v>0</v>
      </c>
      <c r="E20" s="160">
        <v>0</v>
      </c>
      <c r="F20" s="160">
        <v>0</v>
      </c>
      <c r="G20" s="160">
        <v>762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1">
        <f t="shared" si="2"/>
        <v>762</v>
      </c>
    </row>
    <row r="21" spans="1:13" ht="19.5" customHeight="1">
      <c r="A21" s="965"/>
      <c r="B21" s="159">
        <v>214110</v>
      </c>
      <c r="C21" s="160">
        <v>14428</v>
      </c>
      <c r="D21" s="160">
        <v>0</v>
      </c>
      <c r="E21" s="160">
        <v>8871</v>
      </c>
      <c r="F21" s="160">
        <v>0</v>
      </c>
      <c r="G21" s="160">
        <v>49410</v>
      </c>
      <c r="H21" s="160">
        <v>2954</v>
      </c>
      <c r="I21" s="160">
        <v>0</v>
      </c>
      <c r="J21" s="160">
        <v>0</v>
      </c>
      <c r="K21" s="160">
        <v>0</v>
      </c>
      <c r="L21" s="160">
        <v>0</v>
      </c>
      <c r="M21" s="161">
        <f t="shared" si="2"/>
        <v>75663</v>
      </c>
    </row>
    <row r="22" spans="1:13" ht="19.5" customHeight="1">
      <c r="A22" s="965"/>
      <c r="B22" s="159">
        <v>214910</v>
      </c>
      <c r="C22" s="160">
        <v>12386</v>
      </c>
      <c r="D22" s="160">
        <v>0</v>
      </c>
      <c r="E22" s="160">
        <v>0</v>
      </c>
      <c r="F22" s="160">
        <v>0</v>
      </c>
      <c r="G22" s="160">
        <v>12774</v>
      </c>
      <c r="H22" s="160">
        <v>0</v>
      </c>
      <c r="I22" s="160">
        <v>0</v>
      </c>
      <c r="J22" s="160">
        <v>0</v>
      </c>
      <c r="K22" s="160">
        <v>0</v>
      </c>
      <c r="L22" s="160">
        <v>0</v>
      </c>
      <c r="M22" s="161">
        <f t="shared" si="2"/>
        <v>25160</v>
      </c>
    </row>
    <row r="23" spans="1:13" ht="19.5" customHeight="1">
      <c r="A23" s="966"/>
      <c r="B23" s="162" t="s">
        <v>121</v>
      </c>
      <c r="C23" s="163">
        <f aca="true" t="shared" si="3" ref="C23:M23">SUM(C15:C22)</f>
        <v>47585</v>
      </c>
      <c r="D23" s="163">
        <f t="shared" si="3"/>
        <v>0</v>
      </c>
      <c r="E23" s="163">
        <f t="shared" si="3"/>
        <v>8871</v>
      </c>
      <c r="F23" s="163">
        <f t="shared" si="3"/>
        <v>0</v>
      </c>
      <c r="G23" s="163">
        <f t="shared" si="3"/>
        <v>62946</v>
      </c>
      <c r="H23" s="163">
        <f t="shared" si="3"/>
        <v>2954</v>
      </c>
      <c r="I23" s="163">
        <f t="shared" si="3"/>
        <v>0</v>
      </c>
      <c r="J23" s="163">
        <f t="shared" si="3"/>
        <v>0</v>
      </c>
      <c r="K23" s="163">
        <f t="shared" si="3"/>
        <v>0</v>
      </c>
      <c r="L23" s="163">
        <f t="shared" si="3"/>
        <v>0</v>
      </c>
      <c r="M23" s="164">
        <f t="shared" si="3"/>
        <v>122356</v>
      </c>
    </row>
    <row r="24" spans="1:13" ht="19.5" customHeight="1">
      <c r="A24" s="959" t="s">
        <v>158</v>
      </c>
      <c r="B24" s="159">
        <v>114020</v>
      </c>
      <c r="C24" s="160">
        <v>6159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60">
        <v>0</v>
      </c>
      <c r="M24" s="161">
        <f>SUM(C24:L24)</f>
        <v>6159</v>
      </c>
    </row>
    <row r="25" spans="1:13" ht="19.5" customHeight="1">
      <c r="A25" s="965"/>
      <c r="B25" s="159">
        <v>114030</v>
      </c>
      <c r="C25" s="171">
        <v>8731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1">
        <f>SUM(C25:L25)</f>
        <v>8731</v>
      </c>
    </row>
    <row r="26" spans="1:13" ht="19.5" customHeight="1">
      <c r="A26" s="965"/>
      <c r="B26" s="159">
        <v>114040</v>
      </c>
      <c r="C26" s="160">
        <v>1418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1">
        <f>SUM(C26:L26)</f>
        <v>1418</v>
      </c>
    </row>
    <row r="27" spans="1:13" ht="19.5" customHeight="1">
      <c r="A27" s="965"/>
      <c r="B27" s="159">
        <v>214020</v>
      </c>
      <c r="C27" s="160">
        <v>945</v>
      </c>
      <c r="D27" s="160">
        <v>0</v>
      </c>
      <c r="E27" s="160">
        <v>0</v>
      </c>
      <c r="F27" s="160">
        <v>0</v>
      </c>
      <c r="G27" s="160">
        <v>8125</v>
      </c>
      <c r="H27" s="160">
        <v>717</v>
      </c>
      <c r="I27" s="160">
        <v>4059</v>
      </c>
      <c r="J27" s="160">
        <v>0</v>
      </c>
      <c r="K27" s="160">
        <v>0</v>
      </c>
      <c r="L27" s="160">
        <v>0</v>
      </c>
      <c r="M27" s="161">
        <f>SUM(C27:L27)</f>
        <v>13846</v>
      </c>
    </row>
    <row r="28" spans="1:13" ht="19.5" customHeight="1">
      <c r="A28" s="965"/>
      <c r="B28" s="159">
        <v>214030</v>
      </c>
      <c r="C28" s="171">
        <v>24342</v>
      </c>
      <c r="D28" s="160">
        <v>0</v>
      </c>
      <c r="E28" s="160">
        <v>0</v>
      </c>
      <c r="F28" s="160">
        <v>0</v>
      </c>
      <c r="G28" s="160">
        <v>0</v>
      </c>
      <c r="H28" s="160">
        <v>254</v>
      </c>
      <c r="I28" s="160">
        <v>1442</v>
      </c>
      <c r="J28" s="160">
        <v>0</v>
      </c>
      <c r="K28" s="160">
        <v>0</v>
      </c>
      <c r="L28" s="160">
        <v>0</v>
      </c>
      <c r="M28" s="161">
        <f>SUM(C28:L28)</f>
        <v>26038</v>
      </c>
    </row>
    <row r="29" spans="1:13" ht="19.5" customHeight="1">
      <c r="A29" s="966"/>
      <c r="B29" s="162" t="s">
        <v>121</v>
      </c>
      <c r="C29" s="163">
        <f aca="true" t="shared" si="4" ref="C29:M29">SUM(C24:C28)</f>
        <v>41595</v>
      </c>
      <c r="D29" s="163">
        <f t="shared" si="4"/>
        <v>0</v>
      </c>
      <c r="E29" s="163">
        <f t="shared" si="4"/>
        <v>0</v>
      </c>
      <c r="F29" s="163">
        <f t="shared" si="4"/>
        <v>0</v>
      </c>
      <c r="G29" s="163">
        <f t="shared" si="4"/>
        <v>8125</v>
      </c>
      <c r="H29" s="163">
        <f t="shared" si="4"/>
        <v>971</v>
      </c>
      <c r="I29" s="163">
        <f t="shared" si="4"/>
        <v>5501</v>
      </c>
      <c r="J29" s="163">
        <f t="shared" si="4"/>
        <v>0</v>
      </c>
      <c r="K29" s="163">
        <f t="shared" si="4"/>
        <v>0</v>
      </c>
      <c r="L29" s="163">
        <f t="shared" si="4"/>
        <v>0</v>
      </c>
      <c r="M29" s="164">
        <f t="shared" si="4"/>
        <v>56192</v>
      </c>
    </row>
    <row r="30" spans="1:13" ht="19.5" customHeight="1">
      <c r="A30" s="959" t="s">
        <v>165</v>
      </c>
      <c r="B30" s="159">
        <v>114070</v>
      </c>
      <c r="C30" s="160">
        <v>0</v>
      </c>
      <c r="D30" s="160">
        <v>787</v>
      </c>
      <c r="E30" s="160">
        <v>54528</v>
      </c>
      <c r="F30" s="160">
        <v>0</v>
      </c>
      <c r="G30" s="160">
        <v>0</v>
      </c>
      <c r="H30" s="160">
        <v>112168</v>
      </c>
      <c r="I30" s="160">
        <v>691714</v>
      </c>
      <c r="J30" s="160">
        <v>0</v>
      </c>
      <c r="K30" s="160">
        <v>0</v>
      </c>
      <c r="L30" s="160">
        <v>0</v>
      </c>
      <c r="M30" s="161">
        <f>SUM(C30:L30)</f>
        <v>859197</v>
      </c>
    </row>
    <row r="31" spans="1:13" ht="19.5" customHeight="1">
      <c r="A31" s="960"/>
      <c r="B31" s="159">
        <v>114110</v>
      </c>
      <c r="C31" s="160">
        <v>0</v>
      </c>
      <c r="D31" s="160">
        <v>0</v>
      </c>
      <c r="E31" s="160">
        <v>0</v>
      </c>
      <c r="F31" s="160">
        <v>0</v>
      </c>
      <c r="G31" s="160">
        <v>0</v>
      </c>
      <c r="H31" s="160">
        <v>0</v>
      </c>
      <c r="I31" s="160">
        <v>0</v>
      </c>
      <c r="J31" s="160">
        <v>0</v>
      </c>
      <c r="K31" s="160">
        <v>0</v>
      </c>
      <c r="L31" s="160">
        <v>0</v>
      </c>
      <c r="M31" s="161">
        <f>SUM(C31:L31)</f>
        <v>0</v>
      </c>
    </row>
    <row r="32" spans="1:13" ht="19.5" customHeight="1">
      <c r="A32" s="960"/>
      <c r="B32" s="159">
        <v>114410</v>
      </c>
      <c r="C32" s="160">
        <v>0</v>
      </c>
      <c r="D32" s="160">
        <v>0</v>
      </c>
      <c r="E32" s="160">
        <v>0</v>
      </c>
      <c r="F32" s="160">
        <v>0</v>
      </c>
      <c r="G32" s="160">
        <v>0</v>
      </c>
      <c r="H32" s="160">
        <v>21073</v>
      </c>
      <c r="I32" s="160">
        <v>119413</v>
      </c>
      <c r="J32" s="160">
        <v>0</v>
      </c>
      <c r="K32" s="160">
        <v>0</v>
      </c>
      <c r="L32" s="160">
        <v>0</v>
      </c>
      <c r="M32" s="161">
        <f>SUM(C32:L32)</f>
        <v>140486</v>
      </c>
    </row>
    <row r="33" spans="1:13" ht="19.5" customHeight="1">
      <c r="A33" s="960"/>
      <c r="B33" s="159">
        <v>214110</v>
      </c>
      <c r="C33" s="160">
        <v>0</v>
      </c>
      <c r="D33" s="160">
        <v>0</v>
      </c>
      <c r="E33" s="160">
        <v>0</v>
      </c>
      <c r="F33" s="160">
        <v>0</v>
      </c>
      <c r="G33" s="160">
        <v>0</v>
      </c>
      <c r="H33" s="160">
        <v>24432</v>
      </c>
      <c r="I33" s="160">
        <v>30002</v>
      </c>
      <c r="J33" s="160">
        <v>0</v>
      </c>
      <c r="K33" s="160">
        <v>0</v>
      </c>
      <c r="L33" s="160">
        <v>0</v>
      </c>
      <c r="M33" s="161">
        <f>SUM(C33:L33)</f>
        <v>54434</v>
      </c>
    </row>
    <row r="34" spans="1:13" ht="19.5" customHeight="1">
      <c r="A34" s="961"/>
      <c r="B34" s="162" t="s">
        <v>121</v>
      </c>
      <c r="C34" s="163">
        <f aca="true" t="shared" si="5" ref="C34:M34">SUM(C30:C33)</f>
        <v>0</v>
      </c>
      <c r="D34" s="163">
        <f t="shared" si="5"/>
        <v>787</v>
      </c>
      <c r="E34" s="163">
        <f t="shared" si="5"/>
        <v>54528</v>
      </c>
      <c r="F34" s="163">
        <f t="shared" si="5"/>
        <v>0</v>
      </c>
      <c r="G34" s="163">
        <f t="shared" si="5"/>
        <v>0</v>
      </c>
      <c r="H34" s="163">
        <f t="shared" si="5"/>
        <v>157673</v>
      </c>
      <c r="I34" s="163">
        <f t="shared" si="5"/>
        <v>841129</v>
      </c>
      <c r="J34" s="163">
        <f t="shared" si="5"/>
        <v>0</v>
      </c>
      <c r="K34" s="163">
        <f t="shared" si="5"/>
        <v>0</v>
      </c>
      <c r="L34" s="163">
        <f t="shared" si="5"/>
        <v>0</v>
      </c>
      <c r="M34" s="164">
        <f t="shared" si="5"/>
        <v>1054117</v>
      </c>
    </row>
    <row r="35" spans="1:13" ht="19.5" customHeight="1" thickBot="1">
      <c r="A35" s="196" t="s">
        <v>160</v>
      </c>
      <c r="B35" s="197">
        <v>214020</v>
      </c>
      <c r="C35" s="198">
        <v>30096</v>
      </c>
      <c r="D35" s="198">
        <v>0</v>
      </c>
      <c r="E35" s="198">
        <v>0</v>
      </c>
      <c r="F35" s="198">
        <v>0</v>
      </c>
      <c r="G35" s="198">
        <v>0</v>
      </c>
      <c r="H35" s="198">
        <v>0</v>
      </c>
      <c r="I35" s="198">
        <v>0</v>
      </c>
      <c r="J35" s="198">
        <v>0</v>
      </c>
      <c r="K35" s="198">
        <v>0</v>
      </c>
      <c r="L35" s="198">
        <v>0</v>
      </c>
      <c r="M35" s="199">
        <f>SUM(C35:L35)</f>
        <v>30096</v>
      </c>
    </row>
    <row r="36" spans="1:13" s="43" customFormat="1" ht="34.5" customHeight="1" thickBot="1">
      <c r="A36" s="972" t="s">
        <v>121</v>
      </c>
      <c r="B36" s="973"/>
      <c r="C36" s="135">
        <f aca="true" t="shared" si="6" ref="C36:M36">SUM(C35,C34,C29,C23,C14,C9)</f>
        <v>1153062</v>
      </c>
      <c r="D36" s="135">
        <f t="shared" si="6"/>
        <v>1447</v>
      </c>
      <c r="E36" s="135">
        <f t="shared" si="6"/>
        <v>66107</v>
      </c>
      <c r="F36" s="135">
        <f t="shared" si="6"/>
        <v>102</v>
      </c>
      <c r="G36" s="135">
        <f t="shared" si="6"/>
        <v>82250</v>
      </c>
      <c r="H36" s="135">
        <f t="shared" si="6"/>
        <v>165531</v>
      </c>
      <c r="I36" s="135">
        <f t="shared" si="6"/>
        <v>857549</v>
      </c>
      <c r="J36" s="135">
        <f t="shared" si="6"/>
        <v>0</v>
      </c>
      <c r="K36" s="135">
        <f t="shared" si="6"/>
        <v>2193</v>
      </c>
      <c r="L36" s="135">
        <f t="shared" si="6"/>
        <v>105697</v>
      </c>
      <c r="M36" s="136">
        <f t="shared" si="6"/>
        <v>2433938</v>
      </c>
    </row>
  </sheetData>
  <sheetProtection/>
  <mergeCells count="8">
    <mergeCell ref="A2:M2"/>
    <mergeCell ref="A30:A34"/>
    <mergeCell ref="A36:B36"/>
    <mergeCell ref="A4:M4"/>
    <mergeCell ref="A6:A9"/>
    <mergeCell ref="A10:A14"/>
    <mergeCell ref="A15:A23"/>
    <mergeCell ref="A24:A29"/>
  </mergeCells>
  <printOptions horizontalCentered="1"/>
  <pageMargins left="0.7874015748031497" right="0.7874015748031497" top="0.984251968503937" bottom="0.984251968503937" header="0.7086614173228347" footer="0.31496062992125984"/>
  <pageSetup blackAndWhite="1" fitToHeight="1" fitToWidth="1" horizontalDpi="600" verticalDpi="600" orientation="landscape" paperSize="9" scale="61" r:id="rId1"/>
  <headerFooter alignWithMargins="0">
    <oddHeader>&amp;L&amp;"Arial CE,Tučné"&amp;12Kapitola: 314 - Ministerstvo vnitra&amp;R&amp;"Arial CE,Tučné"&amp;12Tabulky č. 13/3&amp;"Arial CE,Obyčejné"&amp;10
List č. 4/5</oddHeader>
    <oddFooter>&amp;C&amp;12&amp;P+161&amp;11
&amp;12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8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41.125" style="113" customWidth="1"/>
    <col min="2" max="2" width="10.75390625" style="113" customWidth="1"/>
    <col min="3" max="7" width="16.75390625" style="113" customWidth="1"/>
    <col min="8" max="10" width="15.75390625" style="113" customWidth="1"/>
    <col min="11" max="12" width="11.75390625" style="113" customWidth="1"/>
    <col min="13" max="13" width="12.875" style="113" customWidth="1"/>
    <col min="14" max="14" width="10.75390625" style="113" customWidth="1"/>
    <col min="15" max="16384" width="9.125" style="113" customWidth="1"/>
  </cols>
  <sheetData>
    <row r="2" spans="1:13" ht="20.25" customHeight="1">
      <c r="A2" s="958" t="s">
        <v>151</v>
      </c>
      <c r="B2" s="958"/>
      <c r="C2" s="958"/>
      <c r="D2" s="958"/>
      <c r="E2" s="958"/>
      <c r="F2" s="958"/>
      <c r="G2" s="958"/>
      <c r="H2" s="139"/>
      <c r="I2" s="139"/>
      <c r="J2" s="139"/>
      <c r="K2" s="139"/>
      <c r="L2" s="139"/>
      <c r="M2" s="139"/>
    </row>
    <row r="3" ht="16.5" customHeight="1" thickBot="1">
      <c r="G3" s="155" t="s">
        <v>92</v>
      </c>
    </row>
    <row r="4" spans="1:13" s="170" customFormat="1" ht="17.25" customHeight="1" thickBot="1">
      <c r="A4" s="947" t="s">
        <v>148</v>
      </c>
      <c r="B4" s="974"/>
      <c r="C4" s="974"/>
      <c r="D4" s="974"/>
      <c r="E4" s="974"/>
      <c r="F4" s="974"/>
      <c r="G4" s="975"/>
      <c r="H4" s="168"/>
      <c r="I4" s="168"/>
      <c r="J4" s="168"/>
      <c r="K4" s="168"/>
      <c r="L4" s="168"/>
      <c r="M4" s="168"/>
    </row>
    <row r="5" spans="1:7" ht="48.75" thickBot="1">
      <c r="A5" s="183" t="s">
        <v>152</v>
      </c>
      <c r="B5" s="141" t="s">
        <v>153</v>
      </c>
      <c r="C5" s="141" t="s">
        <v>124</v>
      </c>
      <c r="D5" s="141" t="s">
        <v>154</v>
      </c>
      <c r="E5" s="141" t="s">
        <v>125</v>
      </c>
      <c r="F5" s="141" t="s">
        <v>126</v>
      </c>
      <c r="G5" s="142" t="s">
        <v>121</v>
      </c>
    </row>
    <row r="6" spans="1:7" ht="15" customHeight="1">
      <c r="A6" s="967" t="s">
        <v>155</v>
      </c>
      <c r="B6" s="191">
        <v>114070</v>
      </c>
      <c r="C6" s="200">
        <v>7056</v>
      </c>
      <c r="D6" s="200">
        <v>0</v>
      </c>
      <c r="E6" s="200">
        <v>0</v>
      </c>
      <c r="F6" s="200">
        <v>0</v>
      </c>
      <c r="G6" s="201">
        <f>SUM(C6:F6)</f>
        <v>7056</v>
      </c>
    </row>
    <row r="7" spans="1:7" ht="15" customHeight="1">
      <c r="A7" s="960"/>
      <c r="B7" s="159">
        <v>114110</v>
      </c>
      <c r="C7" s="174">
        <v>84429</v>
      </c>
      <c r="D7" s="174">
        <v>9252</v>
      </c>
      <c r="E7" s="173">
        <v>50469</v>
      </c>
      <c r="F7" s="173">
        <v>47951</v>
      </c>
      <c r="G7" s="202">
        <f>SUM(C7:F7)</f>
        <v>192101</v>
      </c>
    </row>
    <row r="8" spans="1:7" ht="15" customHeight="1">
      <c r="A8" s="960"/>
      <c r="B8" s="159">
        <v>214110</v>
      </c>
      <c r="C8" s="173">
        <v>23327</v>
      </c>
      <c r="D8" s="173">
        <v>2556</v>
      </c>
      <c r="E8" s="173">
        <v>3327</v>
      </c>
      <c r="F8" s="173">
        <v>14480</v>
      </c>
      <c r="G8" s="202">
        <f>SUM(C8:F8)</f>
        <v>43690</v>
      </c>
    </row>
    <row r="9" spans="1:7" ht="15" customHeight="1">
      <c r="A9" s="961"/>
      <c r="B9" s="162" t="s">
        <v>121</v>
      </c>
      <c r="C9" s="175">
        <f>SUM(C6:C8)</f>
        <v>114812</v>
      </c>
      <c r="D9" s="175">
        <f>SUM(D6:D8)</f>
        <v>11808</v>
      </c>
      <c r="E9" s="175">
        <f>SUM(E6:E8)</f>
        <v>53796</v>
      </c>
      <c r="F9" s="175">
        <f>SUM(F6:F8)</f>
        <v>62431</v>
      </c>
      <c r="G9" s="203">
        <f>SUM(G6:G8)</f>
        <v>242847</v>
      </c>
    </row>
    <row r="10" spans="1:7" ht="15" customHeight="1">
      <c r="A10" s="959" t="s">
        <v>156</v>
      </c>
      <c r="B10" s="159">
        <v>114070</v>
      </c>
      <c r="C10" s="173">
        <v>12872</v>
      </c>
      <c r="D10" s="173">
        <v>0</v>
      </c>
      <c r="E10" s="173">
        <v>0</v>
      </c>
      <c r="F10" s="173">
        <v>0</v>
      </c>
      <c r="G10" s="202">
        <f>SUM(C10:F10)</f>
        <v>12872</v>
      </c>
    </row>
    <row r="11" spans="1:7" ht="15" customHeight="1">
      <c r="A11" s="960"/>
      <c r="B11" s="159">
        <v>114210</v>
      </c>
      <c r="C11" s="173">
        <v>29153</v>
      </c>
      <c r="D11" s="173">
        <v>2623</v>
      </c>
      <c r="E11" s="173">
        <v>19760</v>
      </c>
      <c r="F11" s="173">
        <v>0</v>
      </c>
      <c r="G11" s="202">
        <f>SUM(C11:F11)</f>
        <v>51536</v>
      </c>
    </row>
    <row r="12" spans="1:7" ht="15" customHeight="1">
      <c r="A12" s="960"/>
      <c r="B12" s="159">
        <v>114230</v>
      </c>
      <c r="C12" s="173">
        <v>6</v>
      </c>
      <c r="D12" s="173">
        <v>0</v>
      </c>
      <c r="E12" s="173">
        <v>0</v>
      </c>
      <c r="F12" s="173">
        <v>0</v>
      </c>
      <c r="G12" s="202">
        <f>SUM(C12:F12)</f>
        <v>6</v>
      </c>
    </row>
    <row r="13" spans="1:7" ht="15" customHeight="1">
      <c r="A13" s="960"/>
      <c r="B13" s="159">
        <v>214210</v>
      </c>
      <c r="C13" s="173">
        <v>3</v>
      </c>
      <c r="D13" s="173">
        <v>0</v>
      </c>
      <c r="E13" s="173">
        <v>0</v>
      </c>
      <c r="F13" s="173">
        <v>0</v>
      </c>
      <c r="G13" s="202">
        <f>SUM(C13:F13)</f>
        <v>3</v>
      </c>
    </row>
    <row r="14" spans="1:7" ht="15" customHeight="1">
      <c r="A14" s="961"/>
      <c r="B14" s="162" t="s">
        <v>121</v>
      </c>
      <c r="C14" s="175">
        <f>SUM(C10:C13)</f>
        <v>42034</v>
      </c>
      <c r="D14" s="175">
        <f>SUM(D10:D13)</f>
        <v>2623</v>
      </c>
      <c r="E14" s="175">
        <f>SUM(E10:E13)</f>
        <v>19760</v>
      </c>
      <c r="F14" s="175">
        <f>SUM(F10:F13)</f>
        <v>0</v>
      </c>
      <c r="G14" s="203">
        <f>SUM(G10:G13)</f>
        <v>64417</v>
      </c>
    </row>
    <row r="15" spans="1:7" ht="15" customHeight="1">
      <c r="A15" s="959" t="s">
        <v>157</v>
      </c>
      <c r="B15" s="159">
        <v>114020</v>
      </c>
      <c r="C15" s="173">
        <v>0</v>
      </c>
      <c r="D15" s="173">
        <v>0</v>
      </c>
      <c r="E15" s="173">
        <v>0</v>
      </c>
      <c r="F15" s="173">
        <v>0</v>
      </c>
      <c r="G15" s="202">
        <f aca="true" t="shared" si="0" ref="G15:G22">SUM(C15:F15)</f>
        <v>0</v>
      </c>
    </row>
    <row r="16" spans="1:7" ht="15" customHeight="1">
      <c r="A16" s="965"/>
      <c r="B16" s="159">
        <v>114040</v>
      </c>
      <c r="C16" s="173">
        <v>8</v>
      </c>
      <c r="D16" s="173">
        <v>0</v>
      </c>
      <c r="E16" s="173">
        <v>0</v>
      </c>
      <c r="F16" s="173">
        <v>0</v>
      </c>
      <c r="G16" s="202">
        <f t="shared" si="0"/>
        <v>8</v>
      </c>
    </row>
    <row r="17" spans="1:7" ht="15" customHeight="1">
      <c r="A17" s="965"/>
      <c r="B17" s="159">
        <v>114050</v>
      </c>
      <c r="C17" s="173">
        <v>2906</v>
      </c>
      <c r="D17" s="173">
        <v>0</v>
      </c>
      <c r="E17" s="173">
        <v>0</v>
      </c>
      <c r="F17" s="173">
        <v>0</v>
      </c>
      <c r="G17" s="202">
        <f t="shared" si="0"/>
        <v>2906</v>
      </c>
    </row>
    <row r="18" spans="1:7" ht="15" customHeight="1">
      <c r="A18" s="965"/>
      <c r="B18" s="159">
        <v>114070</v>
      </c>
      <c r="C18" s="173">
        <v>16000</v>
      </c>
      <c r="D18" s="173">
        <v>0</v>
      </c>
      <c r="E18" s="173">
        <v>0</v>
      </c>
      <c r="F18" s="173">
        <v>0</v>
      </c>
      <c r="G18" s="202">
        <f t="shared" si="0"/>
        <v>16000</v>
      </c>
    </row>
    <row r="19" spans="1:7" ht="15" customHeight="1">
      <c r="A19" s="965"/>
      <c r="B19" s="159">
        <v>114410</v>
      </c>
      <c r="C19" s="173">
        <v>6614</v>
      </c>
      <c r="D19" s="173">
        <v>0</v>
      </c>
      <c r="E19" s="173">
        <v>0</v>
      </c>
      <c r="F19" s="173">
        <v>0</v>
      </c>
      <c r="G19" s="202">
        <f t="shared" si="0"/>
        <v>6614</v>
      </c>
    </row>
    <row r="20" spans="1:7" ht="15" customHeight="1">
      <c r="A20" s="965"/>
      <c r="B20" s="159">
        <v>214020</v>
      </c>
      <c r="C20" s="173">
        <v>0</v>
      </c>
      <c r="D20" s="173">
        <v>0</v>
      </c>
      <c r="E20" s="173">
        <v>0</v>
      </c>
      <c r="F20" s="173">
        <v>0</v>
      </c>
      <c r="G20" s="202">
        <f t="shared" si="0"/>
        <v>0</v>
      </c>
    </row>
    <row r="21" spans="1:7" ht="15" customHeight="1">
      <c r="A21" s="965"/>
      <c r="B21" s="159">
        <v>214110</v>
      </c>
      <c r="C21" s="173">
        <v>4572</v>
      </c>
      <c r="D21" s="173">
        <v>4035</v>
      </c>
      <c r="E21" s="173">
        <v>20259</v>
      </c>
      <c r="F21" s="173">
        <v>0</v>
      </c>
      <c r="G21" s="202">
        <f t="shared" si="0"/>
        <v>28866</v>
      </c>
    </row>
    <row r="22" spans="1:7" ht="15" customHeight="1">
      <c r="A22" s="965"/>
      <c r="B22" s="159">
        <v>214910</v>
      </c>
      <c r="C22" s="173">
        <v>13198</v>
      </c>
      <c r="D22" s="173">
        <v>0</v>
      </c>
      <c r="E22" s="173">
        <v>0</v>
      </c>
      <c r="F22" s="173">
        <v>0</v>
      </c>
      <c r="G22" s="202">
        <f t="shared" si="0"/>
        <v>13198</v>
      </c>
    </row>
    <row r="23" spans="1:7" ht="15" customHeight="1">
      <c r="A23" s="966"/>
      <c r="B23" s="162" t="s">
        <v>121</v>
      </c>
      <c r="C23" s="175">
        <f>SUM(C15:C22)</f>
        <v>43298</v>
      </c>
      <c r="D23" s="175">
        <f>SUM(D15:D22)</f>
        <v>4035</v>
      </c>
      <c r="E23" s="175">
        <f>SUM(E15:E22)</f>
        <v>20259</v>
      </c>
      <c r="F23" s="175">
        <f>SUM(F15:F22)</f>
        <v>0</v>
      </c>
      <c r="G23" s="203">
        <f>SUM(G15:G22)</f>
        <v>67592</v>
      </c>
    </row>
    <row r="24" spans="1:7" ht="15" customHeight="1">
      <c r="A24" s="959" t="s">
        <v>158</v>
      </c>
      <c r="B24" s="159">
        <v>114020</v>
      </c>
      <c r="C24" s="173">
        <v>5139</v>
      </c>
      <c r="D24" s="173">
        <v>0</v>
      </c>
      <c r="E24" s="173">
        <v>0</v>
      </c>
      <c r="F24" s="173">
        <v>0</v>
      </c>
      <c r="G24" s="202">
        <f>SUM(C24:F24)</f>
        <v>5139</v>
      </c>
    </row>
    <row r="25" spans="1:7" ht="15" customHeight="1">
      <c r="A25" s="965"/>
      <c r="B25" s="159">
        <v>114030</v>
      </c>
      <c r="C25" s="174">
        <v>2863</v>
      </c>
      <c r="D25" s="173">
        <v>0</v>
      </c>
      <c r="E25" s="173">
        <v>0</v>
      </c>
      <c r="F25" s="173">
        <v>0</v>
      </c>
      <c r="G25" s="202">
        <f>SUM(C25:F25)</f>
        <v>2863</v>
      </c>
    </row>
    <row r="26" spans="1:7" ht="15" customHeight="1">
      <c r="A26" s="965"/>
      <c r="B26" s="159">
        <v>114040</v>
      </c>
      <c r="C26" s="173">
        <v>1</v>
      </c>
      <c r="D26" s="173">
        <v>0</v>
      </c>
      <c r="E26" s="173">
        <v>0</v>
      </c>
      <c r="F26" s="173">
        <v>0</v>
      </c>
      <c r="G26" s="202">
        <f>SUM(C26:F26)</f>
        <v>1</v>
      </c>
    </row>
    <row r="27" spans="1:7" ht="15" customHeight="1">
      <c r="A27" s="965"/>
      <c r="B27" s="159">
        <v>214020</v>
      </c>
      <c r="C27" s="173">
        <v>2102</v>
      </c>
      <c r="D27" s="173">
        <v>0</v>
      </c>
      <c r="E27" s="173">
        <v>0</v>
      </c>
      <c r="F27" s="173">
        <v>0</v>
      </c>
      <c r="G27" s="202">
        <f>SUM(C27:F27)</f>
        <v>2102</v>
      </c>
    </row>
    <row r="28" spans="1:7" ht="15" customHeight="1">
      <c r="A28" s="965"/>
      <c r="B28" s="159">
        <v>214030</v>
      </c>
      <c r="C28" s="174">
        <v>8340</v>
      </c>
      <c r="D28" s="173">
        <v>0</v>
      </c>
      <c r="E28" s="173">
        <v>0</v>
      </c>
      <c r="F28" s="173">
        <v>0</v>
      </c>
      <c r="G28" s="202">
        <f>SUM(C28:F28)</f>
        <v>8340</v>
      </c>
    </row>
    <row r="29" spans="1:7" ht="15" customHeight="1">
      <c r="A29" s="966"/>
      <c r="B29" s="162" t="s">
        <v>121</v>
      </c>
      <c r="C29" s="175">
        <f>SUM(C24:C28)</f>
        <v>18445</v>
      </c>
      <c r="D29" s="175">
        <f>SUM(D24:D28)</f>
        <v>0</v>
      </c>
      <c r="E29" s="175">
        <f>SUM(E24:E28)</f>
        <v>0</v>
      </c>
      <c r="F29" s="175">
        <f>SUM(F24:F28)</f>
        <v>0</v>
      </c>
      <c r="G29" s="203">
        <f>SUM(G24:G28)</f>
        <v>18445</v>
      </c>
    </row>
    <row r="30" spans="1:7" ht="15" customHeight="1">
      <c r="A30" s="959" t="s">
        <v>159</v>
      </c>
      <c r="B30" s="159">
        <v>114070</v>
      </c>
      <c r="C30" s="173">
        <v>0</v>
      </c>
      <c r="D30" s="173">
        <v>132322</v>
      </c>
      <c r="E30" s="173">
        <v>909931</v>
      </c>
      <c r="F30" s="173">
        <v>0</v>
      </c>
      <c r="G30" s="202">
        <f>SUM(C30:F30)</f>
        <v>1042253</v>
      </c>
    </row>
    <row r="31" spans="1:7" ht="15" customHeight="1">
      <c r="A31" s="960"/>
      <c r="B31" s="159">
        <v>114110</v>
      </c>
      <c r="C31" s="173">
        <v>0</v>
      </c>
      <c r="D31" s="173">
        <v>0</v>
      </c>
      <c r="E31" s="173">
        <v>0</v>
      </c>
      <c r="F31" s="173">
        <v>0</v>
      </c>
      <c r="G31" s="202">
        <f>SUM(C31:F31)</f>
        <v>0</v>
      </c>
    </row>
    <row r="32" spans="1:7" ht="15" customHeight="1">
      <c r="A32" s="960"/>
      <c r="B32" s="159">
        <v>114410</v>
      </c>
      <c r="C32" s="173">
        <v>0</v>
      </c>
      <c r="D32" s="173">
        <v>0</v>
      </c>
      <c r="E32" s="173">
        <v>0</v>
      </c>
      <c r="F32" s="173">
        <v>0</v>
      </c>
      <c r="G32" s="202">
        <f>SUM(C32:F32)</f>
        <v>0</v>
      </c>
    </row>
    <row r="33" spans="1:7" ht="15" customHeight="1">
      <c r="A33" s="960"/>
      <c r="B33" s="159">
        <v>214110</v>
      </c>
      <c r="C33" s="173">
        <v>0</v>
      </c>
      <c r="D33" s="173">
        <v>10972</v>
      </c>
      <c r="E33" s="173">
        <v>27101</v>
      </c>
      <c r="F33" s="173">
        <v>0</v>
      </c>
      <c r="G33" s="202">
        <f>SUM(C33:F33)</f>
        <v>38073</v>
      </c>
    </row>
    <row r="34" spans="1:7" ht="15" customHeight="1">
      <c r="A34" s="961"/>
      <c r="B34" s="162" t="s">
        <v>121</v>
      </c>
      <c r="C34" s="175">
        <f>SUM(C30:C33)</f>
        <v>0</v>
      </c>
      <c r="D34" s="175">
        <f>SUM(D30:D33)</f>
        <v>143294</v>
      </c>
      <c r="E34" s="175">
        <f>SUM(E30:E33)</f>
        <v>937032</v>
      </c>
      <c r="F34" s="175">
        <f>SUM(F30:F33)</f>
        <v>0</v>
      </c>
      <c r="G34" s="203">
        <f>SUM(G30:G33)</f>
        <v>1080326</v>
      </c>
    </row>
    <row r="35" spans="1:7" ht="15" customHeight="1" thickBot="1">
      <c r="A35" s="186" t="s">
        <v>160</v>
      </c>
      <c r="B35" s="187">
        <v>214020</v>
      </c>
      <c r="C35" s="204">
        <v>4</v>
      </c>
      <c r="D35" s="204">
        <v>0</v>
      </c>
      <c r="E35" s="204">
        <v>0</v>
      </c>
      <c r="F35" s="204">
        <v>0</v>
      </c>
      <c r="G35" s="205">
        <f>SUM(C35:F35)</f>
        <v>4</v>
      </c>
    </row>
    <row r="36" spans="1:7" s="43" customFormat="1" ht="34.5" customHeight="1" thickBot="1">
      <c r="A36" s="972" t="s">
        <v>121</v>
      </c>
      <c r="B36" s="973"/>
      <c r="C36" s="135">
        <f>SUM(C35,C34,C29,C23,C14,C9)</f>
        <v>218593</v>
      </c>
      <c r="D36" s="135">
        <f>SUM(D35,D34,D29,D23,D14,D9)</f>
        <v>161760</v>
      </c>
      <c r="E36" s="135">
        <f>SUM(E35,E34,E29,E23,E14,E9)</f>
        <v>1030847</v>
      </c>
      <c r="F36" s="135">
        <f>SUM(F35,F34,F29,F23,F14,F9)</f>
        <v>62431</v>
      </c>
      <c r="G36" s="136">
        <f>SUM(G35,G34,G29,G23,G14,G9)</f>
        <v>1473631</v>
      </c>
    </row>
    <row r="38" spans="1:10" s="44" customFormat="1" ht="12" customHeight="1">
      <c r="A38" s="152" t="s">
        <v>149</v>
      </c>
      <c r="B38" s="153"/>
      <c r="C38" s="152" t="s">
        <v>150</v>
      </c>
      <c r="F38" s="976" t="s">
        <v>167</v>
      </c>
      <c r="G38" s="976"/>
      <c r="J38" s="154"/>
    </row>
    <row r="39" s="114" customFormat="1" ht="12"/>
    <row r="40" s="114" customFormat="1" ht="12" customHeight="1"/>
    <row r="41" s="114" customFormat="1" ht="12"/>
    <row r="42" s="114" customFormat="1" ht="12"/>
  </sheetData>
  <sheetProtection/>
  <mergeCells count="9">
    <mergeCell ref="F38:G38"/>
    <mergeCell ref="A2:G2"/>
    <mergeCell ref="A30:A34"/>
    <mergeCell ref="A36:B36"/>
    <mergeCell ref="A4:G4"/>
    <mergeCell ref="A6:A9"/>
    <mergeCell ref="A10:A14"/>
    <mergeCell ref="A15:A23"/>
    <mergeCell ref="A24:A29"/>
  </mergeCells>
  <printOptions horizontalCentered="1"/>
  <pageMargins left="0.7874015748031497" right="0.7874015748031497" top="0.984251968503937" bottom="0.984251968503937" header="0.7086614173228347" footer="0.31496062992125984"/>
  <pageSetup blackAndWhite="1" fitToHeight="1" fitToWidth="1" horizontalDpi="600" verticalDpi="600" orientation="landscape" paperSize="9" scale="74" r:id="rId1"/>
  <headerFooter alignWithMargins="0">
    <oddHeader>&amp;L&amp;"Arial CE,Tučné"&amp;12Kapitola: 314 - Ministerstvo vnitra&amp;R&amp;"Arial CE,Tučné"&amp;12Tabulky č. 13/3&amp;"Arial CE,Obyčejné"&amp;10
List č. 5/5</oddHeader>
    <oddFooter>&amp;C&amp;11&amp;P+162
&amp;12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3"/>
  <sheetViews>
    <sheetView tabSelected="1" workbookViewId="0" topLeftCell="A21">
      <selection activeCell="H13" sqref="H13"/>
    </sheetView>
  </sheetViews>
  <sheetFormatPr defaultColWidth="9.00390625" defaultRowHeight="12.75"/>
  <cols>
    <col min="1" max="1" width="7.00390625" style="678" customWidth="1"/>
    <col min="2" max="2" width="41.875" style="678" customWidth="1"/>
    <col min="3" max="3" width="19.00390625" style="677" customWidth="1"/>
    <col min="4" max="4" width="18.25390625" style="678" customWidth="1"/>
    <col min="5" max="5" width="7.00390625" style="678" customWidth="1"/>
    <col min="6" max="6" width="17.00390625" style="678" customWidth="1"/>
    <col min="7" max="7" width="7.875" style="678" customWidth="1"/>
    <col min="8" max="8" width="19.375" style="678" customWidth="1"/>
    <col min="9" max="9" width="6.875" style="678" customWidth="1"/>
    <col min="10" max="10" width="19.00390625" style="678" customWidth="1"/>
    <col min="11" max="11" width="8.25390625" style="678" bestFit="1" customWidth="1"/>
    <col min="12" max="16384" width="9.125" style="678" customWidth="1"/>
  </cols>
  <sheetData>
    <row r="1" spans="2:11" ht="15.75">
      <c r="B1" s="413" t="s">
        <v>178</v>
      </c>
      <c r="J1" s="978" t="s">
        <v>435</v>
      </c>
      <c r="K1" s="978"/>
    </row>
    <row r="3" spans="2:11" ht="18">
      <c r="B3" s="977" t="s">
        <v>332</v>
      </c>
      <c r="C3" s="977"/>
      <c r="D3" s="977"/>
      <c r="E3" s="977"/>
      <c r="F3" s="977"/>
      <c r="G3" s="977"/>
      <c r="H3" s="977"/>
      <c r="I3" s="977"/>
      <c r="J3" s="977"/>
      <c r="K3" s="977"/>
    </row>
    <row r="4" spans="2:4" ht="18">
      <c r="B4" s="679"/>
      <c r="C4" s="680"/>
      <c r="D4" s="681"/>
    </row>
    <row r="5" spans="2:11" ht="18.75" thickBot="1">
      <c r="B5" s="679"/>
      <c r="K5" s="682" t="s">
        <v>92</v>
      </c>
    </row>
    <row r="6" spans="2:11" s="690" customFormat="1" ht="19.5" customHeight="1" thickBot="1">
      <c r="B6" s="691"/>
      <c r="C6" s="692" t="s">
        <v>333</v>
      </c>
      <c r="D6" s="693"/>
      <c r="E6" s="693"/>
      <c r="F6" s="693" t="s">
        <v>334</v>
      </c>
      <c r="G6" s="693"/>
      <c r="H6" s="693"/>
      <c r="I6" s="693"/>
      <c r="J6" s="693"/>
      <c r="K6" s="694"/>
    </row>
    <row r="7" spans="2:11" s="690" customFormat="1" ht="13.5" thickBot="1">
      <c r="B7" s="695"/>
      <c r="C7" s="696" t="s">
        <v>335</v>
      </c>
      <c r="D7" s="697" t="s">
        <v>336</v>
      </c>
      <c r="E7" s="698"/>
      <c r="F7" s="697" t="s">
        <v>337</v>
      </c>
      <c r="G7" s="698"/>
      <c r="H7" s="697" t="s">
        <v>338</v>
      </c>
      <c r="I7" s="698"/>
      <c r="J7" s="697" t="s">
        <v>339</v>
      </c>
      <c r="K7" s="698"/>
    </row>
    <row r="8" spans="2:11" s="690" customFormat="1" ht="13.5" thickBot="1">
      <c r="B8" s="699" t="s">
        <v>340</v>
      </c>
      <c r="C8" s="700"/>
      <c r="D8" s="701" t="s">
        <v>271</v>
      </c>
      <c r="E8" s="701" t="s">
        <v>341</v>
      </c>
      <c r="F8" s="701" t="s">
        <v>271</v>
      </c>
      <c r="G8" s="701" t="s">
        <v>342</v>
      </c>
      <c r="H8" s="702" t="s">
        <v>271</v>
      </c>
      <c r="I8" s="701" t="s">
        <v>342</v>
      </c>
      <c r="J8" s="702" t="s">
        <v>271</v>
      </c>
      <c r="K8" s="701" t="s">
        <v>342</v>
      </c>
    </row>
    <row r="9" spans="2:11" s="690" customFormat="1" ht="12.75" hidden="1">
      <c r="B9" s="703" t="s">
        <v>343</v>
      </c>
      <c r="C9" s="704">
        <v>5141915.47</v>
      </c>
      <c r="D9" s="705">
        <v>912826.628</v>
      </c>
      <c r="E9" s="706">
        <f aca="true" t="shared" si="0" ref="E9:E41">D9*100/C9</f>
        <v>17.752657221337014</v>
      </c>
      <c r="F9" s="707">
        <f>2025482.726-D9</f>
        <v>1112656.098</v>
      </c>
      <c r="G9" s="708">
        <f aca="true" t="shared" si="1" ref="G9:G43">F9*100/C9</f>
        <v>21.638941839703172</v>
      </c>
      <c r="H9" s="707">
        <f>3203949.113-F9-D9</f>
        <v>1178466.3869999999</v>
      </c>
      <c r="I9" s="708">
        <f aca="true" t="shared" si="2" ref="I9:I43">H9*100/C9</f>
        <v>22.918820697766158</v>
      </c>
      <c r="J9" s="707">
        <f>C9-D9-F9-H9</f>
        <v>1937966.357</v>
      </c>
      <c r="K9" s="708">
        <f aca="true" t="shared" si="3" ref="K9:K46">J9*100/C9</f>
        <v>37.68958024119366</v>
      </c>
    </row>
    <row r="10" spans="2:11" s="690" customFormat="1" ht="13.5" hidden="1" thickBot="1">
      <c r="B10" s="709" t="s">
        <v>344</v>
      </c>
      <c r="C10" s="710">
        <v>23751130.19</v>
      </c>
      <c r="D10" s="711">
        <v>3914548.934</v>
      </c>
      <c r="E10" s="712">
        <f t="shared" si="0"/>
        <v>16.481526995494942</v>
      </c>
      <c r="F10" s="710">
        <f>9486907.641-D10</f>
        <v>5572358.707</v>
      </c>
      <c r="G10" s="708">
        <f t="shared" si="1"/>
        <v>23.461446518221457</v>
      </c>
      <c r="H10" s="710">
        <f>15105558.142-F10-D10</f>
        <v>5618650.501</v>
      </c>
      <c r="I10" s="708">
        <f t="shared" si="2"/>
        <v>23.656350060198967</v>
      </c>
      <c r="J10" s="710">
        <f>C10-D10-F10-H10</f>
        <v>8645572.048</v>
      </c>
      <c r="K10" s="708">
        <f t="shared" si="3"/>
        <v>36.40067642608463</v>
      </c>
    </row>
    <row r="11" spans="2:11" s="690" customFormat="1" ht="13.5" hidden="1" thickBot="1">
      <c r="B11" s="713" t="s">
        <v>345</v>
      </c>
      <c r="C11" s="714"/>
      <c r="D11" s="715"/>
      <c r="E11" s="716" t="e">
        <f t="shared" si="0"/>
        <v>#DIV/0!</v>
      </c>
      <c r="F11" s="717"/>
      <c r="G11" s="718" t="e">
        <f t="shared" si="1"/>
        <v>#DIV/0!</v>
      </c>
      <c r="H11" s="717"/>
      <c r="I11" s="718" t="e">
        <f t="shared" si="2"/>
        <v>#DIV/0!</v>
      </c>
      <c r="J11" s="717">
        <f>C11-D11-F11-H11</f>
        <v>0</v>
      </c>
      <c r="K11" s="718" t="e">
        <f t="shared" si="3"/>
        <v>#DIV/0!</v>
      </c>
    </row>
    <row r="12" spans="2:11" s="690" customFormat="1" ht="13.5" thickBot="1">
      <c r="B12" s="719" t="s">
        <v>346</v>
      </c>
      <c r="C12" s="720">
        <f>SUM(C9:C11)</f>
        <v>28893045.66</v>
      </c>
      <c r="D12" s="721">
        <f>SUM(D9:D11)</f>
        <v>4827375.562</v>
      </c>
      <c r="E12" s="722">
        <f t="shared" si="0"/>
        <v>16.707742128698797</v>
      </c>
      <c r="F12" s="720">
        <f>SUM(F9:F11)</f>
        <v>6685014.805000001</v>
      </c>
      <c r="G12" s="723">
        <f t="shared" si="1"/>
        <v>23.13710670611248</v>
      </c>
      <c r="H12" s="720">
        <f>SUM(H9:H11)</f>
        <v>6797116.888</v>
      </c>
      <c r="I12" s="723">
        <f t="shared" si="2"/>
        <v>23.52509655086324</v>
      </c>
      <c r="J12" s="720">
        <f>SUM(J9:J11)</f>
        <v>10583538.405000001</v>
      </c>
      <c r="K12" s="723">
        <f t="shared" si="3"/>
        <v>36.630054614325495</v>
      </c>
    </row>
    <row r="13" spans="2:11" s="690" customFormat="1" ht="12.75">
      <c r="B13" s="724" t="s">
        <v>347</v>
      </c>
      <c r="C13" s="725">
        <f>13997074.521+679479.688</f>
        <v>14676554.208999999</v>
      </c>
      <c r="D13" s="726">
        <f>3113413.751+141973.47</f>
        <v>3255387.2210000004</v>
      </c>
      <c r="E13" s="727">
        <f t="shared" si="0"/>
        <v>22.18086871510836</v>
      </c>
      <c r="F13" s="728">
        <f>6802457.805+257456.152-D13</f>
        <v>3804526.735999999</v>
      </c>
      <c r="G13" s="729">
        <f t="shared" si="1"/>
        <v>25.922479362812396</v>
      </c>
      <c r="H13" s="728">
        <f>9816550.29+384692.79-F13-D13</f>
        <v>3141329.1229999983</v>
      </c>
      <c r="I13" s="729">
        <f t="shared" si="2"/>
        <v>21.40372377784469</v>
      </c>
      <c r="J13" s="728">
        <f>C13-D13-F13-H13</f>
        <v>4475311.129000001</v>
      </c>
      <c r="K13" s="729">
        <f t="shared" si="3"/>
        <v>30.49292814423455</v>
      </c>
    </row>
    <row r="14" spans="2:11" s="690" customFormat="1" ht="13.5" thickBot="1">
      <c r="B14" s="730" t="s">
        <v>348</v>
      </c>
      <c r="C14" s="731">
        <v>14215.925</v>
      </c>
      <c r="D14" s="732">
        <v>514.063</v>
      </c>
      <c r="E14" s="733">
        <f t="shared" si="0"/>
        <v>3.616106584692871</v>
      </c>
      <c r="F14" s="731">
        <f>1556.823-D14</f>
        <v>1042.7600000000002</v>
      </c>
      <c r="G14" s="734">
        <f t="shared" si="1"/>
        <v>7.335154061378351</v>
      </c>
      <c r="H14" s="731">
        <f>3280.779-F14-D14</f>
        <v>1723.9559999999997</v>
      </c>
      <c r="I14" s="734">
        <f t="shared" si="2"/>
        <v>12.12693510974488</v>
      </c>
      <c r="J14" s="731">
        <f>C14-D14-F14-H14</f>
        <v>10935.145999999999</v>
      </c>
      <c r="K14" s="734">
        <f t="shared" si="3"/>
        <v>76.92180424418389</v>
      </c>
    </row>
    <row r="15" spans="2:11" s="690" customFormat="1" ht="12.75">
      <c r="B15" s="724" t="s">
        <v>184</v>
      </c>
      <c r="C15" s="714">
        <v>820868.574</v>
      </c>
      <c r="D15" s="715">
        <v>160217.652</v>
      </c>
      <c r="E15" s="727">
        <f t="shared" si="0"/>
        <v>19.518063801526406</v>
      </c>
      <c r="F15" s="728">
        <f>353683.473-D15</f>
        <v>193465.821</v>
      </c>
      <c r="G15" s="729">
        <f t="shared" si="1"/>
        <v>23.568428263401884</v>
      </c>
      <c r="H15" s="717">
        <f>500957.516-F15-D15</f>
        <v>147274.043</v>
      </c>
      <c r="I15" s="729">
        <f t="shared" si="2"/>
        <v>17.941245123120037</v>
      </c>
      <c r="J15" s="728">
        <f>C15-D15-F15-H15</f>
        <v>319911.058</v>
      </c>
      <c r="K15" s="729">
        <f t="shared" si="3"/>
        <v>38.97226281195167</v>
      </c>
    </row>
    <row r="16" spans="2:11" s="690" customFormat="1" ht="12.75">
      <c r="B16" s="709" t="s">
        <v>197</v>
      </c>
      <c r="C16" s="735">
        <v>6349926.53</v>
      </c>
      <c r="D16" s="736">
        <v>925947.252</v>
      </c>
      <c r="E16" s="712">
        <f t="shared" si="0"/>
        <v>14.582015203253068</v>
      </c>
      <c r="F16" s="737">
        <f>2326328.54-D16</f>
        <v>1400381.2880000002</v>
      </c>
      <c r="G16" s="708">
        <f t="shared" si="1"/>
        <v>22.053503790696617</v>
      </c>
      <c r="H16" s="737">
        <f>3774338.657-F16-D16</f>
        <v>1448010.117</v>
      </c>
      <c r="I16" s="708">
        <f t="shared" si="2"/>
        <v>22.803572768266346</v>
      </c>
      <c r="J16" s="728">
        <f>C16-D16-F16-H16</f>
        <v>2575587.8729999997</v>
      </c>
      <c r="K16" s="708">
        <f t="shared" si="3"/>
        <v>40.56090823778396</v>
      </c>
    </row>
    <row r="17" spans="2:11" s="690" customFormat="1" ht="13.5" thickBot="1">
      <c r="B17" s="738" t="s">
        <v>432</v>
      </c>
      <c r="C17" s="735">
        <v>23904.581</v>
      </c>
      <c r="D17" s="736">
        <v>3737.742</v>
      </c>
      <c r="E17" s="739">
        <f t="shared" si="0"/>
        <v>15.636090839659563</v>
      </c>
      <c r="F17" s="737">
        <f>8800.732-D17</f>
        <v>5062.99</v>
      </c>
      <c r="G17" s="740">
        <f t="shared" si="1"/>
        <v>21.179998929912223</v>
      </c>
      <c r="H17" s="737">
        <f>14244.236-F17-D17</f>
        <v>5443.504000000001</v>
      </c>
      <c r="I17" s="740">
        <f t="shared" si="2"/>
        <v>22.771802609717366</v>
      </c>
      <c r="J17" s="717">
        <f>C17-D17-F17-H17</f>
        <v>9660.345</v>
      </c>
      <c r="K17" s="740">
        <f t="shared" si="3"/>
        <v>40.412107620710856</v>
      </c>
    </row>
    <row r="18" spans="2:11" s="690" customFormat="1" ht="13.5" thickBot="1">
      <c r="B18" s="719" t="s">
        <v>349</v>
      </c>
      <c r="C18" s="720">
        <f>SUM(C15:C17)</f>
        <v>7194699.6850000005</v>
      </c>
      <c r="D18" s="721">
        <f>SUM(D15:D17)</f>
        <v>1089902.6460000002</v>
      </c>
      <c r="E18" s="722">
        <f t="shared" si="0"/>
        <v>15.148688530701335</v>
      </c>
      <c r="F18" s="741">
        <f>SUM(F15:F17)</f>
        <v>1598910.0990000002</v>
      </c>
      <c r="G18" s="723">
        <f t="shared" si="1"/>
        <v>22.223444605110018</v>
      </c>
      <c r="H18" s="741">
        <f>SUM(H15:H17)</f>
        <v>1600727.664</v>
      </c>
      <c r="I18" s="723">
        <f t="shared" si="2"/>
        <v>22.248707160596375</v>
      </c>
      <c r="J18" s="741">
        <f>SUM(J15:J17)</f>
        <v>2905159.276</v>
      </c>
      <c r="K18" s="723">
        <f t="shared" si="3"/>
        <v>40.37915970359227</v>
      </c>
    </row>
    <row r="19" spans="2:11" s="690" customFormat="1" ht="12.75">
      <c r="B19" s="724" t="s">
        <v>69</v>
      </c>
      <c r="C19" s="714">
        <v>107825.342</v>
      </c>
      <c r="D19" s="715">
        <v>17348.896</v>
      </c>
      <c r="E19" s="727">
        <f t="shared" si="0"/>
        <v>16.08981309792646</v>
      </c>
      <c r="F19" s="717">
        <f>44559.868-D19</f>
        <v>27210.972</v>
      </c>
      <c r="G19" s="729">
        <f t="shared" si="1"/>
        <v>25.23615645012283</v>
      </c>
      <c r="H19" s="717">
        <f>69265.757-F19-D19</f>
        <v>24705.888999999996</v>
      </c>
      <c r="I19" s="729">
        <f t="shared" si="2"/>
        <v>22.91287793921395</v>
      </c>
      <c r="J19" s="728">
        <f aca="true" t="shared" si="4" ref="J19:J26">C19-D19-F19-H19</f>
        <v>38559.585</v>
      </c>
      <c r="K19" s="729">
        <f t="shared" si="3"/>
        <v>35.76115251273676</v>
      </c>
    </row>
    <row r="20" spans="2:11" s="690" customFormat="1" ht="12.75">
      <c r="B20" s="709" t="s">
        <v>350</v>
      </c>
      <c r="C20" s="735">
        <v>78204.794</v>
      </c>
      <c r="D20" s="736">
        <v>13476.09</v>
      </c>
      <c r="E20" s="712">
        <f t="shared" si="0"/>
        <v>17.231795278432678</v>
      </c>
      <c r="F20" s="737">
        <f>30821.596-D20</f>
        <v>17345.506</v>
      </c>
      <c r="G20" s="708">
        <f t="shared" si="1"/>
        <v>22.179594258633305</v>
      </c>
      <c r="H20" s="737">
        <f>47449.99-F20-D20</f>
        <v>16628.393999999997</v>
      </c>
      <c r="I20" s="708">
        <f t="shared" si="2"/>
        <v>21.262627454782372</v>
      </c>
      <c r="J20" s="728">
        <f t="shared" si="4"/>
        <v>30754.804</v>
      </c>
      <c r="K20" s="708">
        <f t="shared" si="3"/>
        <v>39.32598300815165</v>
      </c>
    </row>
    <row r="21" spans="2:11" s="690" customFormat="1" ht="12.75">
      <c r="B21" s="709" t="s">
        <v>351</v>
      </c>
      <c r="C21" s="735">
        <v>55965.006</v>
      </c>
      <c r="D21" s="736">
        <v>9181.863</v>
      </c>
      <c r="E21" s="712">
        <f t="shared" si="0"/>
        <v>16.406436193359827</v>
      </c>
      <c r="F21" s="737">
        <f>22292.283-D21</f>
        <v>13110.42</v>
      </c>
      <c r="G21" s="708">
        <f t="shared" si="1"/>
        <v>23.42610309020605</v>
      </c>
      <c r="H21" s="737">
        <f>34863.414-F21-D21</f>
        <v>12571.131</v>
      </c>
      <c r="I21" s="708">
        <f t="shared" si="2"/>
        <v>22.4624848606288</v>
      </c>
      <c r="J21" s="728">
        <f t="shared" si="4"/>
        <v>21101.592000000004</v>
      </c>
      <c r="K21" s="708">
        <f t="shared" si="3"/>
        <v>37.70497585580532</v>
      </c>
    </row>
    <row r="22" spans="2:11" s="690" customFormat="1" ht="12.75">
      <c r="B22" s="709" t="s">
        <v>352</v>
      </c>
      <c r="C22" s="735">
        <v>87423.496</v>
      </c>
      <c r="D22" s="736">
        <v>10258.601</v>
      </c>
      <c r="E22" s="739">
        <f t="shared" si="0"/>
        <v>11.734375161569838</v>
      </c>
      <c r="F22" s="737">
        <f>25349.845-D22</f>
        <v>15091.244</v>
      </c>
      <c r="G22" s="740">
        <f t="shared" si="1"/>
        <v>17.262228909262564</v>
      </c>
      <c r="H22" s="737">
        <f>44252.248-F22-D22</f>
        <v>18902.403</v>
      </c>
      <c r="I22" s="740">
        <f t="shared" si="2"/>
        <v>21.621650774524046</v>
      </c>
      <c r="J22" s="717">
        <f t="shared" si="4"/>
        <v>43171.24800000001</v>
      </c>
      <c r="K22" s="740">
        <f t="shared" si="3"/>
        <v>49.38174515464356</v>
      </c>
    </row>
    <row r="23" spans="2:11" s="690" customFormat="1" ht="12.75">
      <c r="B23" s="709" t="s">
        <v>353</v>
      </c>
      <c r="C23" s="710">
        <v>62505.633</v>
      </c>
      <c r="D23" s="711">
        <v>9908.949</v>
      </c>
      <c r="E23" s="712">
        <f t="shared" si="0"/>
        <v>15.85288961076516</v>
      </c>
      <c r="F23" s="710">
        <f>24652.136-D23</f>
        <v>14743.186999999998</v>
      </c>
      <c r="G23" s="708">
        <f t="shared" si="1"/>
        <v>23.586973353265613</v>
      </c>
      <c r="H23" s="710">
        <f>39693.295-F23-D23</f>
        <v>15041.159</v>
      </c>
      <c r="I23" s="708">
        <f t="shared" si="2"/>
        <v>24.063685588145308</v>
      </c>
      <c r="J23" s="710">
        <f t="shared" si="4"/>
        <v>22812.338000000003</v>
      </c>
      <c r="K23" s="708">
        <f t="shared" si="3"/>
        <v>36.496451447823915</v>
      </c>
    </row>
    <row r="24" spans="2:11" s="690" customFormat="1" ht="12.75">
      <c r="B24" s="709" t="s">
        <v>354</v>
      </c>
      <c r="C24" s="742">
        <v>66197.584</v>
      </c>
      <c r="D24" s="711">
        <v>11972.804</v>
      </c>
      <c r="E24" s="712">
        <f t="shared" si="0"/>
        <v>18.08646672059814</v>
      </c>
      <c r="F24" s="710">
        <f>26987.633-D24</f>
        <v>15014.829000000002</v>
      </c>
      <c r="G24" s="708">
        <f t="shared" si="1"/>
        <v>22.68183835833042</v>
      </c>
      <c r="H24" s="710">
        <f>42193.646-F24-D24</f>
        <v>15206.012999999999</v>
      </c>
      <c r="I24" s="708">
        <f t="shared" si="2"/>
        <v>22.970646481599687</v>
      </c>
      <c r="J24" s="728">
        <f t="shared" si="4"/>
        <v>24003.938000000002</v>
      </c>
      <c r="K24" s="708">
        <f t="shared" si="3"/>
        <v>36.26104843947175</v>
      </c>
    </row>
    <row r="25" spans="2:11" s="690" customFormat="1" ht="12.75">
      <c r="B25" s="709" t="s">
        <v>355</v>
      </c>
      <c r="C25" s="742">
        <v>124217.082</v>
      </c>
      <c r="D25" s="711">
        <v>20290.28</v>
      </c>
      <c r="E25" s="712">
        <f t="shared" si="0"/>
        <v>16.334532797993113</v>
      </c>
      <c r="F25" s="710">
        <f>46357.84-D25</f>
        <v>26067.559999999998</v>
      </c>
      <c r="G25" s="708">
        <f t="shared" si="1"/>
        <v>20.9854873261312</v>
      </c>
      <c r="H25" s="710">
        <f>76120.065-F25-D25</f>
        <v>29762.225000000006</v>
      </c>
      <c r="I25" s="708">
        <f t="shared" si="2"/>
        <v>23.959848775066224</v>
      </c>
      <c r="J25" s="728">
        <f t="shared" si="4"/>
        <v>48097.01699999999</v>
      </c>
      <c r="K25" s="708">
        <f t="shared" si="3"/>
        <v>38.72013110080946</v>
      </c>
    </row>
    <row r="26" spans="2:11" s="690" customFormat="1" ht="13.5" thickBot="1">
      <c r="B26" s="713" t="s">
        <v>356</v>
      </c>
      <c r="C26" s="735">
        <v>105506.762</v>
      </c>
      <c r="D26" s="736">
        <v>18792.86</v>
      </c>
      <c r="E26" s="739">
        <f t="shared" si="0"/>
        <v>17.81199578468724</v>
      </c>
      <c r="F26" s="737">
        <f>40206.544-D26</f>
        <v>21413.684</v>
      </c>
      <c r="G26" s="740">
        <f t="shared" si="1"/>
        <v>20.296029935976993</v>
      </c>
      <c r="H26" s="737">
        <f>63446.977-F26-D26</f>
        <v>23240.432999999997</v>
      </c>
      <c r="I26" s="740">
        <f t="shared" si="2"/>
        <v>22.027434601774623</v>
      </c>
      <c r="J26" s="717">
        <f t="shared" si="4"/>
        <v>42059.785</v>
      </c>
      <c r="K26" s="740">
        <f t="shared" si="3"/>
        <v>39.86453967756114</v>
      </c>
    </row>
    <row r="27" spans="2:11" s="690" customFormat="1" ht="13.5" thickBot="1">
      <c r="B27" s="719" t="s">
        <v>357</v>
      </c>
      <c r="C27" s="720">
        <f>SUM(C19:C26)</f>
        <v>687845.6989999999</v>
      </c>
      <c r="D27" s="721">
        <f>SUM(D19:D26)</f>
        <v>111230.34300000001</v>
      </c>
      <c r="E27" s="722">
        <f t="shared" si="0"/>
        <v>16.170827725129094</v>
      </c>
      <c r="F27" s="741">
        <f>SUM(F19:F26)</f>
        <v>149997.402</v>
      </c>
      <c r="G27" s="723">
        <f t="shared" si="1"/>
        <v>21.80683868752373</v>
      </c>
      <c r="H27" s="741">
        <f>SUM(H19:H26)</f>
        <v>156057.647</v>
      </c>
      <c r="I27" s="723">
        <f t="shared" si="2"/>
        <v>22.68788584807303</v>
      </c>
      <c r="J27" s="741">
        <f>SUM(J19:J26)</f>
        <v>270560.307</v>
      </c>
      <c r="K27" s="723">
        <f t="shared" si="3"/>
        <v>39.334447739274154</v>
      </c>
    </row>
    <row r="28" spans="2:11" s="690" customFormat="1" ht="12.75">
      <c r="B28" s="724" t="s">
        <v>198</v>
      </c>
      <c r="C28" s="725">
        <v>205103.045</v>
      </c>
      <c r="D28" s="726">
        <v>34504.218</v>
      </c>
      <c r="E28" s="727">
        <f t="shared" si="0"/>
        <v>16.822869694596683</v>
      </c>
      <c r="F28" s="728">
        <f>83614.441-D28</f>
        <v>49110.223000000005</v>
      </c>
      <c r="G28" s="729">
        <f t="shared" si="1"/>
        <v>23.944170599710016</v>
      </c>
      <c r="H28" s="728">
        <f>132435.671-F28-D28</f>
        <v>48821.23</v>
      </c>
      <c r="I28" s="729">
        <f t="shared" si="2"/>
        <v>23.80326922986443</v>
      </c>
      <c r="J28" s="728">
        <f aca="true" t="shared" si="5" ref="J28:J35">C28-D28-F28-H28</f>
        <v>72667.37400000001</v>
      </c>
      <c r="K28" s="729">
        <f t="shared" si="3"/>
        <v>35.42969047582887</v>
      </c>
    </row>
    <row r="29" spans="2:11" s="690" customFormat="1" ht="12.75">
      <c r="B29" s="709" t="s">
        <v>185</v>
      </c>
      <c r="C29" s="742">
        <v>146018.331</v>
      </c>
      <c r="D29" s="711">
        <v>23234.684</v>
      </c>
      <c r="E29" s="712">
        <f t="shared" si="0"/>
        <v>15.912169274144079</v>
      </c>
      <c r="F29" s="710">
        <f>58443.344-D29</f>
        <v>35208.659999999996</v>
      </c>
      <c r="G29" s="708">
        <f t="shared" si="1"/>
        <v>24.112493108827543</v>
      </c>
      <c r="H29" s="710">
        <f>93314.273-F29-D29</f>
        <v>34870.929000000004</v>
      </c>
      <c r="I29" s="708">
        <f t="shared" si="2"/>
        <v>23.881199546103566</v>
      </c>
      <c r="J29" s="728">
        <f t="shared" si="5"/>
        <v>52704.05799999999</v>
      </c>
      <c r="K29" s="708">
        <f t="shared" si="3"/>
        <v>36.0941380709248</v>
      </c>
    </row>
    <row r="30" spans="2:11" s="690" customFormat="1" ht="12.75">
      <c r="B30" s="709" t="s">
        <v>186</v>
      </c>
      <c r="C30" s="725">
        <v>163469.881</v>
      </c>
      <c r="D30" s="726">
        <v>27282.026</v>
      </c>
      <c r="E30" s="712">
        <f t="shared" si="0"/>
        <v>16.689328843397153</v>
      </c>
      <c r="F30" s="728">
        <f>65849.573-D30</f>
        <v>38567.547000000006</v>
      </c>
      <c r="G30" s="708">
        <f t="shared" si="1"/>
        <v>23.59305993499806</v>
      </c>
      <c r="H30" s="728">
        <f>100327.271-F30-D30</f>
        <v>34477.69799999999</v>
      </c>
      <c r="I30" s="708">
        <f t="shared" si="2"/>
        <v>21.091162353020856</v>
      </c>
      <c r="J30" s="728">
        <f t="shared" si="5"/>
        <v>63142.609999999986</v>
      </c>
      <c r="K30" s="708">
        <f t="shared" si="3"/>
        <v>38.62644886858392</v>
      </c>
    </row>
    <row r="31" spans="2:11" s="690" customFormat="1" ht="12.75">
      <c r="B31" s="709" t="s">
        <v>187</v>
      </c>
      <c r="C31" s="742">
        <v>54128.691</v>
      </c>
      <c r="D31" s="711">
        <v>9735.229</v>
      </c>
      <c r="E31" s="712">
        <f t="shared" si="0"/>
        <v>17.985339789576656</v>
      </c>
      <c r="F31" s="710">
        <f>21836.864-D31</f>
        <v>12101.635000000002</v>
      </c>
      <c r="G31" s="708">
        <f t="shared" si="1"/>
        <v>22.357154360152553</v>
      </c>
      <c r="H31" s="710">
        <f>34168.897-F31-D31</f>
        <v>12332.032999999996</v>
      </c>
      <c r="I31" s="708">
        <f t="shared" si="2"/>
        <v>22.78280293162825</v>
      </c>
      <c r="J31" s="728">
        <f t="shared" si="5"/>
        <v>19959.794</v>
      </c>
      <c r="K31" s="708">
        <f t="shared" si="3"/>
        <v>36.87470291864254</v>
      </c>
    </row>
    <row r="32" spans="2:11" s="690" customFormat="1" ht="12.75">
      <c r="B32" s="709" t="s">
        <v>188</v>
      </c>
      <c r="C32" s="714">
        <v>61281.192</v>
      </c>
      <c r="D32" s="715">
        <v>8957.708</v>
      </c>
      <c r="E32" s="739">
        <f t="shared" si="0"/>
        <v>14.617385379840522</v>
      </c>
      <c r="F32" s="717">
        <f>21841.031-D32</f>
        <v>12883.322999999999</v>
      </c>
      <c r="G32" s="740">
        <f t="shared" si="1"/>
        <v>21.023290473853702</v>
      </c>
      <c r="H32" s="717">
        <f>37016.871-F32-D32</f>
        <v>15175.840000000002</v>
      </c>
      <c r="I32" s="708">
        <f t="shared" si="2"/>
        <v>24.764270251140026</v>
      </c>
      <c r="J32" s="728">
        <f t="shared" si="5"/>
        <v>24264.321000000004</v>
      </c>
      <c r="K32" s="708">
        <f t="shared" si="3"/>
        <v>39.595053895165755</v>
      </c>
    </row>
    <row r="33" spans="2:11" s="690" customFormat="1" ht="12.75">
      <c r="B33" s="713" t="s">
        <v>358</v>
      </c>
      <c r="C33" s="735">
        <v>22572.601</v>
      </c>
      <c r="D33" s="736">
        <v>3179.391</v>
      </c>
      <c r="E33" s="739">
        <f t="shared" si="0"/>
        <v>14.085177866742075</v>
      </c>
      <c r="F33" s="737">
        <f>8503.976-D33</f>
        <v>5324.585000000001</v>
      </c>
      <c r="G33" s="740">
        <f t="shared" si="1"/>
        <v>23.588708275134096</v>
      </c>
      <c r="H33" s="737">
        <f>13220.572-F33-D33</f>
        <v>4716.596</v>
      </c>
      <c r="I33" s="740">
        <f t="shared" si="2"/>
        <v>20.89522603088585</v>
      </c>
      <c r="J33" s="717">
        <f t="shared" si="5"/>
        <v>9352.028999999999</v>
      </c>
      <c r="K33" s="740">
        <f t="shared" si="3"/>
        <v>41.43088782723798</v>
      </c>
    </row>
    <row r="34" spans="2:11" s="690" customFormat="1" ht="12.75">
      <c r="B34" s="709" t="s">
        <v>359</v>
      </c>
      <c r="C34" s="742">
        <v>224589.841</v>
      </c>
      <c r="D34" s="711">
        <v>40003.89</v>
      </c>
      <c r="E34" s="743">
        <f t="shared" si="0"/>
        <v>17.81197663343998</v>
      </c>
      <c r="F34" s="744">
        <f>92046.391-D34</f>
        <v>52042.501000000004</v>
      </c>
      <c r="G34" s="745">
        <f t="shared" si="1"/>
        <v>23.17224179343001</v>
      </c>
      <c r="H34" s="744">
        <f>143210.433-F34-D34</f>
        <v>51164.04199999999</v>
      </c>
      <c r="I34" s="745">
        <f t="shared" si="2"/>
        <v>22.781102552185335</v>
      </c>
      <c r="J34" s="744">
        <f t="shared" si="5"/>
        <v>81379.40800000002</v>
      </c>
      <c r="K34" s="745">
        <f t="shared" si="3"/>
        <v>36.23467902094469</v>
      </c>
    </row>
    <row r="35" spans="2:11" s="690" customFormat="1" ht="13.5" thickBot="1">
      <c r="B35" s="746" t="s">
        <v>360</v>
      </c>
      <c r="C35" s="735">
        <v>14442.738</v>
      </c>
      <c r="D35" s="732">
        <v>2469.602</v>
      </c>
      <c r="E35" s="747">
        <f t="shared" si="0"/>
        <v>17.099264696209264</v>
      </c>
      <c r="F35" s="748">
        <f>5785.106-D35</f>
        <v>3315.504</v>
      </c>
      <c r="G35" s="749">
        <f t="shared" si="1"/>
        <v>22.956201241066616</v>
      </c>
      <c r="H35" s="748">
        <f>8672.205-F35-D35</f>
        <v>2887.099</v>
      </c>
      <c r="I35" s="749">
        <f t="shared" si="2"/>
        <v>19.98997004584588</v>
      </c>
      <c r="J35" s="744">
        <f t="shared" si="5"/>
        <v>5770.532999999998</v>
      </c>
      <c r="K35" s="749">
        <f t="shared" si="3"/>
        <v>39.95456401687823</v>
      </c>
    </row>
    <row r="36" spans="2:11" s="690" customFormat="1" ht="13.5" thickBot="1">
      <c r="B36" s="719" t="s">
        <v>361</v>
      </c>
      <c r="C36" s="741">
        <f>SUM(C28:C35)</f>
        <v>891606.3200000002</v>
      </c>
      <c r="D36" s="721">
        <f>SUM(D28:D35)</f>
        <v>149366.74800000002</v>
      </c>
      <c r="E36" s="750">
        <f t="shared" si="0"/>
        <v>16.752544777834235</v>
      </c>
      <c r="F36" s="741">
        <f>SUM(F28:F35)</f>
        <v>208553.97799999997</v>
      </c>
      <c r="G36" s="751">
        <f t="shared" si="1"/>
        <v>23.39081423290045</v>
      </c>
      <c r="H36" s="741">
        <f>SUM(H28:H35)</f>
        <v>204445.46699999998</v>
      </c>
      <c r="I36" s="751">
        <f t="shared" si="2"/>
        <v>22.930015457943362</v>
      </c>
      <c r="J36" s="741">
        <f>SUM(J28:J35)</f>
        <v>329240.12700000004</v>
      </c>
      <c r="K36" s="751">
        <f t="shared" si="3"/>
        <v>36.92662553132194</v>
      </c>
    </row>
    <row r="37" spans="2:11" s="690" customFormat="1" ht="12.75">
      <c r="B37" s="703" t="s">
        <v>362</v>
      </c>
      <c r="C37" s="752">
        <v>273832.132</v>
      </c>
      <c r="D37" s="753">
        <v>49745.865</v>
      </c>
      <c r="E37" s="754">
        <f t="shared" si="0"/>
        <v>18.16655504840462</v>
      </c>
      <c r="F37" s="755">
        <f>116079.375-D37</f>
        <v>66333.51000000001</v>
      </c>
      <c r="G37" s="756">
        <f t="shared" si="1"/>
        <v>24.224151313257867</v>
      </c>
      <c r="H37" s="755">
        <f>182370.503-F37-D37</f>
        <v>66291.128</v>
      </c>
      <c r="I37" s="756">
        <f t="shared" si="2"/>
        <v>24.20867394773087</v>
      </c>
      <c r="J37" s="755">
        <f aca="true" t="shared" si="6" ref="J37:J44">C37-D37-F37-H37</f>
        <v>91461.62899999999</v>
      </c>
      <c r="K37" s="756">
        <f t="shared" si="3"/>
        <v>33.400619690606646</v>
      </c>
    </row>
    <row r="38" spans="2:11" s="690" customFormat="1" ht="12.75">
      <c r="B38" s="709" t="s">
        <v>27</v>
      </c>
      <c r="C38" s="742">
        <v>192264.476</v>
      </c>
      <c r="D38" s="711">
        <v>28228.183</v>
      </c>
      <c r="E38" s="743">
        <f t="shared" si="0"/>
        <v>14.68195455930195</v>
      </c>
      <c r="F38" s="744">
        <f>65310.161-D38</f>
        <v>37081.978</v>
      </c>
      <c r="G38" s="745">
        <f t="shared" si="1"/>
        <v>19.28696281886208</v>
      </c>
      <c r="H38" s="744">
        <f>102793.766-F38-D38</f>
        <v>37483.604999999996</v>
      </c>
      <c r="I38" s="745">
        <f t="shared" si="2"/>
        <v>19.495855802296</v>
      </c>
      <c r="J38" s="744">
        <f t="shared" si="6"/>
        <v>89470.71</v>
      </c>
      <c r="K38" s="745">
        <f t="shared" si="3"/>
        <v>46.53522681953998</v>
      </c>
    </row>
    <row r="39" spans="2:11" s="690" customFormat="1" ht="13.5" thickBot="1">
      <c r="B39" s="730" t="s">
        <v>363</v>
      </c>
      <c r="C39" s="757">
        <v>224670.089</v>
      </c>
      <c r="D39" s="732">
        <v>35324.803</v>
      </c>
      <c r="E39" s="758">
        <f t="shared" si="0"/>
        <v>15.722966576115967</v>
      </c>
      <c r="F39" s="748">
        <f>87622.353-D39</f>
        <v>52297.55</v>
      </c>
      <c r="G39" s="749">
        <f t="shared" si="1"/>
        <v>23.27748666178701</v>
      </c>
      <c r="H39" s="748">
        <f>139144.156-F39-D39</f>
        <v>51521.802999999985</v>
      </c>
      <c r="I39" s="749">
        <f t="shared" si="2"/>
        <v>22.932203939261353</v>
      </c>
      <c r="J39" s="748">
        <f t="shared" si="6"/>
        <v>85525.93300000005</v>
      </c>
      <c r="K39" s="749">
        <f t="shared" si="3"/>
        <v>38.067342822835684</v>
      </c>
    </row>
    <row r="40" spans="2:11" s="690" customFormat="1" ht="12.75">
      <c r="B40" s="724" t="s">
        <v>364</v>
      </c>
      <c r="C40" s="725">
        <v>630763.976</v>
      </c>
      <c r="D40" s="726">
        <v>140955</v>
      </c>
      <c r="E40" s="759">
        <f t="shared" si="0"/>
        <v>22.346710554694074</v>
      </c>
      <c r="F40" s="760">
        <f>265507-D40</f>
        <v>124552</v>
      </c>
      <c r="G40" s="761">
        <f t="shared" si="1"/>
        <v>19.74621328089288</v>
      </c>
      <c r="H40" s="760">
        <f>424287-F40-D40</f>
        <v>158780</v>
      </c>
      <c r="I40" s="761">
        <f t="shared" si="2"/>
        <v>25.172648730973183</v>
      </c>
      <c r="J40" s="760">
        <f t="shared" si="6"/>
        <v>206476.97600000002</v>
      </c>
      <c r="K40" s="761">
        <f t="shared" si="3"/>
        <v>32.73442743343986</v>
      </c>
    </row>
    <row r="41" spans="2:11" s="690" customFormat="1" ht="12.75">
      <c r="B41" s="709" t="s">
        <v>365</v>
      </c>
      <c r="C41" s="735">
        <v>40801.594</v>
      </c>
      <c r="D41" s="736">
        <v>8201</v>
      </c>
      <c r="E41" s="712">
        <f t="shared" si="0"/>
        <v>20.09970492819472</v>
      </c>
      <c r="F41" s="737">
        <f>20662.4-D41</f>
        <v>12461.400000000001</v>
      </c>
      <c r="G41" s="708">
        <f t="shared" si="1"/>
        <v>30.541453846141412</v>
      </c>
      <c r="H41" s="737">
        <f>29141.594-F41-D41</f>
        <v>8479.194</v>
      </c>
      <c r="I41" s="708">
        <f t="shared" si="2"/>
        <v>20.781526329584082</v>
      </c>
      <c r="J41" s="728">
        <f t="shared" si="6"/>
        <v>11659.999999999996</v>
      </c>
      <c r="K41" s="708">
        <f t="shared" si="3"/>
        <v>28.577314896079784</v>
      </c>
    </row>
    <row r="42" spans="2:11" s="690" customFormat="1" ht="12.75" hidden="1">
      <c r="B42" s="709" t="s">
        <v>366</v>
      </c>
      <c r="C42" s="735">
        <v>0</v>
      </c>
      <c r="D42" s="736">
        <v>0</v>
      </c>
      <c r="E42" s="712">
        <v>0</v>
      </c>
      <c r="F42" s="737">
        <v>0</v>
      </c>
      <c r="G42" s="708" t="e">
        <f t="shared" si="1"/>
        <v>#DIV/0!</v>
      </c>
      <c r="H42" s="737">
        <v>0</v>
      </c>
      <c r="I42" s="708" t="e">
        <f t="shared" si="2"/>
        <v>#DIV/0!</v>
      </c>
      <c r="J42" s="728">
        <f t="shared" si="6"/>
        <v>0</v>
      </c>
      <c r="K42" s="708" t="e">
        <f t="shared" si="3"/>
        <v>#DIV/0!</v>
      </c>
    </row>
    <row r="43" spans="2:11" s="690" customFormat="1" ht="12.75">
      <c r="B43" s="709" t="s">
        <v>367</v>
      </c>
      <c r="C43" s="735">
        <v>18923</v>
      </c>
      <c r="D43" s="736">
        <v>4047</v>
      </c>
      <c r="E43" s="747">
        <f>D43*100/C43</f>
        <v>21.38667230354595</v>
      </c>
      <c r="F43" s="737">
        <f>8259-D43</f>
        <v>4212</v>
      </c>
      <c r="G43" s="762">
        <f t="shared" si="1"/>
        <v>22.258627067589707</v>
      </c>
      <c r="H43" s="737">
        <f>12900-F43-D43</f>
        <v>4641</v>
      </c>
      <c r="I43" s="762">
        <f t="shared" si="2"/>
        <v>24.52570945410347</v>
      </c>
      <c r="J43" s="717">
        <f t="shared" si="6"/>
        <v>6023</v>
      </c>
      <c r="K43" s="762">
        <f t="shared" si="3"/>
        <v>31.828991174760873</v>
      </c>
    </row>
    <row r="44" spans="2:11" s="690" customFormat="1" ht="13.5" thickBot="1">
      <c r="B44" s="713" t="s">
        <v>368</v>
      </c>
      <c r="C44" s="737">
        <v>43875</v>
      </c>
      <c r="D44" s="736">
        <v>10231</v>
      </c>
      <c r="E44" s="747">
        <v>0</v>
      </c>
      <c r="F44" s="737">
        <f>20301-D44</f>
        <v>10070</v>
      </c>
      <c r="G44" s="762">
        <v>0</v>
      </c>
      <c r="H44" s="737">
        <f>29816-F44-D44</f>
        <v>9515</v>
      </c>
      <c r="I44" s="762">
        <v>0</v>
      </c>
      <c r="J44" s="737">
        <f t="shared" si="6"/>
        <v>14059</v>
      </c>
      <c r="K44" s="762">
        <f t="shared" si="3"/>
        <v>32.043304843304846</v>
      </c>
    </row>
    <row r="45" spans="2:11" s="690" customFormat="1" ht="13.5" thickBot="1">
      <c r="B45" s="719" t="s">
        <v>369</v>
      </c>
      <c r="C45" s="720">
        <f>SUM(C40:C44)</f>
        <v>734363.5700000001</v>
      </c>
      <c r="D45" s="721">
        <f>SUM(D40:D44)</f>
        <v>163434</v>
      </c>
      <c r="E45" s="750">
        <f>D45*100/C45</f>
        <v>22.255188938634305</v>
      </c>
      <c r="F45" s="741">
        <f>SUM(F40:F44)</f>
        <v>151295.4</v>
      </c>
      <c r="G45" s="763">
        <f>F45*100/C45</f>
        <v>20.602247467150363</v>
      </c>
      <c r="H45" s="741">
        <f>SUM(H40:H44)</f>
        <v>181415.194</v>
      </c>
      <c r="I45" s="763">
        <f>H45*100/C45</f>
        <v>24.703730061119447</v>
      </c>
      <c r="J45" s="741">
        <f>SUM(J40:J44)</f>
        <v>238218.97600000002</v>
      </c>
      <c r="K45" s="763">
        <f t="shared" si="3"/>
        <v>32.438833533095874</v>
      </c>
    </row>
    <row r="46" spans="2:11" s="690" customFormat="1" ht="18.75" customHeight="1" thickBot="1">
      <c r="B46" s="764" t="s">
        <v>370</v>
      </c>
      <c r="C46" s="765">
        <f>C12+C13+C14+C18+C27+C36+C37+C38+C39+C45</f>
        <v>53783097.76500001</v>
      </c>
      <c r="D46" s="765">
        <f>D12+D13+D14+D18+D27+D36+D37+D38+D39+D45</f>
        <v>9710509.434</v>
      </c>
      <c r="E46" s="766">
        <f>D46*100/C46</f>
        <v>18.05494632612856</v>
      </c>
      <c r="F46" s="765">
        <f>F12+F13+F14+F18+F27+F36+F37+F38+F39+F45</f>
        <v>12755054.218</v>
      </c>
      <c r="G46" s="767">
        <f>F46*100/C46</f>
        <v>23.715729937557636</v>
      </c>
      <c r="H46" s="765">
        <f>H12+H13+H14+H18+H27+H36+H37+H38+H39+H45</f>
        <v>12238112.475</v>
      </c>
      <c r="I46" s="767">
        <f>H46*100/C46</f>
        <v>22.754569713468786</v>
      </c>
      <c r="J46" s="765">
        <f>J12+J13+J14+J18+J27+J36+J37+J38+J39+J45</f>
        <v>19079421.638</v>
      </c>
      <c r="K46" s="767">
        <f t="shared" si="3"/>
        <v>35.474754022845</v>
      </c>
    </row>
    <row r="47" spans="2:11" ht="12.75">
      <c r="B47" s="683"/>
      <c r="C47" s="684"/>
      <c r="D47" s="684"/>
      <c r="E47" s="685"/>
      <c r="F47" s="684"/>
      <c r="G47" s="685"/>
      <c r="H47" s="684"/>
      <c r="I47" s="685"/>
      <c r="J47" s="684"/>
      <c r="K47" s="685"/>
    </row>
    <row r="48" spans="2:11" ht="12.75" hidden="1">
      <c r="B48" s="686"/>
      <c r="C48" s="684"/>
      <c r="D48" s="684">
        <f>D46</f>
        <v>9710509.434</v>
      </c>
      <c r="E48" s="685"/>
      <c r="F48" s="684">
        <f>D46+F46</f>
        <v>22465563.652000003</v>
      </c>
      <c r="G48" s="685"/>
      <c r="H48" s="684">
        <f>D46+F46+H46</f>
        <v>34703676.127000004</v>
      </c>
      <c r="I48" s="685"/>
      <c r="J48" s="684">
        <f>D46+F46+H46+J46</f>
        <v>53783097.765</v>
      </c>
      <c r="K48" s="685"/>
    </row>
    <row r="49" spans="2:11" ht="12.75">
      <c r="B49" s="687" t="s">
        <v>371</v>
      </c>
      <c r="C49" s="684"/>
      <c r="D49" s="684"/>
      <c r="E49" s="685"/>
      <c r="F49" s="684"/>
      <c r="G49" s="685"/>
      <c r="H49" s="684"/>
      <c r="I49" s="685"/>
      <c r="J49" s="684"/>
      <c r="K49" s="685"/>
    </row>
    <row r="50" ht="12.75">
      <c r="B50" s="688" t="s">
        <v>372</v>
      </c>
    </row>
    <row r="51" ht="12.75">
      <c r="B51" s="678" t="s">
        <v>373</v>
      </c>
    </row>
    <row r="52" spans="4:10" ht="12.75">
      <c r="D52" s="689"/>
      <c r="E52" s="689"/>
      <c r="F52" s="689"/>
      <c r="G52" s="689"/>
      <c r="H52" s="689"/>
      <c r="I52" s="689"/>
      <c r="J52" s="689"/>
    </row>
    <row r="53" spans="2:11" s="902" customFormat="1" ht="14.25">
      <c r="B53" s="900" t="s">
        <v>374</v>
      </c>
      <c r="C53" s="901"/>
      <c r="F53" s="903" t="s">
        <v>322</v>
      </c>
      <c r="J53" s="979" t="s">
        <v>167</v>
      </c>
      <c r="K53" s="979"/>
    </row>
  </sheetData>
  <mergeCells count="3">
    <mergeCell ref="B3:K3"/>
    <mergeCell ref="J1:K1"/>
    <mergeCell ref="J53:K53"/>
  </mergeCells>
  <printOptions/>
  <pageMargins left="0.7874015748031497" right="0.7874015748031497" top="0.984251968503937" bottom="0.984251968503937" header="0.5118110236220472" footer="0.3937007874015748"/>
  <pageSetup fitToHeight="1" fitToWidth="1" horizontalDpi="600" verticalDpi="600" orientation="landscape" paperSize="9" scale="71" r:id="rId1"/>
  <headerFooter alignWithMargins="0">
    <oddFooter>&amp;C&amp;11&amp;P+163&amp;12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1"/>
  <sheetViews>
    <sheetView tabSelected="1" zoomScale="65" zoomScaleNormal="65" workbookViewId="0" topLeftCell="A1">
      <pane xSplit="1" ySplit="6" topLeftCell="K7" activePane="bottomRight" state="frozen"/>
      <selection pane="topLeft" activeCell="H13" sqref="H13"/>
      <selection pane="topRight" activeCell="H13" sqref="H13"/>
      <selection pane="bottomLeft" activeCell="H13" sqref="H13"/>
      <selection pane="bottomRight" activeCell="H13" sqref="H13"/>
    </sheetView>
  </sheetViews>
  <sheetFormatPr defaultColWidth="9.00390625" defaultRowHeight="12.75"/>
  <cols>
    <col min="1" max="1" width="27.25390625" style="89" customWidth="1"/>
    <col min="2" max="2" width="13.75390625" style="89" customWidth="1"/>
    <col min="3" max="3" width="13.875" style="89" customWidth="1"/>
    <col min="4" max="4" width="15.75390625" style="89" customWidth="1"/>
    <col min="5" max="5" width="13.75390625" style="89" customWidth="1"/>
    <col min="6" max="6" width="13.875" style="89" customWidth="1"/>
    <col min="7" max="7" width="15.625" style="89" customWidth="1"/>
    <col min="8" max="9" width="11.375" style="89" customWidth="1"/>
    <col min="10" max="10" width="12.125" style="89" customWidth="1"/>
    <col min="11" max="11" width="13.875" style="89" customWidth="1"/>
    <col min="12" max="12" width="13.75390625" style="89" customWidth="1"/>
    <col min="13" max="13" width="16.75390625" style="89" customWidth="1"/>
    <col min="14" max="15" width="13.75390625" style="89" customWidth="1"/>
    <col min="16" max="16" width="15.625" style="89" customWidth="1"/>
    <col min="17" max="18" width="13.75390625" style="89" customWidth="1"/>
    <col min="19" max="19" width="15.625" style="89" customWidth="1"/>
    <col min="20" max="20" width="14.75390625" style="89" customWidth="1"/>
    <col min="21" max="21" width="14.00390625" style="89" customWidth="1"/>
    <col min="22" max="22" width="15.375" style="89" customWidth="1"/>
    <col min="23" max="29" width="9.125" style="89" customWidth="1"/>
    <col min="30" max="30" width="10.375" style="89" bestFit="1" customWidth="1"/>
    <col min="31" max="32" width="9.125" style="89" customWidth="1"/>
    <col min="33" max="33" width="10.375" style="89" bestFit="1" customWidth="1"/>
    <col min="34" max="34" width="9.25390625" style="89" bestFit="1" customWidth="1"/>
    <col min="35" max="16384" width="9.125" style="89" customWidth="1"/>
  </cols>
  <sheetData>
    <row r="1" spans="1:22" s="407" customFormat="1" ht="24.75" customHeight="1">
      <c r="A1" s="410" t="s">
        <v>178</v>
      </c>
      <c r="F1" s="408"/>
      <c r="N1" s="409"/>
      <c r="U1" s="982" t="s">
        <v>436</v>
      </c>
      <c r="V1" s="982"/>
    </row>
    <row r="3" spans="1:22" s="410" customFormat="1" ht="33" customHeight="1">
      <c r="A3" s="987" t="s">
        <v>264</v>
      </c>
      <c r="B3" s="987"/>
      <c r="C3" s="987"/>
      <c r="D3" s="987"/>
      <c r="E3" s="987"/>
      <c r="F3" s="987"/>
      <c r="G3" s="987"/>
      <c r="H3" s="987"/>
      <c r="I3" s="987"/>
      <c r="J3" s="987"/>
      <c r="K3" s="987"/>
      <c r="L3" s="987"/>
      <c r="M3" s="987"/>
      <c r="N3" s="987"/>
      <c r="O3" s="987"/>
      <c r="P3" s="987"/>
      <c r="Q3" s="987"/>
      <c r="R3" s="987"/>
      <c r="S3" s="987"/>
      <c r="T3" s="987"/>
      <c r="U3" s="987"/>
      <c r="V3" s="987"/>
    </row>
    <row r="4" spans="1:22" ht="39" customHeight="1" thickBot="1">
      <c r="A4" s="411"/>
      <c r="P4" s="412"/>
      <c r="V4" s="874" t="s">
        <v>92</v>
      </c>
    </row>
    <row r="5" spans="1:22" s="869" customFormat="1" ht="42" customHeight="1" thickBot="1">
      <c r="A5" s="983" t="s">
        <v>197</v>
      </c>
      <c r="B5" s="985" t="s">
        <v>265</v>
      </c>
      <c r="C5" s="980"/>
      <c r="D5" s="981"/>
      <c r="E5" s="985" t="s">
        <v>266</v>
      </c>
      <c r="F5" s="980"/>
      <c r="G5" s="981"/>
      <c r="H5" s="871" t="s">
        <v>144</v>
      </c>
      <c r="I5" s="872"/>
      <c r="J5" s="873"/>
      <c r="K5" s="871" t="s">
        <v>267</v>
      </c>
      <c r="L5" s="872"/>
      <c r="M5" s="873"/>
      <c r="N5" s="985" t="s">
        <v>314</v>
      </c>
      <c r="O5" s="980"/>
      <c r="P5" s="981"/>
      <c r="Q5" s="980" t="s">
        <v>268</v>
      </c>
      <c r="R5" s="980"/>
      <c r="S5" s="986"/>
      <c r="T5" s="980" t="s">
        <v>269</v>
      </c>
      <c r="U5" s="980"/>
      <c r="V5" s="981"/>
    </row>
    <row r="6" spans="1:22" s="870" customFormat="1" ht="42" customHeight="1" thickBot="1">
      <c r="A6" s="984"/>
      <c r="B6" s="414" t="s">
        <v>270</v>
      </c>
      <c r="C6" s="415" t="s">
        <v>182</v>
      </c>
      <c r="D6" s="416" t="s">
        <v>271</v>
      </c>
      <c r="E6" s="414" t="s">
        <v>270</v>
      </c>
      <c r="F6" s="415" t="s">
        <v>182</v>
      </c>
      <c r="G6" s="417" t="s">
        <v>271</v>
      </c>
      <c r="H6" s="414" t="s">
        <v>270</v>
      </c>
      <c r="I6" s="415" t="s">
        <v>182</v>
      </c>
      <c r="J6" s="417" t="s">
        <v>271</v>
      </c>
      <c r="K6" s="414" t="s">
        <v>270</v>
      </c>
      <c r="L6" s="415" t="s">
        <v>182</v>
      </c>
      <c r="M6" s="417" t="s">
        <v>271</v>
      </c>
      <c r="N6" s="418" t="s">
        <v>270</v>
      </c>
      <c r="O6" s="419" t="s">
        <v>182</v>
      </c>
      <c r="P6" s="417" t="s">
        <v>271</v>
      </c>
      <c r="Q6" s="414" t="s">
        <v>270</v>
      </c>
      <c r="R6" s="415" t="s">
        <v>182</v>
      </c>
      <c r="S6" s="420" t="s">
        <v>271</v>
      </c>
      <c r="T6" s="414" t="s">
        <v>270</v>
      </c>
      <c r="U6" s="415" t="s">
        <v>182</v>
      </c>
      <c r="V6" s="417" t="s">
        <v>271</v>
      </c>
    </row>
    <row r="7" spans="1:37" ht="33" customHeight="1">
      <c r="A7" s="421" t="s">
        <v>272</v>
      </c>
      <c r="B7" s="422">
        <v>364056</v>
      </c>
      <c r="C7" s="423">
        <v>374901</v>
      </c>
      <c r="D7" s="424">
        <v>374901</v>
      </c>
      <c r="E7" s="425">
        <v>121959</v>
      </c>
      <c r="F7" s="423">
        <v>123583</v>
      </c>
      <c r="G7" s="426">
        <v>123493</v>
      </c>
      <c r="H7" s="425">
        <v>3560</v>
      </c>
      <c r="I7" s="423">
        <v>3652</v>
      </c>
      <c r="J7" s="426">
        <v>3652</v>
      </c>
      <c r="K7" s="425">
        <f>7029+9087+14411+11424+29553</f>
        <v>71504</v>
      </c>
      <c r="L7" s="423">
        <f>4267.683+9515.833+28813.543+12871.762+27854.177</f>
        <v>83322.998</v>
      </c>
      <c r="M7" s="426">
        <f>4291.183+9605.81+28823.327+13871.28+28031.793</f>
        <v>84623.393</v>
      </c>
      <c r="N7" s="422">
        <v>2405</v>
      </c>
      <c r="O7" s="423">
        <v>33267</v>
      </c>
      <c r="P7" s="426">
        <v>13211.897</v>
      </c>
      <c r="Q7" s="427">
        <v>0</v>
      </c>
      <c r="R7" s="428">
        <v>0</v>
      </c>
      <c r="S7" s="429">
        <v>0</v>
      </c>
      <c r="T7" s="425">
        <f aca="true" t="shared" si="0" ref="T7:T22">B7+E7+H7+K7+N7+Q7</f>
        <v>563484</v>
      </c>
      <c r="U7" s="423">
        <f aca="true" t="shared" si="1" ref="U7:U22">C7+F7+I7+L7+O7+R7</f>
        <v>618725.998</v>
      </c>
      <c r="V7" s="430">
        <f aca="true" t="shared" si="2" ref="V7:V22">D7+G7+J7+M7+P7+S7</f>
        <v>599881.29</v>
      </c>
      <c r="W7" s="431"/>
      <c r="AD7" s="432"/>
      <c r="AE7" s="433"/>
      <c r="AG7" s="432"/>
      <c r="AH7" s="432"/>
      <c r="AI7" s="431"/>
      <c r="AJ7" s="431"/>
      <c r="AK7" s="431"/>
    </row>
    <row r="8" spans="1:37" ht="33" customHeight="1">
      <c r="A8" s="421" t="s">
        <v>273</v>
      </c>
      <c r="B8" s="434">
        <v>416321</v>
      </c>
      <c r="C8" s="435">
        <v>427514</v>
      </c>
      <c r="D8" s="436">
        <v>427513.992</v>
      </c>
      <c r="E8" s="437">
        <v>139521</v>
      </c>
      <c r="F8" s="435">
        <v>140821</v>
      </c>
      <c r="G8" s="438">
        <v>140820.7</v>
      </c>
      <c r="H8" s="437">
        <v>4069</v>
      </c>
      <c r="I8" s="435">
        <v>4167</v>
      </c>
      <c r="J8" s="438">
        <v>4165.784</v>
      </c>
      <c r="K8" s="437">
        <v>81011</v>
      </c>
      <c r="L8" s="435">
        <v>89936</v>
      </c>
      <c r="M8" s="438">
        <v>97893.082</v>
      </c>
      <c r="N8" s="434">
        <v>12243</v>
      </c>
      <c r="O8" s="435">
        <f>25559-8-9508</f>
        <v>16043</v>
      </c>
      <c r="P8" s="438">
        <v>22177.53</v>
      </c>
      <c r="Q8" s="439">
        <v>0</v>
      </c>
      <c r="R8" s="440">
        <v>0</v>
      </c>
      <c r="S8" s="441">
        <v>0</v>
      </c>
      <c r="T8" s="442">
        <f t="shared" si="0"/>
        <v>653165</v>
      </c>
      <c r="U8" s="443">
        <f t="shared" si="1"/>
        <v>678481</v>
      </c>
      <c r="V8" s="444">
        <f t="shared" si="2"/>
        <v>692571.088</v>
      </c>
      <c r="W8" s="431"/>
      <c r="AD8" s="432"/>
      <c r="AE8" s="433"/>
      <c r="AG8" s="432"/>
      <c r="AH8" s="432"/>
      <c r="AI8" s="431"/>
      <c r="AJ8" s="431"/>
      <c r="AK8" s="431"/>
    </row>
    <row r="9" spans="1:37" ht="33" customHeight="1">
      <c r="A9" s="421" t="s">
        <v>274</v>
      </c>
      <c r="B9" s="434">
        <v>265285</v>
      </c>
      <c r="C9" s="435">
        <v>272136</v>
      </c>
      <c r="D9" s="436">
        <v>272125.08</v>
      </c>
      <c r="E9" s="437">
        <v>88797</v>
      </c>
      <c r="F9" s="435">
        <v>87254</v>
      </c>
      <c r="G9" s="438">
        <v>87082.241</v>
      </c>
      <c r="H9" s="437">
        <v>2610</v>
      </c>
      <c r="I9" s="435">
        <v>2673</v>
      </c>
      <c r="J9" s="438">
        <v>2673</v>
      </c>
      <c r="K9" s="437">
        <v>52454</v>
      </c>
      <c r="L9" s="435">
        <v>56822</v>
      </c>
      <c r="M9" s="438">
        <v>61024.903</v>
      </c>
      <c r="N9" s="434">
        <v>10729</v>
      </c>
      <c r="O9" s="435">
        <f>22993-5-9217</f>
        <v>13771</v>
      </c>
      <c r="P9" s="438">
        <v>24006.339</v>
      </c>
      <c r="Q9" s="445">
        <v>0</v>
      </c>
      <c r="R9" s="446">
        <v>0</v>
      </c>
      <c r="S9" s="447">
        <v>0</v>
      </c>
      <c r="T9" s="442">
        <f t="shared" si="0"/>
        <v>419875</v>
      </c>
      <c r="U9" s="443">
        <f t="shared" si="1"/>
        <v>432656</v>
      </c>
      <c r="V9" s="444">
        <f t="shared" si="2"/>
        <v>446911.56299999997</v>
      </c>
      <c r="W9" s="431"/>
      <c r="AD9" s="432"/>
      <c r="AE9" s="433"/>
      <c r="AG9" s="432"/>
      <c r="AH9" s="432"/>
      <c r="AI9" s="431"/>
      <c r="AJ9" s="431"/>
      <c r="AK9" s="431"/>
    </row>
    <row r="10" spans="1:37" ht="33" customHeight="1">
      <c r="A10" s="421" t="s">
        <v>275</v>
      </c>
      <c r="B10" s="434">
        <v>245809</v>
      </c>
      <c r="C10" s="435">
        <v>251874</v>
      </c>
      <c r="D10" s="436">
        <v>251861.919</v>
      </c>
      <c r="E10" s="437">
        <v>82336</v>
      </c>
      <c r="F10" s="435">
        <v>83109</v>
      </c>
      <c r="G10" s="438">
        <v>83109</v>
      </c>
      <c r="H10" s="437">
        <v>2402</v>
      </c>
      <c r="I10" s="435">
        <v>2459</v>
      </c>
      <c r="J10" s="438">
        <v>2456.87</v>
      </c>
      <c r="K10" s="437">
        <v>47016</v>
      </c>
      <c r="L10" s="435">
        <v>48313</v>
      </c>
      <c r="M10" s="438">
        <v>57626.649</v>
      </c>
      <c r="N10" s="434">
        <v>22730</v>
      </c>
      <c r="O10" s="435">
        <f>32815-5-3902</f>
        <v>28908</v>
      </c>
      <c r="P10" s="438">
        <v>42491.971</v>
      </c>
      <c r="Q10" s="439">
        <v>0</v>
      </c>
      <c r="R10" s="440">
        <v>0</v>
      </c>
      <c r="S10" s="441">
        <v>0</v>
      </c>
      <c r="T10" s="442">
        <f t="shared" si="0"/>
        <v>400293</v>
      </c>
      <c r="U10" s="443">
        <f t="shared" si="1"/>
        <v>414663</v>
      </c>
      <c r="V10" s="444">
        <f t="shared" si="2"/>
        <v>437546.409</v>
      </c>
      <c r="W10" s="431"/>
      <c r="AD10" s="432"/>
      <c r="AE10" s="433"/>
      <c r="AG10" s="432"/>
      <c r="AH10" s="432"/>
      <c r="AI10" s="431"/>
      <c r="AJ10" s="431"/>
      <c r="AK10" s="431"/>
    </row>
    <row r="11" spans="1:37" ht="33" customHeight="1">
      <c r="A11" s="421" t="s">
        <v>276</v>
      </c>
      <c r="B11" s="434">
        <v>111831</v>
      </c>
      <c r="C11" s="435">
        <v>116019</v>
      </c>
      <c r="D11" s="436">
        <v>128033.041</v>
      </c>
      <c r="E11" s="437">
        <v>37334</v>
      </c>
      <c r="F11" s="435">
        <v>38121</v>
      </c>
      <c r="G11" s="438">
        <v>42136.687</v>
      </c>
      <c r="H11" s="437">
        <v>1088</v>
      </c>
      <c r="I11" s="435">
        <v>1125</v>
      </c>
      <c r="J11" s="438">
        <v>1242.549</v>
      </c>
      <c r="K11" s="437">
        <v>22261</v>
      </c>
      <c r="L11" s="435">
        <v>28444</v>
      </c>
      <c r="M11" s="438">
        <v>35208.311</v>
      </c>
      <c r="N11" s="434">
        <v>1509</v>
      </c>
      <c r="O11" s="435">
        <f>10695-6-5170</f>
        <v>5519</v>
      </c>
      <c r="P11" s="438">
        <v>19951.198</v>
      </c>
      <c r="Q11" s="445">
        <v>0</v>
      </c>
      <c r="R11" s="446">
        <v>0</v>
      </c>
      <c r="S11" s="447">
        <v>0</v>
      </c>
      <c r="T11" s="442">
        <f t="shared" si="0"/>
        <v>174023</v>
      </c>
      <c r="U11" s="443">
        <f t="shared" si="1"/>
        <v>189228</v>
      </c>
      <c r="V11" s="444">
        <f t="shared" si="2"/>
        <v>226571.786</v>
      </c>
      <c r="W11" s="431"/>
      <c r="AD11" s="432"/>
      <c r="AE11" s="433"/>
      <c r="AG11" s="432"/>
      <c r="AH11" s="432"/>
      <c r="AI11" s="431"/>
      <c r="AJ11" s="431"/>
      <c r="AK11" s="431"/>
    </row>
    <row r="12" spans="1:37" ht="33" customHeight="1">
      <c r="A12" s="421" t="s">
        <v>277</v>
      </c>
      <c r="B12" s="434">
        <v>294151</v>
      </c>
      <c r="C12" s="435">
        <v>301873</v>
      </c>
      <c r="D12" s="436">
        <v>301873</v>
      </c>
      <c r="E12" s="437">
        <v>98549</v>
      </c>
      <c r="F12" s="435">
        <v>98904</v>
      </c>
      <c r="G12" s="438">
        <v>98637.275</v>
      </c>
      <c r="H12" s="437">
        <v>2856</v>
      </c>
      <c r="I12" s="435">
        <v>2923</v>
      </c>
      <c r="J12" s="438">
        <v>2923</v>
      </c>
      <c r="K12" s="437">
        <v>56054</v>
      </c>
      <c r="L12" s="435">
        <v>61898</v>
      </c>
      <c r="M12" s="438">
        <v>64373.228</v>
      </c>
      <c r="N12" s="434">
        <v>38324</v>
      </c>
      <c r="O12" s="435">
        <f>39712-6-10169</f>
        <v>29537</v>
      </c>
      <c r="P12" s="438">
        <f>30305.877-999</f>
        <v>29306.877</v>
      </c>
      <c r="Q12" s="439">
        <v>0</v>
      </c>
      <c r="R12" s="440">
        <v>0</v>
      </c>
      <c r="S12" s="441">
        <v>0</v>
      </c>
      <c r="T12" s="442">
        <f t="shared" si="0"/>
        <v>489934</v>
      </c>
      <c r="U12" s="443">
        <f t="shared" si="1"/>
        <v>495135</v>
      </c>
      <c r="V12" s="444">
        <f t="shared" si="2"/>
        <v>497113.38</v>
      </c>
      <c r="W12" s="431"/>
      <c r="AD12" s="432"/>
      <c r="AE12" s="433"/>
      <c r="AG12" s="432"/>
      <c r="AH12" s="432"/>
      <c r="AI12" s="431"/>
      <c r="AJ12" s="431"/>
      <c r="AK12" s="431"/>
    </row>
    <row r="13" spans="1:37" ht="33" customHeight="1">
      <c r="A13" s="421" t="s">
        <v>278</v>
      </c>
      <c r="B13" s="434">
        <v>146488</v>
      </c>
      <c r="C13" s="435">
        <v>151812</v>
      </c>
      <c r="D13" s="436">
        <v>151812</v>
      </c>
      <c r="E13" s="437">
        <v>49104</v>
      </c>
      <c r="F13" s="435">
        <v>50029</v>
      </c>
      <c r="G13" s="438">
        <v>49945.221</v>
      </c>
      <c r="H13" s="437">
        <v>1437</v>
      </c>
      <c r="I13" s="435">
        <v>1482</v>
      </c>
      <c r="J13" s="438">
        <v>1482</v>
      </c>
      <c r="K13" s="437">
        <v>29390</v>
      </c>
      <c r="L13" s="435">
        <v>31616</v>
      </c>
      <c r="M13" s="438">
        <v>34075.199</v>
      </c>
      <c r="N13" s="434">
        <v>43462</v>
      </c>
      <c r="O13" s="435">
        <f>21010-5-2734</f>
        <v>18271</v>
      </c>
      <c r="P13" s="438">
        <v>16778.168</v>
      </c>
      <c r="Q13" s="445">
        <v>0</v>
      </c>
      <c r="R13" s="446">
        <v>0</v>
      </c>
      <c r="S13" s="447">
        <v>0</v>
      </c>
      <c r="T13" s="442">
        <f t="shared" si="0"/>
        <v>269881</v>
      </c>
      <c r="U13" s="443">
        <f t="shared" si="1"/>
        <v>253210</v>
      </c>
      <c r="V13" s="444">
        <f t="shared" si="2"/>
        <v>254092.588</v>
      </c>
      <c r="W13" s="431"/>
      <c r="AD13" s="432"/>
      <c r="AE13" s="433"/>
      <c r="AG13" s="432"/>
      <c r="AH13" s="432"/>
      <c r="AI13" s="431"/>
      <c r="AJ13" s="431"/>
      <c r="AK13" s="431"/>
    </row>
    <row r="14" spans="1:37" ht="33" customHeight="1">
      <c r="A14" s="421" t="s">
        <v>279</v>
      </c>
      <c r="B14" s="434">
        <v>190412</v>
      </c>
      <c r="C14" s="435">
        <v>194606</v>
      </c>
      <c r="D14" s="436">
        <v>194606</v>
      </c>
      <c r="E14" s="437">
        <v>63582</v>
      </c>
      <c r="F14" s="435">
        <v>64054</v>
      </c>
      <c r="G14" s="438">
        <v>64054</v>
      </c>
      <c r="H14" s="437">
        <v>1855</v>
      </c>
      <c r="I14" s="435">
        <v>1889</v>
      </c>
      <c r="J14" s="438">
        <v>1889</v>
      </c>
      <c r="K14" s="437">
        <v>36430</v>
      </c>
      <c r="L14" s="435">
        <v>42273</v>
      </c>
      <c r="M14" s="438">
        <v>49020.852</v>
      </c>
      <c r="N14" s="434">
        <v>9201</v>
      </c>
      <c r="O14" s="435">
        <f>29963-6-16779</f>
        <v>13178</v>
      </c>
      <c r="P14" s="438">
        <v>15421.442</v>
      </c>
      <c r="Q14" s="439">
        <v>0</v>
      </c>
      <c r="R14" s="440">
        <v>0</v>
      </c>
      <c r="S14" s="441">
        <v>0</v>
      </c>
      <c r="T14" s="442">
        <f t="shared" si="0"/>
        <v>301480</v>
      </c>
      <c r="U14" s="443">
        <f t="shared" si="1"/>
        <v>316000</v>
      </c>
      <c r="V14" s="444">
        <f t="shared" si="2"/>
        <v>324991.294</v>
      </c>
      <c r="W14" s="431"/>
      <c r="AD14" s="432"/>
      <c r="AE14" s="433"/>
      <c r="AG14" s="432"/>
      <c r="AH14" s="432"/>
      <c r="AI14" s="431"/>
      <c r="AJ14" s="431"/>
      <c r="AK14" s="431"/>
    </row>
    <row r="15" spans="1:37" ht="33" customHeight="1">
      <c r="A15" s="421" t="s">
        <v>280</v>
      </c>
      <c r="B15" s="434">
        <v>167536</v>
      </c>
      <c r="C15" s="435">
        <v>173826</v>
      </c>
      <c r="D15" s="436">
        <v>173826</v>
      </c>
      <c r="E15" s="437">
        <v>56163</v>
      </c>
      <c r="F15" s="435">
        <v>57555</v>
      </c>
      <c r="G15" s="438">
        <v>57555</v>
      </c>
      <c r="H15" s="437">
        <v>1647</v>
      </c>
      <c r="I15" s="435">
        <v>1700</v>
      </c>
      <c r="J15" s="438">
        <v>1700</v>
      </c>
      <c r="K15" s="437">
        <v>32012</v>
      </c>
      <c r="L15" s="435">
        <v>34552</v>
      </c>
      <c r="M15" s="438">
        <v>42178.984</v>
      </c>
      <c r="N15" s="434">
        <v>22712</v>
      </c>
      <c r="O15" s="435">
        <f>31659-6-4784</f>
        <v>26869</v>
      </c>
      <c r="P15" s="438">
        <f>23087.758-681.48</f>
        <v>22406.278000000002</v>
      </c>
      <c r="Q15" s="445">
        <v>0</v>
      </c>
      <c r="R15" s="446">
        <v>0</v>
      </c>
      <c r="S15" s="447">
        <v>0</v>
      </c>
      <c r="T15" s="442">
        <f t="shared" si="0"/>
        <v>280070</v>
      </c>
      <c r="U15" s="443">
        <f t="shared" si="1"/>
        <v>294502</v>
      </c>
      <c r="V15" s="444">
        <f t="shared" si="2"/>
        <v>297666.262</v>
      </c>
      <c r="W15" s="431"/>
      <c r="AD15" s="432"/>
      <c r="AE15" s="433"/>
      <c r="AG15" s="432"/>
      <c r="AH15" s="432"/>
      <c r="AI15" s="431"/>
      <c r="AJ15" s="431"/>
      <c r="AK15" s="431"/>
    </row>
    <row r="16" spans="1:37" ht="33" customHeight="1">
      <c r="A16" s="421" t="s">
        <v>281</v>
      </c>
      <c r="B16" s="434">
        <v>220887</v>
      </c>
      <c r="C16" s="435">
        <v>222361</v>
      </c>
      <c r="D16" s="436">
        <v>222361</v>
      </c>
      <c r="E16" s="437">
        <v>74050</v>
      </c>
      <c r="F16" s="435">
        <v>73230</v>
      </c>
      <c r="G16" s="438">
        <v>73230</v>
      </c>
      <c r="H16" s="437">
        <v>2158</v>
      </c>
      <c r="I16" s="435">
        <v>2170</v>
      </c>
      <c r="J16" s="438">
        <v>2170</v>
      </c>
      <c r="K16" s="437">
        <v>41078</v>
      </c>
      <c r="L16" s="435">
        <v>48385</v>
      </c>
      <c r="M16" s="438">
        <v>56493.492</v>
      </c>
      <c r="N16" s="434">
        <v>10314</v>
      </c>
      <c r="O16" s="435">
        <f>30035-5-15997</f>
        <v>14033</v>
      </c>
      <c r="P16" s="438">
        <f>19757.307-800</f>
        <v>18957.307</v>
      </c>
      <c r="Q16" s="439">
        <v>0</v>
      </c>
      <c r="R16" s="440">
        <v>0</v>
      </c>
      <c r="S16" s="441">
        <v>0</v>
      </c>
      <c r="T16" s="442">
        <f t="shared" si="0"/>
        <v>348487</v>
      </c>
      <c r="U16" s="443">
        <f t="shared" si="1"/>
        <v>360179</v>
      </c>
      <c r="V16" s="444">
        <f t="shared" si="2"/>
        <v>373211.799</v>
      </c>
      <c r="W16" s="431"/>
      <c r="AD16" s="432"/>
      <c r="AE16" s="433"/>
      <c r="AG16" s="432"/>
      <c r="AH16" s="432"/>
      <c r="AI16" s="431"/>
      <c r="AJ16" s="431"/>
      <c r="AK16" s="431"/>
    </row>
    <row r="17" spans="1:37" ht="33" customHeight="1">
      <c r="A17" s="421" t="s">
        <v>282</v>
      </c>
      <c r="B17" s="434">
        <v>335735</v>
      </c>
      <c r="C17" s="435">
        <v>344508</v>
      </c>
      <c r="D17" s="436">
        <v>346197.178</v>
      </c>
      <c r="E17" s="437">
        <v>112414</v>
      </c>
      <c r="F17" s="435">
        <v>113121</v>
      </c>
      <c r="G17" s="438">
        <v>113384.175</v>
      </c>
      <c r="H17" s="437">
        <v>3292</v>
      </c>
      <c r="I17" s="435">
        <v>3371</v>
      </c>
      <c r="J17" s="438">
        <v>3387.07</v>
      </c>
      <c r="K17" s="437">
        <v>64075</v>
      </c>
      <c r="L17" s="435">
        <v>60873</v>
      </c>
      <c r="M17" s="438">
        <v>89341.069</v>
      </c>
      <c r="N17" s="434">
        <v>13699</v>
      </c>
      <c r="O17" s="435">
        <f>39358-6-2257</f>
        <v>37095</v>
      </c>
      <c r="P17" s="438">
        <v>32825.386</v>
      </c>
      <c r="Q17" s="445">
        <v>0</v>
      </c>
      <c r="R17" s="446">
        <v>0</v>
      </c>
      <c r="S17" s="447">
        <v>0</v>
      </c>
      <c r="T17" s="442">
        <f t="shared" si="0"/>
        <v>529215</v>
      </c>
      <c r="U17" s="443">
        <f t="shared" si="1"/>
        <v>558968</v>
      </c>
      <c r="V17" s="444">
        <f t="shared" si="2"/>
        <v>585134.878</v>
      </c>
      <c r="W17" s="431"/>
      <c r="AD17" s="432"/>
      <c r="AE17" s="433"/>
      <c r="AG17" s="432"/>
      <c r="AH17" s="432"/>
      <c r="AI17" s="431"/>
      <c r="AJ17" s="431"/>
      <c r="AK17" s="431"/>
    </row>
    <row r="18" spans="1:37" ht="33" customHeight="1">
      <c r="A18" s="421" t="s">
        <v>283</v>
      </c>
      <c r="B18" s="434">
        <v>164965</v>
      </c>
      <c r="C18" s="435">
        <v>172402</v>
      </c>
      <c r="D18" s="436">
        <v>172402</v>
      </c>
      <c r="E18" s="437">
        <v>55261</v>
      </c>
      <c r="F18" s="435">
        <v>56264</v>
      </c>
      <c r="G18" s="438">
        <v>56264</v>
      </c>
      <c r="H18" s="437">
        <v>1614</v>
      </c>
      <c r="I18" s="435">
        <v>1683</v>
      </c>
      <c r="J18" s="438">
        <v>1683</v>
      </c>
      <c r="K18" s="437">
        <v>34350</v>
      </c>
      <c r="L18" s="435">
        <v>39086</v>
      </c>
      <c r="M18" s="438">
        <v>42573.597</v>
      </c>
      <c r="N18" s="434">
        <v>9045</v>
      </c>
      <c r="O18" s="435">
        <f>23312-6-11257</f>
        <v>12049</v>
      </c>
      <c r="P18" s="438">
        <v>12793.62</v>
      </c>
      <c r="Q18" s="439">
        <v>0</v>
      </c>
      <c r="R18" s="440">
        <v>0</v>
      </c>
      <c r="S18" s="441">
        <v>0</v>
      </c>
      <c r="T18" s="442">
        <f t="shared" si="0"/>
        <v>265235</v>
      </c>
      <c r="U18" s="443">
        <f t="shared" si="1"/>
        <v>281484</v>
      </c>
      <c r="V18" s="444">
        <f t="shared" si="2"/>
        <v>285716.217</v>
      </c>
      <c r="W18" s="431"/>
      <c r="AD18" s="432"/>
      <c r="AE18" s="433"/>
      <c r="AG18" s="432"/>
      <c r="AH18" s="432"/>
      <c r="AI18" s="431"/>
      <c r="AJ18" s="431"/>
      <c r="AK18" s="431"/>
    </row>
    <row r="19" spans="1:37" ht="33" customHeight="1">
      <c r="A19" s="421" t="s">
        <v>284</v>
      </c>
      <c r="B19" s="434">
        <v>214864</v>
      </c>
      <c r="C19" s="435">
        <v>222344</v>
      </c>
      <c r="D19" s="436">
        <v>222344</v>
      </c>
      <c r="E19" s="437">
        <v>71493</v>
      </c>
      <c r="F19" s="435">
        <v>72938</v>
      </c>
      <c r="G19" s="438">
        <v>72862.924</v>
      </c>
      <c r="H19" s="437">
        <v>2085</v>
      </c>
      <c r="I19" s="435">
        <v>2153</v>
      </c>
      <c r="J19" s="438">
        <v>2153</v>
      </c>
      <c r="K19" s="437">
        <v>41920</v>
      </c>
      <c r="L19" s="435">
        <v>50444</v>
      </c>
      <c r="M19" s="438">
        <v>55323.42</v>
      </c>
      <c r="N19" s="434">
        <v>2532</v>
      </c>
      <c r="O19" s="435">
        <f>15188-6-4893</f>
        <v>10289</v>
      </c>
      <c r="P19" s="438">
        <v>16300.669</v>
      </c>
      <c r="Q19" s="439">
        <v>0</v>
      </c>
      <c r="R19" s="440">
        <v>0</v>
      </c>
      <c r="S19" s="441">
        <v>0</v>
      </c>
      <c r="T19" s="442">
        <f t="shared" si="0"/>
        <v>332894</v>
      </c>
      <c r="U19" s="443">
        <f t="shared" si="1"/>
        <v>358168</v>
      </c>
      <c r="V19" s="444">
        <f t="shared" si="2"/>
        <v>368984.013</v>
      </c>
      <c r="W19" s="431"/>
      <c r="AD19" s="432"/>
      <c r="AE19" s="433"/>
      <c r="AG19" s="432"/>
      <c r="AH19" s="432"/>
      <c r="AI19" s="431"/>
      <c r="AJ19" s="431"/>
      <c r="AK19" s="431"/>
    </row>
    <row r="20" spans="1:37" ht="33" customHeight="1">
      <c r="A20" s="421" t="s">
        <v>285</v>
      </c>
      <c r="B20" s="434">
        <v>371143</v>
      </c>
      <c r="C20" s="435">
        <v>381071</v>
      </c>
      <c r="D20" s="436">
        <v>381071</v>
      </c>
      <c r="E20" s="437">
        <v>124452</v>
      </c>
      <c r="F20" s="435">
        <v>126311</v>
      </c>
      <c r="G20" s="438">
        <v>126226</v>
      </c>
      <c r="H20" s="437">
        <v>3545</v>
      </c>
      <c r="I20" s="435">
        <v>3638</v>
      </c>
      <c r="J20" s="438">
        <v>3638</v>
      </c>
      <c r="K20" s="437">
        <v>67224</v>
      </c>
      <c r="L20" s="435">
        <v>75347</v>
      </c>
      <c r="M20" s="438">
        <v>112214.01</v>
      </c>
      <c r="N20" s="434">
        <v>4406</v>
      </c>
      <c r="O20" s="435">
        <f>41150-5-11377</f>
        <v>29768</v>
      </c>
      <c r="P20" s="438">
        <v>44962.579</v>
      </c>
      <c r="Q20" s="439">
        <v>0</v>
      </c>
      <c r="R20" s="440">
        <v>0</v>
      </c>
      <c r="S20" s="441">
        <v>0</v>
      </c>
      <c r="T20" s="442">
        <f t="shared" si="0"/>
        <v>570770</v>
      </c>
      <c r="U20" s="443">
        <f t="shared" si="1"/>
        <v>616135</v>
      </c>
      <c r="V20" s="444">
        <f t="shared" si="2"/>
        <v>668111.589</v>
      </c>
      <c r="W20" s="431"/>
      <c r="AD20" s="432"/>
      <c r="AE20" s="433"/>
      <c r="AG20" s="432"/>
      <c r="AH20" s="432"/>
      <c r="AI20" s="431"/>
      <c r="AJ20" s="431"/>
      <c r="AK20" s="431"/>
    </row>
    <row r="21" spans="1:37" ht="33" customHeight="1">
      <c r="A21" s="421" t="s">
        <v>286</v>
      </c>
      <c r="B21" s="434">
        <v>73021</v>
      </c>
      <c r="C21" s="435">
        <v>73774</v>
      </c>
      <c r="D21" s="436">
        <v>73769.436</v>
      </c>
      <c r="E21" s="437">
        <v>24501</v>
      </c>
      <c r="F21" s="435">
        <v>24270</v>
      </c>
      <c r="G21" s="438">
        <v>24078.99</v>
      </c>
      <c r="H21" s="437">
        <v>719</v>
      </c>
      <c r="I21" s="435">
        <v>724</v>
      </c>
      <c r="J21" s="438">
        <v>723.1</v>
      </c>
      <c r="K21" s="437">
        <v>31025</v>
      </c>
      <c r="L21" s="435">
        <v>55490</v>
      </c>
      <c r="M21" s="438">
        <v>55823.992</v>
      </c>
      <c r="N21" s="434">
        <v>2000</v>
      </c>
      <c r="O21" s="435">
        <f>45108-13-15055</f>
        <v>30040</v>
      </c>
      <c r="P21" s="438">
        <v>29937.577</v>
      </c>
      <c r="Q21" s="439">
        <v>0</v>
      </c>
      <c r="R21" s="440">
        <v>0</v>
      </c>
      <c r="S21" s="441">
        <v>0</v>
      </c>
      <c r="T21" s="442">
        <f t="shared" si="0"/>
        <v>131266</v>
      </c>
      <c r="U21" s="443">
        <f t="shared" si="1"/>
        <v>184298</v>
      </c>
      <c r="V21" s="444">
        <f t="shared" si="2"/>
        <v>184333.095</v>
      </c>
      <c r="W21" s="431"/>
      <c r="AD21" s="432"/>
      <c r="AE21" s="433"/>
      <c r="AG21" s="432"/>
      <c r="AH21" s="432"/>
      <c r="AI21" s="431"/>
      <c r="AJ21" s="431"/>
      <c r="AK21" s="431"/>
    </row>
    <row r="22" spans="1:37" ht="33" customHeight="1" thickBot="1">
      <c r="A22" s="421" t="s">
        <v>287</v>
      </c>
      <c r="B22" s="448">
        <v>140227</v>
      </c>
      <c r="C22" s="449">
        <v>0</v>
      </c>
      <c r="D22" s="450">
        <v>0</v>
      </c>
      <c r="E22" s="437">
        <v>46749</v>
      </c>
      <c r="F22" s="435">
        <v>0</v>
      </c>
      <c r="G22" s="438">
        <v>0</v>
      </c>
      <c r="H22" s="437">
        <v>1302</v>
      </c>
      <c r="I22" s="435">
        <v>0</v>
      </c>
      <c r="J22" s="438">
        <v>0</v>
      </c>
      <c r="K22" s="437">
        <v>65000</v>
      </c>
      <c r="L22" s="435">
        <v>0</v>
      </c>
      <c r="M22" s="438">
        <v>0</v>
      </c>
      <c r="N22" s="434">
        <v>73542</v>
      </c>
      <c r="O22" s="435">
        <v>0</v>
      </c>
      <c r="P22" s="438">
        <v>0</v>
      </c>
      <c r="Q22" s="439">
        <v>0</v>
      </c>
      <c r="R22" s="440">
        <v>0</v>
      </c>
      <c r="S22" s="441">
        <v>0</v>
      </c>
      <c r="T22" s="451">
        <f t="shared" si="0"/>
        <v>326820</v>
      </c>
      <c r="U22" s="443">
        <f t="shared" si="1"/>
        <v>0</v>
      </c>
      <c r="V22" s="444">
        <f t="shared" si="2"/>
        <v>0</v>
      </c>
      <c r="W22" s="431"/>
      <c r="AD22" s="432"/>
      <c r="AG22" s="432"/>
      <c r="AH22" s="432"/>
      <c r="AI22" s="431"/>
      <c r="AJ22" s="431"/>
      <c r="AK22" s="431"/>
    </row>
    <row r="23" spans="1:31" ht="33" customHeight="1" thickBot="1">
      <c r="A23" s="452" t="s">
        <v>288</v>
      </c>
      <c r="B23" s="453">
        <f aca="true" t="shared" si="3" ref="B23:P23">SUM(B7:B22)</f>
        <v>3722731</v>
      </c>
      <c r="C23" s="453">
        <f t="shared" si="3"/>
        <v>3681021</v>
      </c>
      <c r="D23" s="454">
        <f t="shared" si="3"/>
        <v>3694696.646</v>
      </c>
      <c r="E23" s="455">
        <f t="shared" si="3"/>
        <v>1246265</v>
      </c>
      <c r="F23" s="453">
        <f t="shared" si="3"/>
        <v>1209564</v>
      </c>
      <c r="G23" s="454">
        <f t="shared" si="3"/>
        <v>1212879.213</v>
      </c>
      <c r="H23" s="455">
        <f t="shared" si="3"/>
        <v>36239</v>
      </c>
      <c r="I23" s="453">
        <f t="shared" si="3"/>
        <v>35809</v>
      </c>
      <c r="J23" s="454">
        <f t="shared" si="3"/>
        <v>35938.373</v>
      </c>
      <c r="K23" s="455">
        <f t="shared" si="3"/>
        <v>772804</v>
      </c>
      <c r="L23" s="453">
        <f t="shared" si="3"/>
        <v>806801.998</v>
      </c>
      <c r="M23" s="454">
        <f t="shared" si="3"/>
        <v>937794.181</v>
      </c>
      <c r="N23" s="455">
        <f t="shared" si="3"/>
        <v>278853</v>
      </c>
      <c r="O23" s="453">
        <f t="shared" si="3"/>
        <v>318637</v>
      </c>
      <c r="P23" s="456">
        <f t="shared" si="3"/>
        <v>361528.83800000005</v>
      </c>
      <c r="Q23" s="457">
        <v>0</v>
      </c>
      <c r="R23" s="458">
        <v>0</v>
      </c>
      <c r="S23" s="459">
        <v>0</v>
      </c>
      <c r="T23" s="455">
        <f>SUM(T7:T22)</f>
        <v>6056892</v>
      </c>
      <c r="U23" s="453">
        <f>SUM(U7:U22)</f>
        <v>6051832.998</v>
      </c>
      <c r="V23" s="456">
        <f>SUM(V7:V22)</f>
        <v>6242837.251</v>
      </c>
      <c r="W23" s="431"/>
      <c r="AE23" s="433"/>
    </row>
    <row r="24" spans="1:22" ht="33" customHeight="1">
      <c r="A24" s="460" t="s">
        <v>289</v>
      </c>
      <c r="B24" s="461">
        <v>13787</v>
      </c>
      <c r="C24" s="435">
        <v>13627</v>
      </c>
      <c r="D24" s="436">
        <v>13626.563</v>
      </c>
      <c r="E24" s="461">
        <v>4575</v>
      </c>
      <c r="F24" s="435">
        <v>4271</v>
      </c>
      <c r="G24" s="438">
        <v>4268.74</v>
      </c>
      <c r="H24" s="461">
        <v>135</v>
      </c>
      <c r="I24" s="435">
        <v>132</v>
      </c>
      <c r="J24" s="438">
        <v>131.719</v>
      </c>
      <c r="K24" s="461">
        <v>4230</v>
      </c>
      <c r="L24" s="435">
        <v>4791</v>
      </c>
      <c r="M24" s="438">
        <v>4790.41</v>
      </c>
      <c r="N24" s="451">
        <v>140</v>
      </c>
      <c r="O24" s="443">
        <v>300</v>
      </c>
      <c r="P24" s="462">
        <v>299.861</v>
      </c>
      <c r="Q24" s="439">
        <v>0</v>
      </c>
      <c r="R24" s="440">
        <v>0</v>
      </c>
      <c r="S24" s="441">
        <v>0</v>
      </c>
      <c r="T24" s="442">
        <f>B24+E24+H24+K24+N24+Q24</f>
        <v>22867</v>
      </c>
      <c r="U24" s="443">
        <f>C24+F24+I24+L24+O24+R24</f>
        <v>23121</v>
      </c>
      <c r="V24" s="444">
        <f>D24+G24+J24+M24+P24+S24</f>
        <v>23117.293</v>
      </c>
    </row>
    <row r="25" spans="1:22" ht="33" customHeight="1" thickBot="1">
      <c r="A25" s="460" t="s">
        <v>290</v>
      </c>
      <c r="B25" s="463">
        <f>242238-52</f>
        <v>242186</v>
      </c>
      <c r="C25" s="464">
        <f>238436-1663</f>
        <v>236773</v>
      </c>
      <c r="D25" s="465">
        <f>226154+10424.508-52.5</f>
        <v>236526.008</v>
      </c>
      <c r="E25" s="463">
        <v>80651</v>
      </c>
      <c r="F25" s="464">
        <f>78234-238</f>
        <v>77996</v>
      </c>
      <c r="G25" s="465">
        <f>77776.19739-17.85</f>
        <v>77758.34739</v>
      </c>
      <c r="H25" s="463">
        <v>2319</v>
      </c>
      <c r="I25" s="464">
        <v>2266</v>
      </c>
      <c r="J25" s="465">
        <v>2262.7</v>
      </c>
      <c r="K25" s="463">
        <v>385301</v>
      </c>
      <c r="L25" s="464">
        <f>376826-188</f>
        <v>376638</v>
      </c>
      <c r="M25" s="465">
        <v>377867.42122</v>
      </c>
      <c r="N25" s="466">
        <v>40115</v>
      </c>
      <c r="O25" s="467">
        <v>67156</v>
      </c>
      <c r="P25" s="468">
        <f>65917.62121-813.74-70.35</f>
        <v>65033.53121</v>
      </c>
      <c r="Q25" s="469">
        <v>27622</v>
      </c>
      <c r="R25" s="467">
        <v>58187</v>
      </c>
      <c r="S25" s="468">
        <f>57515.07764</f>
        <v>57515.07764</v>
      </c>
      <c r="T25" s="469">
        <f>B25+E25+H25+K25+N25+Q25</f>
        <v>778194</v>
      </c>
      <c r="U25" s="467">
        <f>C25+F25+I25+L25+O25+R25-2607</f>
        <v>816409</v>
      </c>
      <c r="V25" s="470">
        <f>D25+G25+J25+M25+P25+S25-2438.7739</f>
        <v>814524.3115600001</v>
      </c>
    </row>
    <row r="26" spans="1:22" s="880" customFormat="1" ht="39" customHeight="1" thickBot="1">
      <c r="A26" s="875" t="s">
        <v>291</v>
      </c>
      <c r="B26" s="876">
        <f aca="true" t="shared" si="4" ref="B26:V26">SUM(B23:B25)</f>
        <v>3978704</v>
      </c>
      <c r="C26" s="876">
        <f t="shared" si="4"/>
        <v>3931421</v>
      </c>
      <c r="D26" s="877">
        <f t="shared" si="4"/>
        <v>3944849.217</v>
      </c>
      <c r="E26" s="876">
        <f t="shared" si="4"/>
        <v>1331491</v>
      </c>
      <c r="F26" s="876">
        <f t="shared" si="4"/>
        <v>1291831</v>
      </c>
      <c r="G26" s="877">
        <f t="shared" si="4"/>
        <v>1294906.30039</v>
      </c>
      <c r="H26" s="876">
        <f t="shared" si="4"/>
        <v>38693</v>
      </c>
      <c r="I26" s="876">
        <f t="shared" si="4"/>
        <v>38207</v>
      </c>
      <c r="J26" s="877">
        <f t="shared" si="4"/>
        <v>38332.791999999994</v>
      </c>
      <c r="K26" s="876">
        <f t="shared" si="4"/>
        <v>1162335</v>
      </c>
      <c r="L26" s="876">
        <f t="shared" si="4"/>
        <v>1188230.9980000001</v>
      </c>
      <c r="M26" s="877">
        <f t="shared" si="4"/>
        <v>1320452.01222</v>
      </c>
      <c r="N26" s="878">
        <f t="shared" si="4"/>
        <v>319108</v>
      </c>
      <c r="O26" s="876">
        <f t="shared" si="4"/>
        <v>386093</v>
      </c>
      <c r="P26" s="877">
        <f t="shared" si="4"/>
        <v>426862.23021</v>
      </c>
      <c r="Q26" s="879">
        <f t="shared" si="4"/>
        <v>27622</v>
      </c>
      <c r="R26" s="876">
        <f t="shared" si="4"/>
        <v>58187</v>
      </c>
      <c r="S26" s="877">
        <f t="shared" si="4"/>
        <v>57515.07764</v>
      </c>
      <c r="T26" s="876">
        <f t="shared" si="4"/>
        <v>6857953</v>
      </c>
      <c r="U26" s="876">
        <f t="shared" si="4"/>
        <v>6891362.998</v>
      </c>
      <c r="V26" s="877">
        <f t="shared" si="4"/>
        <v>7080478.85556</v>
      </c>
    </row>
    <row r="27" spans="1:16" ht="11.25" customHeight="1">
      <c r="A27" s="471"/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</row>
    <row r="28" spans="1:19" ht="21.75" customHeight="1">
      <c r="A28" s="413"/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3"/>
      <c r="Q28" s="433"/>
      <c r="R28" s="433"/>
      <c r="S28" s="472"/>
    </row>
    <row r="29" spans="1:19" ht="21.75" customHeight="1">
      <c r="A29" s="474"/>
      <c r="S29" s="475"/>
    </row>
    <row r="30" spans="1:31" s="478" customFormat="1" ht="18.75" customHeight="1">
      <c r="A30" s="864" t="s">
        <v>196</v>
      </c>
      <c r="C30" s="864"/>
      <c r="D30" s="864"/>
      <c r="E30" s="864"/>
      <c r="F30" s="864"/>
      <c r="G30" s="865" t="s">
        <v>292</v>
      </c>
      <c r="H30" s="865"/>
      <c r="I30" s="865"/>
      <c r="J30" s="865"/>
      <c r="K30" s="865"/>
      <c r="L30" s="865"/>
      <c r="M30" s="866"/>
      <c r="O30" s="865"/>
      <c r="P30" s="865"/>
      <c r="S30" s="867" t="s">
        <v>167</v>
      </c>
      <c r="AD30" s="868"/>
      <c r="AE30" s="868"/>
    </row>
    <row r="31" spans="12:16" ht="14.25">
      <c r="L31" s="433"/>
      <c r="M31" s="476"/>
      <c r="N31" s="433"/>
      <c r="O31" s="433"/>
      <c r="P31" s="433"/>
    </row>
    <row r="32" spans="12:16" ht="14.25">
      <c r="L32" s="433"/>
      <c r="M32" s="476"/>
      <c r="N32" s="433"/>
      <c r="O32" s="433"/>
      <c r="P32" s="433"/>
    </row>
    <row r="33" spans="2:16" ht="14.25">
      <c r="B33" s="433"/>
      <c r="L33" s="433"/>
      <c r="M33" s="476"/>
      <c r="N33" s="433"/>
      <c r="O33" s="433"/>
      <c r="P33" s="433"/>
    </row>
    <row r="34" spans="12:16" ht="14.25">
      <c r="L34" s="433"/>
      <c r="M34" s="476"/>
      <c r="N34" s="433"/>
      <c r="O34" s="433"/>
      <c r="P34" s="433"/>
    </row>
    <row r="35" spans="12:16" ht="14.25">
      <c r="L35" s="433"/>
      <c r="M35" s="476"/>
      <c r="N35" s="433"/>
      <c r="O35" s="433"/>
      <c r="P35" s="433"/>
    </row>
    <row r="36" spans="12:16" ht="12.75">
      <c r="L36" s="433"/>
      <c r="N36" s="433"/>
      <c r="O36" s="433"/>
      <c r="P36" s="433"/>
    </row>
    <row r="37" spans="12:16" ht="12.75">
      <c r="L37" s="433"/>
      <c r="N37" s="433"/>
      <c r="O37" s="433"/>
      <c r="P37" s="433"/>
    </row>
    <row r="38" spans="12:16" ht="12.75">
      <c r="L38" s="433"/>
      <c r="N38" s="433"/>
      <c r="O38" s="433"/>
      <c r="P38" s="433"/>
    </row>
    <row r="39" spans="12:16" ht="12.75">
      <c r="L39" s="433"/>
      <c r="N39" s="433"/>
      <c r="O39" s="433"/>
      <c r="P39" s="433"/>
    </row>
    <row r="40" spans="12:16" ht="12.75">
      <c r="L40" s="433"/>
      <c r="M40" s="477"/>
      <c r="N40" s="433"/>
      <c r="O40" s="433"/>
      <c r="P40" s="433"/>
    </row>
    <row r="41" spans="12:16" ht="12.75">
      <c r="L41" s="433"/>
      <c r="N41" s="433"/>
      <c r="O41" s="433"/>
      <c r="P41" s="433"/>
    </row>
  </sheetData>
  <sheetProtection/>
  <mergeCells count="8">
    <mergeCell ref="T5:V5"/>
    <mergeCell ref="U1:V1"/>
    <mergeCell ref="A5:A6"/>
    <mergeCell ref="B5:D5"/>
    <mergeCell ref="E5:G5"/>
    <mergeCell ref="N5:P5"/>
    <mergeCell ref="Q5:S5"/>
    <mergeCell ref="A3:V3"/>
  </mergeCells>
  <printOptions horizontalCentered="1"/>
  <pageMargins left="0.3937007874015748" right="0.3937007874015748" top="0.7874015748031497" bottom="0.7874015748031497" header="0" footer="0.1968503937007874"/>
  <pageSetup blackAndWhite="1" fitToHeight="1" fitToWidth="1" horizontalDpi="600" verticalDpi="600" orientation="landscape" paperSize="9" scale="43" r:id="rId1"/>
  <headerFooter alignWithMargins="0">
    <oddFooter>&amp;C&amp;18&amp;P+164
&amp;22
&amp;16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9"/>
  <sheetViews>
    <sheetView tabSelected="1" zoomScale="75" zoomScaleNormal="75" workbookViewId="0" topLeftCell="A2">
      <selection activeCell="H13" sqref="H13"/>
    </sheetView>
  </sheetViews>
  <sheetFormatPr defaultColWidth="9.00390625" defaultRowHeight="12.75"/>
  <cols>
    <col min="1" max="1" width="42.25390625" style="486" customWidth="1"/>
    <col min="2" max="3" width="13.25390625" style="486" customWidth="1"/>
    <col min="4" max="4" width="17.125" style="486" bestFit="1" customWidth="1"/>
    <col min="5" max="6" width="12.625" style="486" customWidth="1"/>
    <col min="7" max="7" width="15.375" style="486" customWidth="1"/>
    <col min="8" max="9" width="12.625" style="486" customWidth="1"/>
    <col min="10" max="10" width="15.375" style="486" customWidth="1"/>
    <col min="11" max="12" width="12.625" style="486" customWidth="1"/>
    <col min="13" max="13" width="15.375" style="486" customWidth="1"/>
    <col min="14" max="15" width="12.625" style="486" customWidth="1"/>
    <col min="16" max="16" width="18.75390625" style="486" customWidth="1"/>
    <col min="17" max="19" width="12.25390625" style="486" customWidth="1"/>
    <col min="20" max="20" width="13.875" style="486" customWidth="1"/>
    <col min="21" max="21" width="14.375" style="486" customWidth="1"/>
    <col min="22" max="22" width="17.25390625" style="510" customWidth="1"/>
    <col min="23" max="24" width="9.125" style="486" customWidth="1"/>
    <col min="25" max="25" width="10.875" style="488" customWidth="1"/>
    <col min="26" max="26" width="14.75390625" style="486" customWidth="1"/>
    <col min="27" max="27" width="11.375" style="486" customWidth="1"/>
    <col min="28" max="28" width="11.75390625" style="486" customWidth="1"/>
    <col min="29" max="16384" width="9.125" style="486" customWidth="1"/>
  </cols>
  <sheetData>
    <row r="2" spans="1:25" s="479" customFormat="1" ht="24.75" customHeight="1">
      <c r="A2" s="888" t="s">
        <v>178</v>
      </c>
      <c r="F2" s="480"/>
      <c r="N2" s="481"/>
      <c r="U2" s="988" t="s">
        <v>263</v>
      </c>
      <c r="V2" s="988"/>
      <c r="Y2" s="482"/>
    </row>
    <row r="3" ht="21" customHeight="1"/>
    <row r="4" spans="1:25" s="483" customFormat="1" ht="33.75" customHeight="1">
      <c r="A4" s="989" t="s">
        <v>321</v>
      </c>
      <c r="B4" s="989"/>
      <c r="C4" s="989"/>
      <c r="D4" s="989"/>
      <c r="E4" s="989"/>
      <c r="F4" s="989"/>
      <c r="G4" s="989"/>
      <c r="H4" s="989"/>
      <c r="I4" s="989"/>
      <c r="J4" s="989"/>
      <c r="K4" s="989"/>
      <c r="L4" s="989"/>
      <c r="M4" s="989"/>
      <c r="N4" s="989"/>
      <c r="O4" s="989"/>
      <c r="P4" s="989"/>
      <c r="Q4" s="989"/>
      <c r="R4" s="989"/>
      <c r="S4" s="989"/>
      <c r="T4" s="989"/>
      <c r="U4" s="989"/>
      <c r="V4" s="989"/>
      <c r="Y4" s="484"/>
    </row>
    <row r="5" spans="1:22" ht="46.5" customHeight="1" thickBot="1">
      <c r="A5" s="485"/>
      <c r="P5" s="487"/>
      <c r="V5" s="889" t="s">
        <v>92</v>
      </c>
    </row>
    <row r="6" spans="1:25" s="586" customFormat="1" ht="41.25" customHeight="1" thickBot="1">
      <c r="A6" s="990" t="s">
        <v>293</v>
      </c>
      <c r="B6" s="992" t="s">
        <v>265</v>
      </c>
      <c r="C6" s="993"/>
      <c r="D6" s="994"/>
      <c r="E6" s="992" t="s">
        <v>266</v>
      </c>
      <c r="F6" s="993"/>
      <c r="G6" s="994"/>
      <c r="H6" s="992" t="s">
        <v>144</v>
      </c>
      <c r="I6" s="993"/>
      <c r="J6" s="994"/>
      <c r="K6" s="992" t="s">
        <v>267</v>
      </c>
      <c r="L6" s="993"/>
      <c r="M6" s="994"/>
      <c r="N6" s="992" t="s">
        <v>314</v>
      </c>
      <c r="O6" s="993"/>
      <c r="P6" s="994"/>
      <c r="Q6" s="992" t="s">
        <v>268</v>
      </c>
      <c r="R6" s="993"/>
      <c r="S6" s="994"/>
      <c r="T6" s="992" t="s">
        <v>269</v>
      </c>
      <c r="U6" s="993"/>
      <c r="V6" s="994"/>
      <c r="Y6" s="587"/>
    </row>
    <row r="7" spans="1:25" s="591" customFormat="1" ht="41.25" customHeight="1" thickBot="1">
      <c r="A7" s="991"/>
      <c r="B7" s="588" t="s">
        <v>270</v>
      </c>
      <c r="C7" s="589" t="s">
        <v>182</v>
      </c>
      <c r="D7" s="590" t="s">
        <v>271</v>
      </c>
      <c r="E7" s="588" t="s">
        <v>270</v>
      </c>
      <c r="F7" s="589" t="s">
        <v>182</v>
      </c>
      <c r="G7" s="590" t="s">
        <v>271</v>
      </c>
      <c r="H7" s="588" t="s">
        <v>270</v>
      </c>
      <c r="I7" s="589" t="s">
        <v>182</v>
      </c>
      <c r="J7" s="590" t="s">
        <v>271</v>
      </c>
      <c r="K7" s="588" t="s">
        <v>270</v>
      </c>
      <c r="L7" s="589" t="s">
        <v>182</v>
      </c>
      <c r="M7" s="590" t="s">
        <v>271</v>
      </c>
      <c r="N7" s="588" t="s">
        <v>270</v>
      </c>
      <c r="O7" s="589" t="s">
        <v>182</v>
      </c>
      <c r="P7" s="590" t="s">
        <v>271</v>
      </c>
      <c r="Q7" s="588" t="s">
        <v>270</v>
      </c>
      <c r="R7" s="589" t="s">
        <v>182</v>
      </c>
      <c r="S7" s="590" t="s">
        <v>271</v>
      </c>
      <c r="T7" s="588" t="s">
        <v>270</v>
      </c>
      <c r="U7" s="589" t="s">
        <v>182</v>
      </c>
      <c r="V7" s="590" t="s">
        <v>271</v>
      </c>
      <c r="Y7" s="592"/>
    </row>
    <row r="8" spans="1:28" s="492" customFormat="1" ht="34.5" customHeight="1">
      <c r="A8" s="881" t="s">
        <v>294</v>
      </c>
      <c r="B8" s="489">
        <v>2620788</v>
      </c>
      <c r="C8" s="490">
        <v>2910345</v>
      </c>
      <c r="D8" s="491">
        <v>2910345</v>
      </c>
      <c r="E8" s="489">
        <v>879709</v>
      </c>
      <c r="F8" s="490">
        <v>966511</v>
      </c>
      <c r="G8" s="491">
        <v>966511</v>
      </c>
      <c r="H8" s="489">
        <v>25861</v>
      </c>
      <c r="I8" s="490">
        <v>28720</v>
      </c>
      <c r="J8" s="491">
        <v>28720</v>
      </c>
      <c r="K8" s="489">
        <v>346807</v>
      </c>
      <c r="L8" s="490">
        <v>455212</v>
      </c>
      <c r="M8" s="491">
        <v>455626.37</v>
      </c>
      <c r="N8" s="489">
        <v>37904</v>
      </c>
      <c r="O8" s="490">
        <v>52640</v>
      </c>
      <c r="P8" s="491">
        <v>47675.21</v>
      </c>
      <c r="Q8" s="489"/>
      <c r="R8" s="490"/>
      <c r="S8" s="491"/>
      <c r="T8" s="489">
        <v>3911069</v>
      </c>
      <c r="U8" s="490">
        <v>4413428</v>
      </c>
      <c r="V8" s="491">
        <v>4408877.58</v>
      </c>
      <c r="Y8" s="493"/>
      <c r="Z8" s="494"/>
      <c r="AA8" s="494"/>
      <c r="AB8" s="494"/>
    </row>
    <row r="9" spans="1:28" s="492" customFormat="1" ht="34.5" customHeight="1">
      <c r="A9" s="881" t="s">
        <v>295</v>
      </c>
      <c r="B9" s="495">
        <v>1465468</v>
      </c>
      <c r="C9" s="496">
        <v>1545425</v>
      </c>
      <c r="D9" s="497">
        <v>1545425</v>
      </c>
      <c r="E9" s="495">
        <v>491654</v>
      </c>
      <c r="F9" s="496">
        <v>503823</v>
      </c>
      <c r="G9" s="497">
        <v>503823</v>
      </c>
      <c r="H9" s="495">
        <v>14447</v>
      </c>
      <c r="I9" s="496">
        <v>15234</v>
      </c>
      <c r="J9" s="497">
        <v>15234</v>
      </c>
      <c r="K9" s="495">
        <v>200112</v>
      </c>
      <c r="L9" s="496">
        <v>269221</v>
      </c>
      <c r="M9" s="497">
        <v>271429.27</v>
      </c>
      <c r="N9" s="495">
        <f>29149-1076</f>
        <v>28073</v>
      </c>
      <c r="O9" s="496">
        <v>28532</v>
      </c>
      <c r="P9" s="497">
        <v>26462.56559</v>
      </c>
      <c r="Q9" s="495"/>
      <c r="R9" s="496"/>
      <c r="S9" s="497"/>
      <c r="T9" s="495">
        <v>2199754</v>
      </c>
      <c r="U9" s="496">
        <v>2362235</v>
      </c>
      <c r="V9" s="497">
        <v>2362373.83559</v>
      </c>
      <c r="Y9" s="493"/>
      <c r="Z9" s="494"/>
      <c r="AA9" s="494"/>
      <c r="AB9" s="494"/>
    </row>
    <row r="10" spans="1:28" s="492" customFormat="1" ht="34.5" customHeight="1">
      <c r="A10" s="881" t="s">
        <v>296</v>
      </c>
      <c r="B10" s="495">
        <v>921849</v>
      </c>
      <c r="C10" s="496">
        <v>958493</v>
      </c>
      <c r="D10" s="497">
        <v>958512.28</v>
      </c>
      <c r="E10" s="495">
        <v>309750</v>
      </c>
      <c r="F10" s="496">
        <v>312863</v>
      </c>
      <c r="G10" s="497">
        <v>312863</v>
      </c>
      <c r="H10" s="495">
        <v>9110</v>
      </c>
      <c r="I10" s="496">
        <v>9405</v>
      </c>
      <c r="J10" s="497">
        <v>9405</v>
      </c>
      <c r="K10" s="495">
        <v>130361</v>
      </c>
      <c r="L10" s="496">
        <v>191412</v>
      </c>
      <c r="M10" s="497">
        <v>192655.06</v>
      </c>
      <c r="N10" s="495">
        <f>82917-7182</f>
        <v>75735</v>
      </c>
      <c r="O10" s="496">
        <v>41118</v>
      </c>
      <c r="P10" s="497">
        <v>27158.212600000003</v>
      </c>
      <c r="Q10" s="495"/>
      <c r="R10" s="496"/>
      <c r="S10" s="497"/>
      <c r="T10" s="495">
        <v>1446805</v>
      </c>
      <c r="U10" s="496">
        <v>1513291</v>
      </c>
      <c r="V10" s="497">
        <v>1500593.5526</v>
      </c>
      <c r="Y10" s="493"/>
      <c r="Z10" s="494"/>
      <c r="AA10" s="494"/>
      <c r="AB10" s="494"/>
    </row>
    <row r="11" spans="1:28" s="492" customFormat="1" ht="34.5" customHeight="1">
      <c r="A11" s="881" t="s">
        <v>297</v>
      </c>
      <c r="B11" s="495">
        <v>943671</v>
      </c>
      <c r="C11" s="496">
        <v>982068</v>
      </c>
      <c r="D11" s="497">
        <v>982068</v>
      </c>
      <c r="E11" s="495">
        <v>316957</v>
      </c>
      <c r="F11" s="496">
        <v>321023</v>
      </c>
      <c r="G11" s="497">
        <v>319957</v>
      </c>
      <c r="H11" s="495">
        <v>9301</v>
      </c>
      <c r="I11" s="496">
        <v>9579</v>
      </c>
      <c r="J11" s="497">
        <v>9579</v>
      </c>
      <c r="K11" s="495">
        <v>128334</v>
      </c>
      <c r="L11" s="496">
        <v>181197</v>
      </c>
      <c r="M11" s="497">
        <v>183798.36</v>
      </c>
      <c r="N11" s="495">
        <f>33983-4804</f>
        <v>29179</v>
      </c>
      <c r="O11" s="496">
        <v>21229</v>
      </c>
      <c r="P11" s="497">
        <v>21163.182</v>
      </c>
      <c r="Q11" s="495"/>
      <c r="R11" s="496"/>
      <c r="S11" s="497"/>
      <c r="T11" s="495">
        <v>1427442</v>
      </c>
      <c r="U11" s="496">
        <v>1515096</v>
      </c>
      <c r="V11" s="497">
        <v>1516565.5420000001</v>
      </c>
      <c r="Y11" s="493"/>
      <c r="Z11" s="494"/>
      <c r="AA11" s="494"/>
      <c r="AB11" s="494"/>
    </row>
    <row r="12" spans="1:28" s="492" customFormat="1" ht="34.5" customHeight="1">
      <c r="A12" s="881" t="s">
        <v>298</v>
      </c>
      <c r="B12" s="495">
        <v>520766</v>
      </c>
      <c r="C12" s="496">
        <v>542568</v>
      </c>
      <c r="D12" s="497">
        <v>542568</v>
      </c>
      <c r="E12" s="495">
        <v>174967</v>
      </c>
      <c r="F12" s="496">
        <v>179916</v>
      </c>
      <c r="G12" s="497">
        <v>179916</v>
      </c>
      <c r="H12" s="495">
        <v>5143</v>
      </c>
      <c r="I12" s="496">
        <v>5346</v>
      </c>
      <c r="J12" s="497">
        <v>5346</v>
      </c>
      <c r="K12" s="495">
        <v>68366</v>
      </c>
      <c r="L12" s="496">
        <v>97458</v>
      </c>
      <c r="M12" s="497">
        <v>97991.39</v>
      </c>
      <c r="N12" s="495">
        <f>126289-600</f>
        <v>125689</v>
      </c>
      <c r="O12" s="496">
        <v>242679</v>
      </c>
      <c r="P12" s="497">
        <v>202687.67708</v>
      </c>
      <c r="Q12" s="495"/>
      <c r="R12" s="496"/>
      <c r="S12" s="497"/>
      <c r="T12" s="495">
        <v>894931</v>
      </c>
      <c r="U12" s="496">
        <v>1067967</v>
      </c>
      <c r="V12" s="497">
        <v>1028509.06708</v>
      </c>
      <c r="Y12" s="493"/>
      <c r="Z12" s="494"/>
      <c r="AA12" s="494"/>
      <c r="AB12" s="494"/>
    </row>
    <row r="13" spans="1:28" s="492" customFormat="1" ht="34.5" customHeight="1">
      <c r="A13" s="881" t="s">
        <v>299</v>
      </c>
      <c r="B13" s="495">
        <v>1291610</v>
      </c>
      <c r="C13" s="496">
        <v>1467463</v>
      </c>
      <c r="D13" s="497">
        <v>1342263</v>
      </c>
      <c r="E13" s="495">
        <v>433845</v>
      </c>
      <c r="F13" s="496">
        <v>476930</v>
      </c>
      <c r="G13" s="497">
        <v>444208</v>
      </c>
      <c r="H13" s="495">
        <v>12759</v>
      </c>
      <c r="I13" s="496">
        <v>14167</v>
      </c>
      <c r="J13" s="497">
        <v>13241.15</v>
      </c>
      <c r="K13" s="495">
        <v>158507</v>
      </c>
      <c r="L13" s="496">
        <v>247909</v>
      </c>
      <c r="M13" s="497">
        <v>243503.85</v>
      </c>
      <c r="N13" s="495">
        <f>43209-485</f>
        <v>42724</v>
      </c>
      <c r="O13" s="496">
        <v>36982</v>
      </c>
      <c r="P13" s="497">
        <v>24116.60732</v>
      </c>
      <c r="Q13" s="495"/>
      <c r="R13" s="496"/>
      <c r="S13" s="497"/>
      <c r="T13" s="495">
        <v>1939445</v>
      </c>
      <c r="U13" s="496">
        <v>2243451</v>
      </c>
      <c r="V13" s="497">
        <v>2067332.60732</v>
      </c>
      <c r="Y13" s="493"/>
      <c r="Z13" s="494"/>
      <c r="AA13" s="494"/>
      <c r="AB13" s="494"/>
    </row>
    <row r="14" spans="1:28" s="492" customFormat="1" ht="34.5" customHeight="1">
      <c r="A14" s="881" t="s">
        <v>300</v>
      </c>
      <c r="B14" s="495">
        <v>518801</v>
      </c>
      <c r="C14" s="496">
        <v>552324</v>
      </c>
      <c r="D14" s="497">
        <v>552324</v>
      </c>
      <c r="E14" s="495">
        <v>174259</v>
      </c>
      <c r="F14" s="496">
        <v>181816</v>
      </c>
      <c r="G14" s="497">
        <v>181816</v>
      </c>
      <c r="H14" s="495">
        <v>5121</v>
      </c>
      <c r="I14" s="496">
        <v>5436</v>
      </c>
      <c r="J14" s="497">
        <v>5436</v>
      </c>
      <c r="K14" s="495">
        <v>68526</v>
      </c>
      <c r="L14" s="496">
        <v>103897</v>
      </c>
      <c r="M14" s="497">
        <v>104099.7</v>
      </c>
      <c r="N14" s="495">
        <f>21435-12680</f>
        <v>8755</v>
      </c>
      <c r="O14" s="496">
        <v>16036</v>
      </c>
      <c r="P14" s="497">
        <v>14212.806</v>
      </c>
      <c r="Q14" s="495"/>
      <c r="R14" s="496"/>
      <c r="S14" s="497"/>
      <c r="T14" s="495">
        <v>775462</v>
      </c>
      <c r="U14" s="496">
        <v>859509</v>
      </c>
      <c r="V14" s="497">
        <v>857888.506</v>
      </c>
      <c r="Y14" s="493"/>
      <c r="Z14" s="494"/>
      <c r="AA14" s="494"/>
      <c r="AB14" s="494"/>
    </row>
    <row r="15" spans="1:28" s="492" customFormat="1" ht="34.5" customHeight="1">
      <c r="A15" s="881" t="s">
        <v>301</v>
      </c>
      <c r="B15" s="495">
        <v>720165</v>
      </c>
      <c r="C15" s="496">
        <v>764452</v>
      </c>
      <c r="D15" s="497">
        <v>764493.74</v>
      </c>
      <c r="E15" s="495">
        <v>241853</v>
      </c>
      <c r="F15" s="496">
        <v>251985</v>
      </c>
      <c r="G15" s="497">
        <v>251985</v>
      </c>
      <c r="H15" s="495">
        <v>7100</v>
      </c>
      <c r="I15" s="496">
        <v>7493</v>
      </c>
      <c r="J15" s="497">
        <v>7493</v>
      </c>
      <c r="K15" s="495">
        <v>103212</v>
      </c>
      <c r="L15" s="496">
        <v>154355</v>
      </c>
      <c r="M15" s="497">
        <v>158653.15</v>
      </c>
      <c r="N15" s="495">
        <f>17416</f>
        <v>17416</v>
      </c>
      <c r="O15" s="496">
        <v>26347</v>
      </c>
      <c r="P15" s="497">
        <v>25235.46548</v>
      </c>
      <c r="Q15" s="495"/>
      <c r="R15" s="496"/>
      <c r="S15" s="497"/>
      <c r="T15" s="495">
        <v>1089746</v>
      </c>
      <c r="U15" s="496">
        <v>1204632</v>
      </c>
      <c r="V15" s="497">
        <v>1207860.35548</v>
      </c>
      <c r="Y15" s="493"/>
      <c r="Z15" s="494"/>
      <c r="AA15" s="494"/>
      <c r="AB15" s="494"/>
    </row>
    <row r="16" spans="1:28" s="492" customFormat="1" ht="34.5" customHeight="1">
      <c r="A16" s="881" t="s">
        <v>302</v>
      </c>
      <c r="B16" s="495">
        <v>493357</v>
      </c>
      <c r="C16" s="496">
        <v>521053</v>
      </c>
      <c r="D16" s="497">
        <v>521053</v>
      </c>
      <c r="E16" s="495">
        <v>165671</v>
      </c>
      <c r="F16" s="496">
        <v>173035</v>
      </c>
      <c r="G16" s="497">
        <v>172645</v>
      </c>
      <c r="H16" s="495">
        <v>4863</v>
      </c>
      <c r="I16" s="496">
        <v>5130</v>
      </c>
      <c r="J16" s="497">
        <v>5130</v>
      </c>
      <c r="K16" s="495">
        <v>66568</v>
      </c>
      <c r="L16" s="496">
        <v>94151</v>
      </c>
      <c r="M16" s="497">
        <v>94459.62</v>
      </c>
      <c r="N16" s="495">
        <f>49398-8734</f>
        <v>40664</v>
      </c>
      <c r="O16" s="496">
        <v>42500</v>
      </c>
      <c r="P16" s="497">
        <v>28721.284</v>
      </c>
      <c r="Q16" s="495"/>
      <c r="R16" s="496"/>
      <c r="S16" s="497"/>
      <c r="T16" s="495">
        <v>771123</v>
      </c>
      <c r="U16" s="496">
        <v>835869</v>
      </c>
      <c r="V16" s="497">
        <v>822008.904</v>
      </c>
      <c r="Y16" s="493"/>
      <c r="Z16" s="494"/>
      <c r="AA16" s="494"/>
      <c r="AB16" s="494"/>
    </row>
    <row r="17" spans="1:28" s="492" customFormat="1" ht="34.5" customHeight="1">
      <c r="A17" s="881" t="s">
        <v>303</v>
      </c>
      <c r="B17" s="495">
        <v>481379</v>
      </c>
      <c r="C17" s="496">
        <v>504324</v>
      </c>
      <c r="D17" s="497">
        <v>504296</v>
      </c>
      <c r="E17" s="495">
        <v>161637</v>
      </c>
      <c r="F17" s="496">
        <v>167634</v>
      </c>
      <c r="G17" s="497">
        <v>166334</v>
      </c>
      <c r="H17" s="495">
        <v>4744</v>
      </c>
      <c r="I17" s="496">
        <v>4960</v>
      </c>
      <c r="J17" s="497">
        <v>4960</v>
      </c>
      <c r="K17" s="495">
        <v>47783</v>
      </c>
      <c r="L17" s="496">
        <v>79284</v>
      </c>
      <c r="M17" s="497">
        <v>79593.99</v>
      </c>
      <c r="N17" s="495">
        <f>20629-4000</f>
        <v>16629</v>
      </c>
      <c r="O17" s="496">
        <v>11907</v>
      </c>
      <c r="P17" s="497">
        <v>10033.429</v>
      </c>
      <c r="Q17" s="495"/>
      <c r="R17" s="496"/>
      <c r="S17" s="497"/>
      <c r="T17" s="495">
        <v>712172</v>
      </c>
      <c r="U17" s="496">
        <v>768109</v>
      </c>
      <c r="V17" s="497">
        <v>765217.419</v>
      </c>
      <c r="Y17" s="493"/>
      <c r="Z17" s="494"/>
      <c r="AA17" s="494"/>
      <c r="AB17" s="494"/>
    </row>
    <row r="18" spans="1:28" s="492" customFormat="1" ht="34.5" customHeight="1">
      <c r="A18" s="881" t="s">
        <v>304</v>
      </c>
      <c r="B18" s="495">
        <v>1420029</v>
      </c>
      <c r="C18" s="496">
        <v>1464634</v>
      </c>
      <c r="D18" s="497">
        <v>1464629.96</v>
      </c>
      <c r="E18" s="495">
        <v>476642</v>
      </c>
      <c r="F18" s="496">
        <v>482620</v>
      </c>
      <c r="G18" s="497">
        <v>482028.26</v>
      </c>
      <c r="H18" s="495">
        <v>14002</v>
      </c>
      <c r="I18" s="496">
        <v>14430</v>
      </c>
      <c r="J18" s="497">
        <v>14430</v>
      </c>
      <c r="K18" s="495">
        <v>157829</v>
      </c>
      <c r="L18" s="496">
        <v>235335</v>
      </c>
      <c r="M18" s="497">
        <v>251776.02</v>
      </c>
      <c r="N18" s="495">
        <v>73543</v>
      </c>
      <c r="O18" s="496">
        <v>48123</v>
      </c>
      <c r="P18" s="497">
        <v>27080.908330000002</v>
      </c>
      <c r="Q18" s="495"/>
      <c r="R18" s="496"/>
      <c r="S18" s="497"/>
      <c r="T18" s="495">
        <v>2142045</v>
      </c>
      <c r="U18" s="496">
        <v>2245142</v>
      </c>
      <c r="V18" s="497">
        <v>2239945.14833</v>
      </c>
      <c r="Y18" s="493"/>
      <c r="Z18" s="494"/>
      <c r="AA18" s="494"/>
      <c r="AB18" s="494"/>
    </row>
    <row r="19" spans="1:28" s="501" customFormat="1" ht="34.5" customHeight="1">
      <c r="A19" s="881" t="s">
        <v>305</v>
      </c>
      <c r="B19" s="498">
        <v>503762</v>
      </c>
      <c r="C19" s="499">
        <v>518046</v>
      </c>
      <c r="D19" s="500">
        <f>518061.96-15.96</f>
        <v>518046</v>
      </c>
      <c r="E19" s="498">
        <v>169223</v>
      </c>
      <c r="F19" s="499">
        <v>171505</v>
      </c>
      <c r="G19" s="500">
        <v>171450</v>
      </c>
      <c r="H19" s="498">
        <v>4973</v>
      </c>
      <c r="I19" s="499">
        <v>5108</v>
      </c>
      <c r="J19" s="500">
        <v>5108</v>
      </c>
      <c r="K19" s="498">
        <v>57092</v>
      </c>
      <c r="L19" s="499">
        <v>79635</v>
      </c>
      <c r="M19" s="500">
        <v>81423.78</v>
      </c>
      <c r="N19" s="498">
        <f>42617-2000</f>
        <v>40617</v>
      </c>
      <c r="O19" s="499">
        <v>32511</v>
      </c>
      <c r="P19" s="500">
        <v>19801.456</v>
      </c>
      <c r="Q19" s="498"/>
      <c r="R19" s="499"/>
      <c r="S19" s="500"/>
      <c r="T19" s="498">
        <v>775667</v>
      </c>
      <c r="U19" s="499">
        <v>806805</v>
      </c>
      <c r="V19" s="500">
        <v>795829.236</v>
      </c>
      <c r="Y19" s="502"/>
      <c r="Z19" s="494"/>
      <c r="AA19" s="494"/>
      <c r="AB19" s="494"/>
    </row>
    <row r="20" spans="1:28" s="492" customFormat="1" ht="34.5" customHeight="1">
      <c r="A20" s="881" t="s">
        <v>306</v>
      </c>
      <c r="B20" s="495">
        <v>682704</v>
      </c>
      <c r="C20" s="496">
        <v>717858</v>
      </c>
      <c r="D20" s="497">
        <v>717843.6</v>
      </c>
      <c r="E20" s="495">
        <v>228941</v>
      </c>
      <c r="F20" s="496">
        <v>237932</v>
      </c>
      <c r="G20" s="497">
        <v>237932</v>
      </c>
      <c r="H20" s="495">
        <v>6729</v>
      </c>
      <c r="I20" s="496">
        <v>7081</v>
      </c>
      <c r="J20" s="497">
        <v>7081</v>
      </c>
      <c r="K20" s="495">
        <v>96339</v>
      </c>
      <c r="L20" s="496">
        <v>144571</v>
      </c>
      <c r="M20" s="497">
        <v>144580.59</v>
      </c>
      <c r="N20" s="495">
        <v>9757</v>
      </c>
      <c r="O20" s="496">
        <v>10820</v>
      </c>
      <c r="P20" s="497">
        <v>9320.286</v>
      </c>
      <c r="Q20" s="495"/>
      <c r="R20" s="496"/>
      <c r="S20" s="497"/>
      <c r="T20" s="495">
        <v>1024470</v>
      </c>
      <c r="U20" s="496">
        <v>1118262</v>
      </c>
      <c r="V20" s="497">
        <v>1116757.476</v>
      </c>
      <c r="Y20" s="493"/>
      <c r="Z20" s="494"/>
      <c r="AA20" s="494"/>
      <c r="AB20" s="494"/>
    </row>
    <row r="21" spans="1:28" s="492" customFormat="1" ht="34.5" customHeight="1">
      <c r="A21" s="881" t="s">
        <v>307</v>
      </c>
      <c r="B21" s="495">
        <v>1583415</v>
      </c>
      <c r="C21" s="496">
        <v>1648981</v>
      </c>
      <c r="D21" s="497">
        <v>1649030.99</v>
      </c>
      <c r="E21" s="495">
        <v>532000</v>
      </c>
      <c r="F21" s="496">
        <v>541676</v>
      </c>
      <c r="G21" s="497">
        <v>541693.02</v>
      </c>
      <c r="H21" s="495">
        <v>15640</v>
      </c>
      <c r="I21" s="496">
        <v>16268</v>
      </c>
      <c r="J21" s="497">
        <v>16268</v>
      </c>
      <c r="K21" s="495">
        <v>218746</v>
      </c>
      <c r="L21" s="496">
        <v>305384</v>
      </c>
      <c r="M21" s="497">
        <v>313348</v>
      </c>
      <c r="N21" s="495">
        <f>55198-600</f>
        <v>54598</v>
      </c>
      <c r="O21" s="496">
        <v>56828</v>
      </c>
      <c r="P21" s="497">
        <v>48128.608009999996</v>
      </c>
      <c r="Q21" s="495"/>
      <c r="R21" s="496"/>
      <c r="S21" s="497"/>
      <c r="T21" s="495">
        <v>2404399</v>
      </c>
      <c r="U21" s="496">
        <v>2569137</v>
      </c>
      <c r="V21" s="497">
        <v>2568468.61801</v>
      </c>
      <c r="Y21" s="493"/>
      <c r="Z21" s="494"/>
      <c r="AA21" s="494"/>
      <c r="AB21" s="494"/>
    </row>
    <row r="22" spans="1:28" s="492" customFormat="1" ht="34.5" customHeight="1">
      <c r="A22" s="881" t="s">
        <v>308</v>
      </c>
      <c r="B22" s="495">
        <v>19271</v>
      </c>
      <c r="C22" s="496">
        <v>0</v>
      </c>
      <c r="D22" s="497">
        <v>0</v>
      </c>
      <c r="E22" s="495">
        <v>270</v>
      </c>
      <c r="F22" s="496">
        <v>0</v>
      </c>
      <c r="G22" s="497">
        <v>0</v>
      </c>
      <c r="H22" s="495"/>
      <c r="I22" s="496"/>
      <c r="J22" s="497"/>
      <c r="K22" s="495"/>
      <c r="L22" s="496"/>
      <c r="M22" s="497"/>
      <c r="N22" s="495"/>
      <c r="O22" s="496"/>
      <c r="P22" s="497"/>
      <c r="Q22" s="495"/>
      <c r="R22" s="496"/>
      <c r="S22" s="497"/>
      <c r="T22" s="495">
        <v>19541</v>
      </c>
      <c r="U22" s="496">
        <v>0</v>
      </c>
      <c r="V22" s="497">
        <v>0</v>
      </c>
      <c r="Y22" s="493"/>
      <c r="Z22" s="494"/>
      <c r="AA22" s="494"/>
      <c r="AB22" s="494"/>
    </row>
    <row r="23" spans="1:28" s="506" customFormat="1" ht="34.5" customHeight="1">
      <c r="A23" s="882" t="s">
        <v>309</v>
      </c>
      <c r="B23" s="503">
        <f aca="true" t="shared" si="0" ref="B23:V23">SUM(B8:B22)</f>
        <v>14187035</v>
      </c>
      <c r="C23" s="504">
        <f t="shared" si="0"/>
        <v>15098034</v>
      </c>
      <c r="D23" s="505">
        <f t="shared" si="0"/>
        <v>14972898.57</v>
      </c>
      <c r="E23" s="503">
        <f t="shared" si="0"/>
        <v>4757378</v>
      </c>
      <c r="F23" s="504">
        <f t="shared" si="0"/>
        <v>4969269</v>
      </c>
      <c r="G23" s="505">
        <f t="shared" si="0"/>
        <v>4933161.279999999</v>
      </c>
      <c r="H23" s="503">
        <f t="shared" si="0"/>
        <v>139793</v>
      </c>
      <c r="I23" s="504">
        <f t="shared" si="0"/>
        <v>148357</v>
      </c>
      <c r="J23" s="505">
        <f t="shared" si="0"/>
        <v>147431.15</v>
      </c>
      <c r="K23" s="503">
        <f t="shared" si="0"/>
        <v>1848582</v>
      </c>
      <c r="L23" s="504">
        <f t="shared" si="0"/>
        <v>2639021</v>
      </c>
      <c r="M23" s="505">
        <f t="shared" si="0"/>
        <v>2672939.1499999994</v>
      </c>
      <c r="N23" s="503">
        <f t="shared" si="0"/>
        <v>601283</v>
      </c>
      <c r="O23" s="504">
        <f t="shared" si="0"/>
        <v>668252</v>
      </c>
      <c r="P23" s="505">
        <f t="shared" si="0"/>
        <v>531797.69741</v>
      </c>
      <c r="Q23" s="503">
        <f t="shared" si="0"/>
        <v>0</v>
      </c>
      <c r="R23" s="504">
        <f t="shared" si="0"/>
        <v>0</v>
      </c>
      <c r="S23" s="505">
        <f t="shared" si="0"/>
        <v>0</v>
      </c>
      <c r="T23" s="503">
        <f t="shared" si="0"/>
        <v>21534071</v>
      </c>
      <c r="U23" s="504">
        <f t="shared" si="0"/>
        <v>23522933</v>
      </c>
      <c r="V23" s="505">
        <f t="shared" si="0"/>
        <v>23258227.847409997</v>
      </c>
      <c r="Y23" s="507"/>
      <c r="Z23" s="494"/>
      <c r="AA23" s="494"/>
      <c r="AB23" s="494"/>
    </row>
    <row r="24" spans="1:28" s="501" customFormat="1" ht="34.5" customHeight="1" thickBot="1">
      <c r="A24" s="881" t="s">
        <v>433</v>
      </c>
      <c r="B24" s="498">
        <f>3904742+51264</f>
        <v>3956006</v>
      </c>
      <c r="C24" s="499">
        <v>2643603</v>
      </c>
      <c r="D24" s="500">
        <v>2663282.1</v>
      </c>
      <c r="E24" s="498">
        <f>1297634+8728</f>
        <v>1306362</v>
      </c>
      <c r="F24" s="499">
        <v>856984</v>
      </c>
      <c r="G24" s="500">
        <v>855972.5</v>
      </c>
      <c r="H24" s="498">
        <v>38215</v>
      </c>
      <c r="I24" s="499">
        <v>25736</v>
      </c>
      <c r="J24" s="500">
        <v>25766</v>
      </c>
      <c r="K24" s="498">
        <v>1460232</v>
      </c>
      <c r="L24" s="499">
        <v>1158194</v>
      </c>
      <c r="M24" s="500">
        <f>1202068.25-1</f>
        <v>1202067.25</v>
      </c>
      <c r="N24" s="498">
        <f>302437-34000</f>
        <v>268437</v>
      </c>
      <c r="O24" s="499">
        <v>290175</v>
      </c>
      <c r="P24" s="500">
        <f>212514.5744+3</f>
        <v>212517.5744</v>
      </c>
      <c r="Q24" s="498">
        <v>43228</v>
      </c>
      <c r="R24" s="499">
        <v>33824</v>
      </c>
      <c r="S24" s="500">
        <v>32841.74</v>
      </c>
      <c r="T24" s="498">
        <f>7012488+59992</f>
        <v>7072480</v>
      </c>
      <c r="U24" s="499">
        <v>5007558</v>
      </c>
      <c r="V24" s="500">
        <f>4991882.1644+2</f>
        <v>4991884.1644</v>
      </c>
      <c r="W24" s="492"/>
      <c r="X24" s="492"/>
      <c r="Y24" s="493"/>
      <c r="Z24" s="494"/>
      <c r="AA24" s="494"/>
      <c r="AB24" s="494"/>
    </row>
    <row r="25" spans="1:25" s="886" customFormat="1" ht="33" customHeight="1" thickBot="1">
      <c r="A25" s="893" t="s">
        <v>323</v>
      </c>
      <c r="B25" s="883">
        <f aca="true" t="shared" si="1" ref="B25:V25">SUM(B23:B24)</f>
        <v>18143041</v>
      </c>
      <c r="C25" s="884">
        <f t="shared" si="1"/>
        <v>17741637</v>
      </c>
      <c r="D25" s="885">
        <f t="shared" si="1"/>
        <v>17636180.67</v>
      </c>
      <c r="E25" s="883">
        <f t="shared" si="1"/>
        <v>6063740</v>
      </c>
      <c r="F25" s="884">
        <f t="shared" si="1"/>
        <v>5826253</v>
      </c>
      <c r="G25" s="885">
        <f t="shared" si="1"/>
        <v>5789133.779999999</v>
      </c>
      <c r="H25" s="883">
        <f t="shared" si="1"/>
        <v>178008</v>
      </c>
      <c r="I25" s="884">
        <f t="shared" si="1"/>
        <v>174093</v>
      </c>
      <c r="J25" s="885">
        <f t="shared" si="1"/>
        <v>173197.15</v>
      </c>
      <c r="K25" s="883">
        <f t="shared" si="1"/>
        <v>3308814</v>
      </c>
      <c r="L25" s="884">
        <f t="shared" si="1"/>
        <v>3797215</v>
      </c>
      <c r="M25" s="885">
        <f t="shared" si="1"/>
        <v>3875006.3999999994</v>
      </c>
      <c r="N25" s="883">
        <f t="shared" si="1"/>
        <v>869720</v>
      </c>
      <c r="O25" s="884">
        <f t="shared" si="1"/>
        <v>958427</v>
      </c>
      <c r="P25" s="885">
        <f t="shared" si="1"/>
        <v>744315.2718100001</v>
      </c>
      <c r="Q25" s="883">
        <f t="shared" si="1"/>
        <v>43228</v>
      </c>
      <c r="R25" s="884">
        <f t="shared" si="1"/>
        <v>33824</v>
      </c>
      <c r="S25" s="885">
        <f t="shared" si="1"/>
        <v>32841.74</v>
      </c>
      <c r="T25" s="883">
        <f t="shared" si="1"/>
        <v>28606551</v>
      </c>
      <c r="U25" s="884">
        <f t="shared" si="1"/>
        <v>28530491</v>
      </c>
      <c r="V25" s="885">
        <f t="shared" si="1"/>
        <v>28250112.011809997</v>
      </c>
      <c r="Y25" s="887"/>
    </row>
    <row r="26" spans="1:16" ht="11.25" customHeight="1">
      <c r="A26" s="508"/>
      <c r="B26" s="509"/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09"/>
    </row>
    <row r="27" ht="31.5" customHeight="1"/>
    <row r="28" spans="1:25" s="890" customFormat="1" ht="19.5" customHeight="1">
      <c r="A28" s="890" t="s">
        <v>310</v>
      </c>
      <c r="M28" s="891" t="s">
        <v>322</v>
      </c>
      <c r="P28" s="891"/>
      <c r="Q28" s="891"/>
      <c r="R28" s="891"/>
      <c r="S28" s="891"/>
      <c r="T28" s="995" t="s">
        <v>167</v>
      </c>
      <c r="U28" s="995"/>
      <c r="V28" s="995"/>
      <c r="Y28" s="892"/>
    </row>
    <row r="29" spans="12:16" ht="12.75">
      <c r="L29" s="511"/>
      <c r="N29" s="511"/>
      <c r="O29" s="511"/>
      <c r="P29" s="511"/>
    </row>
    <row r="30" spans="12:16" ht="12.75">
      <c r="L30" s="511"/>
      <c r="N30" s="511"/>
      <c r="O30" s="511"/>
      <c r="P30" s="511"/>
    </row>
    <row r="31" spans="12:16" ht="12.75">
      <c r="L31" s="511"/>
      <c r="N31" s="511"/>
      <c r="O31" s="511"/>
      <c r="P31" s="511"/>
    </row>
    <row r="32" spans="12:16" ht="12.75">
      <c r="L32" s="511"/>
      <c r="N32" s="511"/>
      <c r="O32" s="511"/>
      <c r="P32" s="511"/>
    </row>
    <row r="33" spans="12:16" ht="12.75">
      <c r="L33" s="511"/>
      <c r="N33" s="511"/>
      <c r="O33" s="511"/>
      <c r="P33" s="511"/>
    </row>
    <row r="34" spans="12:16" ht="12.75">
      <c r="L34" s="511"/>
      <c r="N34" s="511"/>
      <c r="O34" s="511"/>
      <c r="P34" s="511"/>
    </row>
    <row r="35" spans="12:16" ht="12.75">
      <c r="L35" s="511"/>
      <c r="N35" s="511"/>
      <c r="O35" s="511"/>
      <c r="P35" s="511"/>
    </row>
    <row r="36" spans="12:16" ht="12.75">
      <c r="L36" s="511"/>
      <c r="N36" s="511"/>
      <c r="O36" s="511"/>
      <c r="P36" s="511"/>
    </row>
    <row r="37" spans="12:16" ht="12.75">
      <c r="L37" s="511"/>
      <c r="N37" s="511"/>
      <c r="O37" s="511"/>
      <c r="P37" s="511"/>
    </row>
    <row r="38" spans="12:16" ht="12.75">
      <c r="L38" s="511"/>
      <c r="M38" s="512"/>
      <c r="N38" s="511"/>
      <c r="O38" s="511"/>
      <c r="P38" s="511"/>
    </row>
    <row r="39" spans="12:16" ht="12.75">
      <c r="L39" s="511"/>
      <c r="N39" s="511"/>
      <c r="O39" s="511"/>
      <c r="P39" s="511"/>
    </row>
  </sheetData>
  <mergeCells count="11">
    <mergeCell ref="T28:V28"/>
    <mergeCell ref="U2:V2"/>
    <mergeCell ref="A4:V4"/>
    <mergeCell ref="A6:A7"/>
    <mergeCell ref="B6:D6"/>
    <mergeCell ref="E6:G6"/>
    <mergeCell ref="H6:J6"/>
    <mergeCell ref="K6:M6"/>
    <mergeCell ref="N6:P6"/>
    <mergeCell ref="Q6:S6"/>
    <mergeCell ref="T6:V6"/>
  </mergeCells>
  <printOptions/>
  <pageMargins left="0.7874015748031497" right="0.7874015748031497" top="0.984251968503937" bottom="0.984251968503937" header="0.5118110236220472" footer="0.3937007874015748"/>
  <pageSetup fitToHeight="1" fitToWidth="1" horizontalDpi="600" verticalDpi="600" orientation="landscape" paperSize="9" scale="39" r:id="rId1"/>
  <headerFooter alignWithMargins="0">
    <oddFooter>&amp;C&amp;20&amp;P+165&amp;18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35"/>
  <sheetViews>
    <sheetView tabSelected="1" workbookViewId="0" topLeftCell="A13">
      <selection activeCell="H13" sqref="H13"/>
    </sheetView>
  </sheetViews>
  <sheetFormatPr defaultColWidth="9.00390625" defaultRowHeight="19.5" customHeight="1"/>
  <cols>
    <col min="1" max="1" width="30.625" style="604" customWidth="1"/>
    <col min="2" max="4" width="9.75390625" style="604" hidden="1" customWidth="1"/>
    <col min="5" max="15" width="9.75390625" style="604" customWidth="1"/>
    <col min="16" max="16" width="10.375" style="604" bestFit="1" customWidth="1"/>
    <col min="17" max="19" width="12.375" style="604" customWidth="1"/>
    <col min="20" max="22" width="9.75390625" style="604" customWidth="1"/>
    <col min="23" max="23" width="11.625" style="604" hidden="1" customWidth="1"/>
    <col min="24" max="24" width="11.125" style="604" bestFit="1" customWidth="1"/>
    <col min="25" max="25" width="12.125" style="604" customWidth="1"/>
    <col min="26" max="26" width="11.875" style="604" customWidth="1"/>
    <col min="27" max="27" width="3.625" style="604" customWidth="1"/>
    <col min="28" max="16384" width="9.125" style="604" customWidth="1"/>
  </cols>
  <sheetData>
    <row r="1" ht="12.75" customHeight="1"/>
    <row r="2" ht="12.75" customHeight="1"/>
    <row r="3" spans="1:26" s="617" customFormat="1" ht="18" customHeight="1">
      <c r="A3" s="616" t="s">
        <v>178</v>
      </c>
      <c r="Y3" s="996" t="s">
        <v>437</v>
      </c>
      <c r="Z3" s="996"/>
    </row>
    <row r="4" spans="1:26" s="617" customFormat="1" ht="18" customHeight="1">
      <c r="A4" s="616"/>
      <c r="Y4" s="618"/>
      <c r="Z4" s="618"/>
    </row>
    <row r="5" spans="1:26" ht="19.5" customHeight="1">
      <c r="A5" s="999" t="s">
        <v>324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</row>
    <row r="6" ht="20.25" customHeight="1"/>
    <row r="7" spans="1:27" s="606" customFormat="1" ht="12.75" customHeight="1" thickBot="1">
      <c r="A7" s="605"/>
      <c r="B7" s="605"/>
      <c r="C7" s="605"/>
      <c r="D7" s="605"/>
      <c r="Q7" s="607"/>
      <c r="R7" s="607"/>
      <c r="S7" s="607"/>
      <c r="T7" s="607"/>
      <c r="U7" s="607"/>
      <c r="V7" s="608"/>
      <c r="W7" s="608"/>
      <c r="X7" s="607"/>
      <c r="Y7" s="607"/>
      <c r="Z7" s="608" t="s">
        <v>92</v>
      </c>
      <c r="AA7" s="607"/>
    </row>
    <row r="8" spans="1:27" ht="26.25" customHeight="1" thickBot="1">
      <c r="A8" s="619"/>
      <c r="B8" s="1000" t="s">
        <v>325</v>
      </c>
      <c r="C8" s="1001"/>
      <c r="D8" s="1002"/>
      <c r="E8" s="1003" t="s">
        <v>326</v>
      </c>
      <c r="F8" s="1004"/>
      <c r="G8" s="1005"/>
      <c r="H8" s="622"/>
      <c r="I8" s="623" t="s">
        <v>266</v>
      </c>
      <c r="J8" s="624"/>
      <c r="K8" s="622"/>
      <c r="L8" s="621" t="s">
        <v>144</v>
      </c>
      <c r="M8" s="624"/>
      <c r="N8" s="622"/>
      <c r="O8" s="621" t="s">
        <v>267</v>
      </c>
      <c r="P8" s="624"/>
      <c r="Q8" s="1003" t="s">
        <v>314</v>
      </c>
      <c r="R8" s="1004"/>
      <c r="S8" s="1005"/>
      <c r="T8" s="1003" t="s">
        <v>268</v>
      </c>
      <c r="U8" s="1004"/>
      <c r="V8" s="1005"/>
      <c r="W8" s="623" t="s">
        <v>315</v>
      </c>
      <c r="X8" s="620"/>
      <c r="Y8" s="621" t="s">
        <v>316</v>
      </c>
      <c r="Z8" s="625"/>
      <c r="AA8" s="626"/>
    </row>
    <row r="9" spans="1:27" ht="26.25" customHeight="1" thickBot="1">
      <c r="A9" s="627" t="s">
        <v>180</v>
      </c>
      <c r="B9" s="627" t="s">
        <v>270</v>
      </c>
      <c r="C9" s="628" t="s">
        <v>182</v>
      </c>
      <c r="D9" s="629" t="s">
        <v>271</v>
      </c>
      <c r="E9" s="627" t="s">
        <v>270</v>
      </c>
      <c r="F9" s="628" t="s">
        <v>182</v>
      </c>
      <c r="G9" s="630" t="s">
        <v>271</v>
      </c>
      <c r="H9" s="627" t="s">
        <v>270</v>
      </c>
      <c r="I9" s="628" t="s">
        <v>182</v>
      </c>
      <c r="J9" s="630" t="s">
        <v>271</v>
      </c>
      <c r="K9" s="627" t="s">
        <v>270</v>
      </c>
      <c r="L9" s="628" t="s">
        <v>182</v>
      </c>
      <c r="M9" s="630" t="s">
        <v>271</v>
      </c>
      <c r="N9" s="627" t="s">
        <v>270</v>
      </c>
      <c r="O9" s="628" t="s">
        <v>182</v>
      </c>
      <c r="P9" s="630" t="s">
        <v>271</v>
      </c>
      <c r="Q9" s="627" t="s">
        <v>270</v>
      </c>
      <c r="R9" s="628" t="s">
        <v>182</v>
      </c>
      <c r="S9" s="630" t="s">
        <v>271</v>
      </c>
      <c r="T9" s="631" t="s">
        <v>270</v>
      </c>
      <c r="U9" s="632" t="s">
        <v>182</v>
      </c>
      <c r="V9" s="630" t="s">
        <v>271</v>
      </c>
      <c r="W9" s="633" t="s">
        <v>317</v>
      </c>
      <c r="X9" s="631" t="s">
        <v>270</v>
      </c>
      <c r="Y9" s="632" t="s">
        <v>182</v>
      </c>
      <c r="Z9" s="630" t="s">
        <v>271</v>
      </c>
      <c r="AA9" s="626"/>
    </row>
    <row r="10" spans="1:27" s="606" customFormat="1" ht="26.25" customHeight="1">
      <c r="A10" s="634" t="s">
        <v>198</v>
      </c>
      <c r="B10" s="635">
        <v>850</v>
      </c>
      <c r="C10" s="636">
        <v>1449</v>
      </c>
      <c r="D10" s="637">
        <v>1464.529</v>
      </c>
      <c r="E10" s="619">
        <f>113184</f>
        <v>113184</v>
      </c>
      <c r="F10" s="638">
        <f>114723-712</f>
        <v>114011</v>
      </c>
      <c r="G10" s="625">
        <f>112234.2491+1948.605</f>
        <v>114182.8541</v>
      </c>
      <c r="H10" s="619">
        <v>38045</v>
      </c>
      <c r="I10" s="639">
        <f>38284-94</f>
        <v>38190</v>
      </c>
      <c r="J10" s="625">
        <v>38188.2229999999</v>
      </c>
      <c r="K10" s="640">
        <v>1118</v>
      </c>
      <c r="L10" s="641">
        <v>1121</v>
      </c>
      <c r="M10" s="642">
        <v>1121</v>
      </c>
      <c r="N10" s="640">
        <v>40000</v>
      </c>
      <c r="O10" s="642">
        <f>47781-6865</f>
        <v>40916</v>
      </c>
      <c r="P10" s="643">
        <f>42121.07757-M10</f>
        <v>41000.07757</v>
      </c>
      <c r="Q10" s="642">
        <v>0</v>
      </c>
      <c r="R10" s="638">
        <f>6487-90</f>
        <v>6397</v>
      </c>
      <c r="S10" s="625">
        <v>7701.78343</v>
      </c>
      <c r="T10" s="644"/>
      <c r="U10" s="645"/>
      <c r="V10" s="646"/>
      <c r="W10" s="647"/>
      <c r="X10" s="648">
        <f aca="true" t="shared" si="0" ref="X10:Y15">T10+Q10+N10+K10+H10+E10</f>
        <v>192347</v>
      </c>
      <c r="Y10" s="649">
        <f t="shared" si="0"/>
        <v>200635</v>
      </c>
      <c r="Z10" s="650">
        <f aca="true" t="shared" si="1" ref="Z10:Z15">G10+J10+M10+P10+S10+V10+W10</f>
        <v>202193.9380999999</v>
      </c>
      <c r="AA10" s="607"/>
    </row>
    <row r="11" spans="1:27" s="606" customFormat="1" ht="26.25" customHeight="1">
      <c r="A11" s="634" t="s">
        <v>185</v>
      </c>
      <c r="B11" s="634">
        <v>1150</v>
      </c>
      <c r="C11" s="639">
        <v>1150</v>
      </c>
      <c r="D11" s="651">
        <v>670.15</v>
      </c>
      <c r="E11" s="652">
        <v>79639</v>
      </c>
      <c r="F11" s="653">
        <v>79639</v>
      </c>
      <c r="G11" s="654">
        <v>79261.72474</v>
      </c>
      <c r="H11" s="655">
        <v>26453</v>
      </c>
      <c r="I11" s="656">
        <v>26323</v>
      </c>
      <c r="J11" s="657">
        <v>26280</v>
      </c>
      <c r="K11" s="655">
        <v>778</v>
      </c>
      <c r="L11" s="658">
        <v>778</v>
      </c>
      <c r="M11" s="659">
        <v>778</v>
      </c>
      <c r="N11" s="655">
        <v>29500</v>
      </c>
      <c r="O11" s="660">
        <v>30286</v>
      </c>
      <c r="P11" s="657">
        <f>31789.49823-M11</f>
        <v>31011.49823</v>
      </c>
      <c r="Q11" s="660">
        <v>0</v>
      </c>
      <c r="R11" s="653">
        <v>922</v>
      </c>
      <c r="S11" s="654">
        <v>7157.5</v>
      </c>
      <c r="T11" s="655"/>
      <c r="U11" s="658"/>
      <c r="V11" s="654"/>
      <c r="W11" s="661"/>
      <c r="X11" s="655">
        <f t="shared" si="0"/>
        <v>136370</v>
      </c>
      <c r="Y11" s="658">
        <f t="shared" si="0"/>
        <v>137948</v>
      </c>
      <c r="Z11" s="657">
        <f t="shared" si="1"/>
        <v>144488.72297</v>
      </c>
      <c r="AA11" s="607"/>
    </row>
    <row r="12" spans="1:27" s="606" customFormat="1" ht="26.25" customHeight="1">
      <c r="A12" s="652" t="s">
        <v>186</v>
      </c>
      <c r="B12" s="662">
        <v>2360</v>
      </c>
      <c r="C12" s="663">
        <v>2360</v>
      </c>
      <c r="D12" s="646">
        <v>2022.921</v>
      </c>
      <c r="E12" s="662">
        <v>97556</v>
      </c>
      <c r="F12" s="663">
        <v>90990</v>
      </c>
      <c r="G12" s="646">
        <v>90904</v>
      </c>
      <c r="H12" s="655">
        <v>32535</v>
      </c>
      <c r="I12" s="664">
        <v>30031</v>
      </c>
      <c r="J12" s="657">
        <v>29912</v>
      </c>
      <c r="K12" s="655">
        <v>956</v>
      </c>
      <c r="L12" s="645">
        <v>889</v>
      </c>
      <c r="M12" s="664">
        <v>888</v>
      </c>
      <c r="N12" s="644">
        <v>38561</v>
      </c>
      <c r="O12" s="645">
        <v>40452</v>
      </c>
      <c r="P12" s="646">
        <f>41348.3-M12</f>
        <v>40460.3</v>
      </c>
      <c r="Q12" s="660">
        <v>0</v>
      </c>
      <c r="R12" s="663">
        <v>0</v>
      </c>
      <c r="S12" s="646">
        <v>0</v>
      </c>
      <c r="T12" s="655"/>
      <c r="U12" s="645"/>
      <c r="V12" s="646"/>
      <c r="W12" s="665"/>
      <c r="X12" s="655">
        <f t="shared" si="0"/>
        <v>169608</v>
      </c>
      <c r="Y12" s="658">
        <f t="shared" si="0"/>
        <v>162362</v>
      </c>
      <c r="Z12" s="657">
        <f t="shared" si="1"/>
        <v>162164.3</v>
      </c>
      <c r="AA12" s="607"/>
    </row>
    <row r="13" spans="1:27" s="606" customFormat="1" ht="26.25" customHeight="1">
      <c r="A13" s="652" t="s">
        <v>187</v>
      </c>
      <c r="B13" s="652">
        <v>303</v>
      </c>
      <c r="C13" s="653">
        <v>333</v>
      </c>
      <c r="D13" s="654">
        <v>58.233</v>
      </c>
      <c r="E13" s="652">
        <v>29952</v>
      </c>
      <c r="F13" s="653">
        <v>29952</v>
      </c>
      <c r="G13" s="654">
        <v>29887</v>
      </c>
      <c r="H13" s="655">
        <v>10052</v>
      </c>
      <c r="I13" s="660">
        <v>10052</v>
      </c>
      <c r="J13" s="657">
        <v>10045</v>
      </c>
      <c r="K13" s="655">
        <v>295</v>
      </c>
      <c r="L13" s="658">
        <v>295</v>
      </c>
      <c r="M13" s="659">
        <v>295</v>
      </c>
      <c r="N13" s="655">
        <v>12800</v>
      </c>
      <c r="O13" s="660">
        <v>12780</v>
      </c>
      <c r="P13" s="657">
        <f>13056.3-M13</f>
        <v>12761.3</v>
      </c>
      <c r="Q13" s="660">
        <v>0</v>
      </c>
      <c r="R13" s="653">
        <v>0</v>
      </c>
      <c r="S13" s="654">
        <v>0</v>
      </c>
      <c r="T13" s="655"/>
      <c r="U13" s="658"/>
      <c r="V13" s="654"/>
      <c r="W13" s="661"/>
      <c r="X13" s="655">
        <f t="shared" si="0"/>
        <v>53099</v>
      </c>
      <c r="Y13" s="658">
        <f t="shared" si="0"/>
        <v>53079</v>
      </c>
      <c r="Z13" s="657">
        <f t="shared" si="1"/>
        <v>52988.3</v>
      </c>
      <c r="AA13" s="607"/>
    </row>
    <row r="14" spans="1:27" s="606" customFormat="1" ht="26.25" customHeight="1">
      <c r="A14" s="652" t="s">
        <v>188</v>
      </c>
      <c r="B14" s="662">
        <v>415</v>
      </c>
      <c r="C14" s="663">
        <v>1008</v>
      </c>
      <c r="D14" s="646">
        <v>999.08</v>
      </c>
      <c r="E14" s="662">
        <v>33180</v>
      </c>
      <c r="F14" s="663">
        <v>34470</v>
      </c>
      <c r="G14" s="646">
        <v>34234</v>
      </c>
      <c r="H14" s="655">
        <v>11107</v>
      </c>
      <c r="I14" s="664">
        <v>11455</v>
      </c>
      <c r="J14" s="657">
        <v>11412</v>
      </c>
      <c r="K14" s="655">
        <v>327</v>
      </c>
      <c r="L14" s="645">
        <v>337</v>
      </c>
      <c r="M14" s="664">
        <v>336</v>
      </c>
      <c r="N14" s="655">
        <v>9611</v>
      </c>
      <c r="O14" s="653">
        <v>10425</v>
      </c>
      <c r="P14" s="657">
        <f>10114.9-M14</f>
        <v>9778.9</v>
      </c>
      <c r="Q14" s="660">
        <v>5000</v>
      </c>
      <c r="R14" s="663">
        <v>5046</v>
      </c>
      <c r="S14" s="646">
        <v>5045.2</v>
      </c>
      <c r="T14" s="655"/>
      <c r="U14" s="645"/>
      <c r="V14" s="646"/>
      <c r="W14" s="665"/>
      <c r="X14" s="655">
        <f t="shared" si="0"/>
        <v>59225</v>
      </c>
      <c r="Y14" s="658">
        <f t="shared" si="0"/>
        <v>61733</v>
      </c>
      <c r="Z14" s="657">
        <f t="shared" si="1"/>
        <v>60806.1</v>
      </c>
      <c r="AA14" s="607"/>
    </row>
    <row r="15" spans="1:27" s="606" customFormat="1" ht="26.25" customHeight="1">
      <c r="A15" s="652" t="s">
        <v>327</v>
      </c>
      <c r="B15" s="652"/>
      <c r="C15" s="653">
        <v>144</v>
      </c>
      <c r="D15" s="654">
        <v>153.806</v>
      </c>
      <c r="E15" s="652">
        <v>13792</v>
      </c>
      <c r="F15" s="653">
        <v>14444</v>
      </c>
      <c r="G15" s="654">
        <v>14426</v>
      </c>
      <c r="H15" s="655">
        <v>4621</v>
      </c>
      <c r="I15" s="660">
        <v>4856</v>
      </c>
      <c r="J15" s="657">
        <v>4854</v>
      </c>
      <c r="K15" s="655">
        <v>136</v>
      </c>
      <c r="L15" s="658">
        <v>143</v>
      </c>
      <c r="M15" s="659">
        <v>142</v>
      </c>
      <c r="N15" s="655">
        <v>2900</v>
      </c>
      <c r="O15" s="653">
        <v>2768</v>
      </c>
      <c r="P15" s="657">
        <f>2939.1-M15</f>
        <v>2797.1</v>
      </c>
      <c r="Q15" s="660">
        <v>0</v>
      </c>
      <c r="R15" s="653">
        <v>880</v>
      </c>
      <c r="S15" s="654">
        <v>0</v>
      </c>
      <c r="T15" s="655"/>
      <c r="U15" s="658"/>
      <c r="V15" s="654"/>
      <c r="W15" s="661"/>
      <c r="X15" s="655">
        <f t="shared" si="0"/>
        <v>21449</v>
      </c>
      <c r="Y15" s="658">
        <f t="shared" si="0"/>
        <v>23091</v>
      </c>
      <c r="Z15" s="657">
        <f t="shared" si="1"/>
        <v>22219.1</v>
      </c>
      <c r="AA15" s="607"/>
    </row>
    <row r="16" spans="1:27" s="606" customFormat="1" ht="26.25" customHeight="1" thickBot="1">
      <c r="A16" s="652" t="s">
        <v>70</v>
      </c>
      <c r="B16" s="652">
        <v>500</v>
      </c>
      <c r="C16" s="653">
        <v>958</v>
      </c>
      <c r="D16" s="654">
        <v>870.916</v>
      </c>
      <c r="E16" s="652">
        <v>124904</v>
      </c>
      <c r="F16" s="653">
        <f>113864+12542</f>
        <v>126406</v>
      </c>
      <c r="G16" s="654">
        <v>125489</v>
      </c>
      <c r="H16" s="655">
        <v>41802</v>
      </c>
      <c r="I16" s="660">
        <f>37793+4189</f>
        <v>41982</v>
      </c>
      <c r="J16" s="657">
        <v>41793</v>
      </c>
      <c r="K16" s="655">
        <v>1229</v>
      </c>
      <c r="L16" s="658">
        <v>1229</v>
      </c>
      <c r="M16" s="660">
        <v>1214</v>
      </c>
      <c r="N16" s="666">
        <v>44129</v>
      </c>
      <c r="O16" s="667">
        <v>47840</v>
      </c>
      <c r="P16" s="668">
        <f>54805.2-5808.53573+965-M16</f>
        <v>48747.664269999994</v>
      </c>
      <c r="Q16" s="660">
        <v>0</v>
      </c>
      <c r="R16" s="653">
        <v>1100</v>
      </c>
      <c r="S16" s="654">
        <v>99.984</v>
      </c>
      <c r="T16" s="655">
        <v>4927</v>
      </c>
      <c r="U16" s="658">
        <v>7995</v>
      </c>
      <c r="V16" s="654">
        <v>6659.16773</v>
      </c>
      <c r="W16" s="661"/>
      <c r="X16" s="655">
        <f>T16+Q16+N16+K16+H16+E16</f>
        <v>216991</v>
      </c>
      <c r="Y16" s="658">
        <f>U16+R16+O16+L16+I16+F16-1102</f>
        <v>225450</v>
      </c>
      <c r="Z16" s="657">
        <f>G16+J16+M16+P16+S16+V16+W16-965</f>
        <v>223037.816</v>
      </c>
      <c r="AA16" s="607"/>
    </row>
    <row r="17" spans="1:27" s="606" customFormat="1" ht="26.25" customHeight="1" thickBot="1">
      <c r="A17" s="669" t="s">
        <v>328</v>
      </c>
      <c r="B17" s="670">
        <f aca="true" t="shared" si="2" ref="B17:O17">SUM(B10:B16)</f>
        <v>5578</v>
      </c>
      <c r="C17" s="671">
        <f t="shared" si="2"/>
        <v>7402</v>
      </c>
      <c r="D17" s="672">
        <f t="shared" si="2"/>
        <v>6239.635</v>
      </c>
      <c r="E17" s="670">
        <f t="shared" si="2"/>
        <v>492207</v>
      </c>
      <c r="F17" s="671">
        <f t="shared" si="2"/>
        <v>489912</v>
      </c>
      <c r="G17" s="672">
        <f t="shared" si="2"/>
        <v>488384.57884</v>
      </c>
      <c r="H17" s="670">
        <f t="shared" si="2"/>
        <v>164615</v>
      </c>
      <c r="I17" s="671">
        <f t="shared" si="2"/>
        <v>162889</v>
      </c>
      <c r="J17" s="672">
        <f t="shared" si="2"/>
        <v>162484.2229999999</v>
      </c>
      <c r="K17" s="670">
        <f t="shared" si="2"/>
        <v>4839</v>
      </c>
      <c r="L17" s="671">
        <f t="shared" si="2"/>
        <v>4792</v>
      </c>
      <c r="M17" s="672">
        <f t="shared" si="2"/>
        <v>4774</v>
      </c>
      <c r="N17" s="670">
        <f t="shared" si="2"/>
        <v>177501</v>
      </c>
      <c r="O17" s="671">
        <f t="shared" si="2"/>
        <v>185467</v>
      </c>
      <c r="P17" s="672">
        <f>SUM(P10:P16)-1</f>
        <v>186555.84007000003</v>
      </c>
      <c r="Q17" s="670">
        <f>SUM(Q10:Q16)</f>
        <v>5000</v>
      </c>
      <c r="R17" s="671">
        <f>SUM(R10:R16)</f>
        <v>14345</v>
      </c>
      <c r="S17" s="672">
        <f>SUM(S10:S16)+1</f>
        <v>20005.46743</v>
      </c>
      <c r="T17" s="670">
        <f aca="true" t="shared" si="3" ref="T17:Z17">SUM(T10:T16)</f>
        <v>4927</v>
      </c>
      <c r="U17" s="671">
        <f t="shared" si="3"/>
        <v>7995</v>
      </c>
      <c r="V17" s="672">
        <f t="shared" si="3"/>
        <v>6659.16773</v>
      </c>
      <c r="W17" s="673">
        <f t="shared" si="3"/>
        <v>0</v>
      </c>
      <c r="X17" s="670">
        <f t="shared" si="3"/>
        <v>849089</v>
      </c>
      <c r="Y17" s="671">
        <f t="shared" si="3"/>
        <v>864298</v>
      </c>
      <c r="Z17" s="672">
        <f t="shared" si="3"/>
        <v>867898.2770699998</v>
      </c>
      <c r="AA17" s="609"/>
    </row>
    <row r="18" spans="1:27" s="606" customFormat="1" ht="26.25" customHeight="1" thickBot="1">
      <c r="A18" s="674" t="s">
        <v>329</v>
      </c>
      <c r="B18" s="640"/>
      <c r="C18" s="638"/>
      <c r="D18" s="643"/>
      <c r="E18" s="640">
        <v>6978</v>
      </c>
      <c r="F18" s="638">
        <v>6978</v>
      </c>
      <c r="G18" s="643">
        <v>7089</v>
      </c>
      <c r="H18" s="640">
        <v>2322</v>
      </c>
      <c r="I18" s="638">
        <v>2322</v>
      </c>
      <c r="J18" s="643">
        <v>2320</v>
      </c>
      <c r="K18" s="640">
        <v>68</v>
      </c>
      <c r="L18" s="638">
        <v>68</v>
      </c>
      <c r="M18" s="643">
        <v>68</v>
      </c>
      <c r="N18" s="640">
        <v>4900</v>
      </c>
      <c r="O18" s="638">
        <v>4900</v>
      </c>
      <c r="P18" s="643">
        <f>5033.6-M18</f>
        <v>4965.6</v>
      </c>
      <c r="Q18" s="640">
        <v>0</v>
      </c>
      <c r="R18" s="638">
        <v>0</v>
      </c>
      <c r="S18" s="643">
        <v>0</v>
      </c>
      <c r="T18" s="640"/>
      <c r="U18" s="638"/>
      <c r="V18" s="643"/>
      <c r="W18" s="647"/>
      <c r="X18" s="640">
        <f>T18+Q18+N18+K18+H18+E18</f>
        <v>14268</v>
      </c>
      <c r="Y18" s="638">
        <f>U18+R18+O18+L18+I18+F18</f>
        <v>14268</v>
      </c>
      <c r="Z18" s="643">
        <f>G18+J18+M18+P18+S18+V18+W18</f>
        <v>14442.6</v>
      </c>
      <c r="AA18" s="607"/>
    </row>
    <row r="19" spans="1:27" s="606" customFormat="1" ht="26.25" customHeight="1" thickBot="1">
      <c r="A19" s="662" t="s">
        <v>287</v>
      </c>
      <c r="B19" s="640"/>
      <c r="C19" s="638"/>
      <c r="D19" s="643"/>
      <c r="E19" s="640">
        <v>4660</v>
      </c>
      <c r="F19" s="638"/>
      <c r="G19" s="643"/>
      <c r="H19" s="640">
        <v>1269</v>
      </c>
      <c r="I19" s="638"/>
      <c r="J19" s="643"/>
      <c r="K19" s="640">
        <v>37</v>
      </c>
      <c r="L19" s="638"/>
      <c r="M19" s="643"/>
      <c r="N19" s="640"/>
      <c r="O19" s="638"/>
      <c r="P19" s="643"/>
      <c r="Q19" s="640"/>
      <c r="R19" s="638"/>
      <c r="S19" s="643"/>
      <c r="T19" s="640"/>
      <c r="U19" s="638"/>
      <c r="V19" s="643"/>
      <c r="W19" s="647"/>
      <c r="X19" s="640">
        <f>E19+H19+K19+N19+Q19+T19</f>
        <v>5966</v>
      </c>
      <c r="Y19" s="638">
        <f>F19+I19+L19</f>
        <v>0</v>
      </c>
      <c r="Z19" s="643"/>
      <c r="AA19" s="607"/>
    </row>
    <row r="20" spans="1:27" s="606" customFormat="1" ht="30" customHeight="1" thickBot="1">
      <c r="A20" s="669" t="s">
        <v>291</v>
      </c>
      <c r="B20" s="670">
        <f>SUM(B17:B18)</f>
        <v>5578</v>
      </c>
      <c r="C20" s="671">
        <f>SUM(C17:C18)</f>
        <v>7402</v>
      </c>
      <c r="D20" s="672">
        <f>SUM(D17:D18)</f>
        <v>6239.635</v>
      </c>
      <c r="E20" s="669">
        <f aca="true" t="shared" si="4" ref="E20:O20">SUM(E17:E19)</f>
        <v>503845</v>
      </c>
      <c r="F20" s="671">
        <f t="shared" si="4"/>
        <v>496890</v>
      </c>
      <c r="G20" s="675">
        <f t="shared" si="4"/>
        <v>495473.57884</v>
      </c>
      <c r="H20" s="669">
        <f t="shared" si="4"/>
        <v>168206</v>
      </c>
      <c r="I20" s="671">
        <f t="shared" si="4"/>
        <v>165211</v>
      </c>
      <c r="J20" s="675">
        <f t="shared" si="4"/>
        <v>164804.2229999999</v>
      </c>
      <c r="K20" s="669">
        <f t="shared" si="4"/>
        <v>4944</v>
      </c>
      <c r="L20" s="671">
        <f t="shared" si="4"/>
        <v>4860</v>
      </c>
      <c r="M20" s="675">
        <f t="shared" si="4"/>
        <v>4842</v>
      </c>
      <c r="N20" s="669">
        <f t="shared" si="4"/>
        <v>182401</v>
      </c>
      <c r="O20" s="671">
        <f t="shared" si="4"/>
        <v>190367</v>
      </c>
      <c r="P20" s="675">
        <f>SUM(P17:P19)+1</f>
        <v>191522.44007000004</v>
      </c>
      <c r="Q20" s="669">
        <f aca="true" t="shared" si="5" ref="Q20:Z20">SUM(Q17:Q19)</f>
        <v>5000</v>
      </c>
      <c r="R20" s="671">
        <f t="shared" si="5"/>
        <v>14345</v>
      </c>
      <c r="S20" s="675">
        <f t="shared" si="5"/>
        <v>20005.46743</v>
      </c>
      <c r="T20" s="669">
        <f t="shared" si="5"/>
        <v>4927</v>
      </c>
      <c r="U20" s="671">
        <f t="shared" si="5"/>
        <v>7995</v>
      </c>
      <c r="V20" s="675">
        <f t="shared" si="5"/>
        <v>6659.16773</v>
      </c>
      <c r="W20" s="670">
        <f t="shared" si="5"/>
        <v>0</v>
      </c>
      <c r="X20" s="669">
        <f t="shared" si="5"/>
        <v>869323</v>
      </c>
      <c r="Y20" s="671">
        <f t="shared" si="5"/>
        <v>878566</v>
      </c>
      <c r="Z20" s="672">
        <f t="shared" si="5"/>
        <v>882340.8770699998</v>
      </c>
      <c r="AA20" s="609"/>
    </row>
    <row r="21" s="606" customFormat="1" ht="12.75" customHeight="1"/>
    <row r="22" spans="1:26" s="611" customFormat="1" ht="12.75">
      <c r="A22" s="610"/>
      <c r="W22" s="612"/>
      <c r="Y22" s="612"/>
      <c r="Z22" s="612"/>
    </row>
    <row r="23" spans="18:26" s="611" customFormat="1" ht="12.75">
      <c r="R23" s="613"/>
      <c r="Y23" s="612"/>
      <c r="Z23" s="612"/>
    </row>
    <row r="24" s="606" customFormat="1" ht="12.75" customHeight="1">
      <c r="R24" s="614"/>
    </row>
    <row r="25" spans="1:26" ht="12.75" customHeight="1">
      <c r="A25" s="604" t="s">
        <v>319</v>
      </c>
      <c r="L25" s="604" t="s">
        <v>320</v>
      </c>
      <c r="R25" s="676"/>
      <c r="Y25" s="998" t="s">
        <v>331</v>
      </c>
      <c r="Z25" s="998"/>
    </row>
    <row r="26" s="606" customFormat="1" ht="12.75" customHeight="1">
      <c r="O26" s="607"/>
    </row>
    <row r="27" s="606" customFormat="1" ht="12.75" customHeight="1"/>
    <row r="28" spans="23:24" s="514" customFormat="1" ht="12.75">
      <c r="W28" s="997"/>
      <c r="X28" s="997"/>
    </row>
    <row r="29" ht="12.75" customHeight="1"/>
    <row r="30" ht="12.75" customHeight="1"/>
    <row r="31" ht="12.75" customHeight="1"/>
    <row r="32" ht="12.75" customHeight="1"/>
    <row r="33" ht="12.75" customHeight="1">
      <c r="S33" s="615"/>
    </row>
    <row r="34" ht="12.75" customHeight="1"/>
    <row r="35" ht="12.75" customHeight="1">
      <c r="S35" s="615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mergeCells count="8">
    <mergeCell ref="Y3:Z3"/>
    <mergeCell ref="W28:X28"/>
    <mergeCell ref="Y25:Z25"/>
    <mergeCell ref="A5:Z5"/>
    <mergeCell ref="B8:D8"/>
    <mergeCell ref="E8:G8"/>
    <mergeCell ref="Q8:S8"/>
    <mergeCell ref="T8:V8"/>
  </mergeCells>
  <printOptions/>
  <pageMargins left="0.7874015748031497" right="0.7874015748031497" top="0.984251968503937" bottom="0.984251968503937" header="0.5118110236220472" footer="0.3937007874015748"/>
  <pageSetup fitToHeight="1" fitToWidth="1" horizontalDpi="600" verticalDpi="600" orientation="landscape" paperSize="9" scale="52" r:id="rId1"/>
  <headerFooter alignWithMargins="0">
    <oddFooter>&amp;C&amp;14&amp;P+166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2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32.625" style="514" customWidth="1"/>
    <col min="2" max="2" width="9.00390625" style="514" customWidth="1"/>
    <col min="3" max="3" width="9.375" style="514" customWidth="1"/>
    <col min="4" max="4" width="10.00390625" style="514" customWidth="1"/>
    <col min="5" max="5" width="8.25390625" style="514" customWidth="1"/>
    <col min="6" max="6" width="8.00390625" style="514" customWidth="1"/>
    <col min="7" max="7" width="10.125" style="514" bestFit="1" customWidth="1"/>
    <col min="8" max="8" width="7.75390625" style="514" customWidth="1"/>
    <col min="9" max="9" width="8.625" style="514" customWidth="1"/>
    <col min="10" max="10" width="8.125" style="514" customWidth="1"/>
    <col min="11" max="11" width="11.375" style="514" customWidth="1"/>
    <col min="12" max="12" width="10.75390625" style="514" customWidth="1"/>
    <col min="13" max="13" width="9.875" style="514" customWidth="1"/>
    <col min="14" max="14" width="10.25390625" style="514" customWidth="1"/>
    <col min="15" max="15" width="10.375" style="514" customWidth="1"/>
    <col min="16" max="16" width="10.25390625" style="514" customWidth="1"/>
    <col min="17" max="18" width="7.25390625" style="514" customWidth="1"/>
    <col min="19" max="19" width="7.875" style="514" bestFit="1" customWidth="1"/>
    <col min="20" max="20" width="1.12109375" style="514" hidden="1" customWidth="1"/>
    <col min="21" max="22" width="9.125" style="514" customWidth="1"/>
    <col min="23" max="23" width="11.125" style="514" customWidth="1"/>
    <col min="24" max="16384" width="9.125" style="514" customWidth="1"/>
  </cols>
  <sheetData>
    <row r="3" spans="1:23" ht="18">
      <c r="A3" s="585" t="s">
        <v>178</v>
      </c>
      <c r="V3" s="1007" t="s">
        <v>330</v>
      </c>
      <c r="W3" s="1007"/>
    </row>
    <row r="4" spans="8:9" ht="18">
      <c r="H4" s="515" t="s">
        <v>311</v>
      </c>
      <c r="I4" s="515"/>
    </row>
    <row r="6" spans="1:23" ht="13.5" thickBot="1">
      <c r="A6" s="513"/>
      <c r="I6" s="516"/>
      <c r="N6" s="517"/>
      <c r="O6" s="517"/>
      <c r="P6" s="517"/>
      <c r="Q6" s="517"/>
      <c r="R6" s="517"/>
      <c r="S6" s="518"/>
      <c r="T6" s="518"/>
      <c r="U6" s="517"/>
      <c r="V6" s="517"/>
      <c r="W6" s="518" t="s">
        <v>92</v>
      </c>
    </row>
    <row r="7" spans="1:23" s="603" customFormat="1" ht="29.25" customHeight="1" thickBot="1">
      <c r="A7" s="1008" t="s">
        <v>180</v>
      </c>
      <c r="B7" s="593" t="s">
        <v>312</v>
      </c>
      <c r="C7" s="594"/>
      <c r="D7" s="595"/>
      <c r="E7" s="596"/>
      <c r="F7" s="597" t="s">
        <v>266</v>
      </c>
      <c r="G7" s="594"/>
      <c r="H7" s="596"/>
      <c r="I7" s="597" t="s">
        <v>144</v>
      </c>
      <c r="J7" s="595"/>
      <c r="K7" s="598"/>
      <c r="L7" s="599" t="s">
        <v>313</v>
      </c>
      <c r="M7" s="595"/>
      <c r="N7" s="596"/>
      <c r="O7" s="597" t="s">
        <v>314</v>
      </c>
      <c r="P7" s="595"/>
      <c r="Q7" s="596"/>
      <c r="R7" s="597" t="s">
        <v>268</v>
      </c>
      <c r="S7" s="595"/>
      <c r="T7" s="600" t="s">
        <v>315</v>
      </c>
      <c r="U7" s="601"/>
      <c r="V7" s="597" t="s">
        <v>316</v>
      </c>
      <c r="W7" s="602"/>
    </row>
    <row r="8" spans="1:23" ht="23.25" customHeight="1">
      <c r="A8" s="1009"/>
      <c r="B8" s="520" t="s">
        <v>270</v>
      </c>
      <c r="C8" s="521" t="s">
        <v>182</v>
      </c>
      <c r="D8" s="522" t="s">
        <v>271</v>
      </c>
      <c r="E8" s="520" t="s">
        <v>270</v>
      </c>
      <c r="F8" s="523" t="s">
        <v>182</v>
      </c>
      <c r="G8" s="522" t="s">
        <v>271</v>
      </c>
      <c r="H8" s="520" t="s">
        <v>270</v>
      </c>
      <c r="I8" s="523" t="s">
        <v>182</v>
      </c>
      <c r="J8" s="522" t="s">
        <v>271</v>
      </c>
      <c r="K8" s="520" t="s">
        <v>270</v>
      </c>
      <c r="L8" s="523" t="s">
        <v>182</v>
      </c>
      <c r="M8" s="522" t="s">
        <v>271</v>
      </c>
      <c r="N8" s="520" t="s">
        <v>270</v>
      </c>
      <c r="O8" s="521" t="s">
        <v>182</v>
      </c>
      <c r="P8" s="524" t="s">
        <v>271</v>
      </c>
      <c r="Q8" s="525" t="s">
        <v>270</v>
      </c>
      <c r="R8" s="526" t="s">
        <v>182</v>
      </c>
      <c r="S8" s="522" t="s">
        <v>271</v>
      </c>
      <c r="T8" s="519" t="s">
        <v>317</v>
      </c>
      <c r="U8" s="525" t="s">
        <v>270</v>
      </c>
      <c r="V8" s="526" t="s">
        <v>182</v>
      </c>
      <c r="W8" s="522" t="s">
        <v>271</v>
      </c>
    </row>
    <row r="9" spans="1:23" ht="4.5" customHeight="1" thickBot="1">
      <c r="A9" s="527"/>
      <c r="B9" s="528"/>
      <c r="C9" s="529"/>
      <c r="D9" s="530"/>
      <c r="E9" s="531"/>
      <c r="F9" s="532"/>
      <c r="G9" s="533"/>
      <c r="H9" s="534"/>
      <c r="I9" s="535"/>
      <c r="J9" s="536"/>
      <c r="K9" s="531"/>
      <c r="L9" s="535"/>
      <c r="M9" s="536"/>
      <c r="N9" s="535"/>
      <c r="O9" s="537"/>
      <c r="P9" s="538"/>
      <c r="Q9" s="534"/>
      <c r="R9" s="531"/>
      <c r="S9" s="530"/>
      <c r="T9" s="539"/>
      <c r="U9" s="540"/>
      <c r="V9" s="541"/>
      <c r="W9" s="530"/>
    </row>
    <row r="10" spans="1:23" ht="25.5" customHeight="1">
      <c r="A10" s="894" t="s">
        <v>69</v>
      </c>
      <c r="B10" s="542">
        <v>38320</v>
      </c>
      <c r="C10" s="543">
        <v>40840</v>
      </c>
      <c r="D10" s="544">
        <v>40873.35839</v>
      </c>
      <c r="E10" s="545">
        <v>12656</v>
      </c>
      <c r="F10" s="546">
        <v>13001</v>
      </c>
      <c r="G10" s="547">
        <v>13007.10351</v>
      </c>
      <c r="H10" s="548">
        <v>372</v>
      </c>
      <c r="I10" s="549">
        <v>380</v>
      </c>
      <c r="J10" s="544">
        <v>377</v>
      </c>
      <c r="K10" s="545">
        <v>43256</v>
      </c>
      <c r="L10" s="546">
        <v>48298</v>
      </c>
      <c r="M10" s="550">
        <f>50239.9097-377-1246.20706</f>
        <v>48616.702639999996</v>
      </c>
      <c r="N10" s="546">
        <v>0</v>
      </c>
      <c r="O10" s="543">
        <v>0</v>
      </c>
      <c r="P10" s="546">
        <v>0</v>
      </c>
      <c r="Q10" s="548">
        <v>0</v>
      </c>
      <c r="R10" s="545">
        <v>8171</v>
      </c>
      <c r="S10" s="544">
        <v>5651.87826</v>
      </c>
      <c r="T10" s="551"/>
      <c r="U10" s="545">
        <f aca="true" t="shared" si="0" ref="U10:U16">B10+E10+H10+K10+N10+Q10</f>
        <v>94604</v>
      </c>
      <c r="V10" s="543">
        <f>C10+F10+I10+L10+O10+R10-256-8-522-1501</f>
        <v>108403</v>
      </c>
      <c r="W10" s="544">
        <f>D10+G10+J10+M10+P10+S10+T10-2278.9376</f>
        <v>106247.10519999999</v>
      </c>
    </row>
    <row r="11" spans="1:23" ht="25.5" customHeight="1">
      <c r="A11" s="895" t="s">
        <v>189</v>
      </c>
      <c r="B11" s="552">
        <v>38970</v>
      </c>
      <c r="C11" s="553">
        <v>38970</v>
      </c>
      <c r="D11" s="554">
        <f>37204+1766</f>
        <v>38970</v>
      </c>
      <c r="E11" s="555">
        <v>12649</v>
      </c>
      <c r="F11" s="556">
        <v>13207</v>
      </c>
      <c r="G11" s="557">
        <v>13207</v>
      </c>
      <c r="H11" s="558">
        <v>372</v>
      </c>
      <c r="I11" s="555">
        <v>372</v>
      </c>
      <c r="J11" s="559">
        <v>372</v>
      </c>
      <c r="K11" s="555">
        <v>26629</v>
      </c>
      <c r="L11" s="556">
        <v>22808</v>
      </c>
      <c r="M11" s="559">
        <f>23146.36334-J11</f>
        <v>22774.36334</v>
      </c>
      <c r="N11" s="556">
        <v>0</v>
      </c>
      <c r="O11" s="553">
        <v>4821</v>
      </c>
      <c r="P11" s="556">
        <v>2881.431</v>
      </c>
      <c r="Q11" s="558"/>
      <c r="R11" s="555"/>
      <c r="S11" s="554"/>
      <c r="T11" s="560"/>
      <c r="U11" s="555">
        <f t="shared" si="0"/>
        <v>78620</v>
      </c>
      <c r="V11" s="553">
        <f aca="true" t="shared" si="1" ref="V11:V16">C11+F11+I11+L11+O11+R11</f>
        <v>80178</v>
      </c>
      <c r="W11" s="554">
        <f aca="true" t="shared" si="2" ref="W11:W17">D11+G11+J11+M11+P11+S11+T11</f>
        <v>78204.79434</v>
      </c>
    </row>
    <row r="12" spans="1:23" ht="25.5" customHeight="1">
      <c r="A12" s="896" t="s">
        <v>190</v>
      </c>
      <c r="B12" s="561">
        <v>28947</v>
      </c>
      <c r="C12" s="543">
        <v>28883</v>
      </c>
      <c r="D12" s="544">
        <f>28714+169</f>
        <v>28883</v>
      </c>
      <c r="E12" s="555">
        <v>9702</v>
      </c>
      <c r="F12" s="546">
        <v>9775</v>
      </c>
      <c r="G12" s="557">
        <v>9775</v>
      </c>
      <c r="H12" s="558">
        <v>285</v>
      </c>
      <c r="I12" s="545">
        <v>287</v>
      </c>
      <c r="J12" s="544">
        <v>287</v>
      </c>
      <c r="K12" s="545">
        <v>16407</v>
      </c>
      <c r="L12" s="546">
        <v>16347</v>
      </c>
      <c r="M12" s="550">
        <f>16731.33014-J12</f>
        <v>16444.33014</v>
      </c>
      <c r="N12" s="556">
        <v>0</v>
      </c>
      <c r="O12" s="543">
        <v>4000</v>
      </c>
      <c r="P12" s="546">
        <v>575.676</v>
      </c>
      <c r="Q12" s="558"/>
      <c r="R12" s="545"/>
      <c r="S12" s="544"/>
      <c r="T12" s="562"/>
      <c r="U12" s="555">
        <f t="shared" si="0"/>
        <v>55341</v>
      </c>
      <c r="V12" s="553">
        <f t="shared" si="1"/>
        <v>59292</v>
      </c>
      <c r="W12" s="554">
        <f t="shared" si="2"/>
        <v>55965.00614</v>
      </c>
    </row>
    <row r="13" spans="1:23" ht="25.5" customHeight="1">
      <c r="A13" s="897" t="s">
        <v>191</v>
      </c>
      <c r="B13" s="552">
        <v>31474</v>
      </c>
      <c r="C13" s="553">
        <v>32243</v>
      </c>
      <c r="D13" s="554">
        <v>32232</v>
      </c>
      <c r="E13" s="555">
        <v>10110</v>
      </c>
      <c r="F13" s="556">
        <v>10748</v>
      </c>
      <c r="G13" s="557">
        <v>10743</v>
      </c>
      <c r="H13" s="558">
        <v>297</v>
      </c>
      <c r="I13" s="555">
        <v>303</v>
      </c>
      <c r="J13" s="559">
        <v>302.18</v>
      </c>
      <c r="K13" s="555">
        <v>20412</v>
      </c>
      <c r="L13" s="556">
        <v>20349</v>
      </c>
      <c r="M13" s="559">
        <v>20348.73622</v>
      </c>
      <c r="N13" s="556">
        <v>0</v>
      </c>
      <c r="O13" s="553">
        <v>27000</v>
      </c>
      <c r="P13" s="556">
        <f>22101.11585+1696.0028</f>
        <v>23797.118649999997</v>
      </c>
      <c r="Q13" s="558"/>
      <c r="R13" s="555"/>
      <c r="S13" s="554"/>
      <c r="T13" s="560"/>
      <c r="U13" s="555">
        <f t="shared" si="0"/>
        <v>62293</v>
      </c>
      <c r="V13" s="553">
        <f t="shared" si="1"/>
        <v>90643</v>
      </c>
      <c r="W13" s="554">
        <f t="shared" si="2"/>
        <v>87423.03487</v>
      </c>
    </row>
    <row r="14" spans="1:23" ht="25.5" customHeight="1">
      <c r="A14" s="896" t="s">
        <v>192</v>
      </c>
      <c r="B14" s="561">
        <v>29502</v>
      </c>
      <c r="C14" s="543">
        <v>29502</v>
      </c>
      <c r="D14" s="544">
        <f>28069+1433</f>
        <v>29502</v>
      </c>
      <c r="E14" s="555">
        <v>9543</v>
      </c>
      <c r="F14" s="546">
        <v>9951</v>
      </c>
      <c r="G14" s="557">
        <v>9951</v>
      </c>
      <c r="H14" s="558">
        <v>281</v>
      </c>
      <c r="I14" s="545">
        <v>281</v>
      </c>
      <c r="J14" s="544">
        <v>280.691</v>
      </c>
      <c r="K14" s="545">
        <v>23001</v>
      </c>
      <c r="L14" s="546">
        <v>20399</v>
      </c>
      <c r="M14" s="550">
        <v>20248.5274</v>
      </c>
      <c r="N14" s="556">
        <v>0</v>
      </c>
      <c r="O14" s="543">
        <v>2589</v>
      </c>
      <c r="P14" s="546">
        <v>2373.41479</v>
      </c>
      <c r="Q14" s="558">
        <v>0</v>
      </c>
      <c r="R14" s="545">
        <v>0</v>
      </c>
      <c r="S14" s="544">
        <v>150</v>
      </c>
      <c r="T14" s="562"/>
      <c r="U14" s="555">
        <f t="shared" si="0"/>
        <v>62327</v>
      </c>
      <c r="V14" s="553">
        <f t="shared" si="1"/>
        <v>62722</v>
      </c>
      <c r="W14" s="554">
        <f t="shared" si="2"/>
        <v>62505.63319</v>
      </c>
    </row>
    <row r="15" spans="1:23" ht="25.5" customHeight="1">
      <c r="A15" s="896" t="s">
        <v>193</v>
      </c>
      <c r="B15" s="552">
        <v>33146</v>
      </c>
      <c r="C15" s="553">
        <v>33146</v>
      </c>
      <c r="D15" s="554">
        <f>32021+1125</f>
        <v>33146</v>
      </c>
      <c r="E15" s="555">
        <v>10887</v>
      </c>
      <c r="F15" s="556">
        <v>11207</v>
      </c>
      <c r="G15" s="557">
        <v>11207</v>
      </c>
      <c r="H15" s="558">
        <v>320</v>
      </c>
      <c r="I15" s="555">
        <v>320</v>
      </c>
      <c r="J15" s="559">
        <v>320</v>
      </c>
      <c r="K15" s="555">
        <v>20919</v>
      </c>
      <c r="L15" s="556">
        <v>20919</v>
      </c>
      <c r="M15" s="559">
        <v>21164.58361</v>
      </c>
      <c r="N15" s="556">
        <v>0</v>
      </c>
      <c r="O15" s="553">
        <v>1000</v>
      </c>
      <c r="P15" s="556">
        <v>360</v>
      </c>
      <c r="Q15" s="558"/>
      <c r="R15" s="555"/>
      <c r="S15" s="554"/>
      <c r="T15" s="560"/>
      <c r="U15" s="555">
        <f t="shared" si="0"/>
        <v>65272</v>
      </c>
      <c r="V15" s="553">
        <f t="shared" si="1"/>
        <v>66592</v>
      </c>
      <c r="W15" s="554">
        <f t="shared" si="2"/>
        <v>66197.58361</v>
      </c>
    </row>
    <row r="16" spans="1:23" ht="25.5" customHeight="1">
      <c r="A16" s="896" t="s">
        <v>194</v>
      </c>
      <c r="B16" s="552">
        <v>51123</v>
      </c>
      <c r="C16" s="553">
        <v>51123</v>
      </c>
      <c r="D16" s="554">
        <f>50713+410</f>
        <v>51123</v>
      </c>
      <c r="E16" s="555">
        <v>17242</v>
      </c>
      <c r="F16" s="556">
        <v>18054</v>
      </c>
      <c r="G16" s="557">
        <v>17879</v>
      </c>
      <c r="H16" s="558">
        <v>507</v>
      </c>
      <c r="I16" s="555">
        <v>507</v>
      </c>
      <c r="J16" s="554">
        <v>503.796</v>
      </c>
      <c r="K16" s="555">
        <v>52394</v>
      </c>
      <c r="L16" s="556">
        <v>53010</v>
      </c>
      <c r="M16" s="559">
        <f>50835.14158+2164.63174</f>
        <v>52999.77332</v>
      </c>
      <c r="N16" s="556">
        <v>0</v>
      </c>
      <c r="O16" s="553">
        <v>1786</v>
      </c>
      <c r="P16" s="556">
        <v>1711.5132</v>
      </c>
      <c r="Q16" s="558"/>
      <c r="R16" s="555"/>
      <c r="S16" s="554"/>
      <c r="T16" s="560"/>
      <c r="U16" s="555">
        <f t="shared" si="0"/>
        <v>121266</v>
      </c>
      <c r="V16" s="553">
        <f t="shared" si="1"/>
        <v>124480</v>
      </c>
      <c r="W16" s="554">
        <f t="shared" si="2"/>
        <v>124217.08252000001</v>
      </c>
    </row>
    <row r="17" spans="1:23" ht="25.5" customHeight="1">
      <c r="A17" s="896" t="s">
        <v>195</v>
      </c>
      <c r="B17" s="561">
        <v>41784</v>
      </c>
      <c r="C17" s="543">
        <v>41784</v>
      </c>
      <c r="D17" s="544">
        <v>41784</v>
      </c>
      <c r="E17" s="545">
        <v>13966</v>
      </c>
      <c r="F17" s="546">
        <v>14186</v>
      </c>
      <c r="G17" s="547">
        <v>14186</v>
      </c>
      <c r="H17" s="548">
        <v>411</v>
      </c>
      <c r="I17" s="545">
        <v>411</v>
      </c>
      <c r="J17" s="544">
        <v>411</v>
      </c>
      <c r="K17" s="545">
        <v>47281</v>
      </c>
      <c r="L17" s="546">
        <v>46481</v>
      </c>
      <c r="M17" s="550">
        <f>46467.54052-J17</f>
        <v>46056.54052</v>
      </c>
      <c r="N17" s="546">
        <v>0</v>
      </c>
      <c r="O17" s="543">
        <v>3080</v>
      </c>
      <c r="P17" s="546">
        <v>3069.222</v>
      </c>
      <c r="Q17" s="548"/>
      <c r="R17" s="545"/>
      <c r="S17" s="544"/>
      <c r="T17" s="562"/>
      <c r="U17" s="545">
        <f>B17+E17+H17+K17+N17</f>
        <v>103442</v>
      </c>
      <c r="V17" s="563">
        <f>C17+F17+I17+L17+O17</f>
        <v>105942</v>
      </c>
      <c r="W17" s="544">
        <f t="shared" si="2"/>
        <v>105506.76252</v>
      </c>
    </row>
    <row r="18" spans="1:23" ht="25.5" customHeight="1" thickBot="1">
      <c r="A18" s="898" t="s">
        <v>287</v>
      </c>
      <c r="B18" s="564">
        <v>942</v>
      </c>
      <c r="C18" s="565">
        <v>0</v>
      </c>
      <c r="D18" s="566"/>
      <c r="E18" s="567">
        <v>0</v>
      </c>
      <c r="F18" s="568">
        <v>0</v>
      </c>
      <c r="G18" s="569">
        <v>0</v>
      </c>
      <c r="H18" s="570">
        <v>0</v>
      </c>
      <c r="I18" s="567">
        <v>0</v>
      </c>
      <c r="J18" s="566"/>
      <c r="K18" s="567"/>
      <c r="L18" s="568"/>
      <c r="M18" s="571"/>
      <c r="N18" s="568"/>
      <c r="O18" s="565"/>
      <c r="P18" s="568"/>
      <c r="Q18" s="570"/>
      <c r="R18" s="567"/>
      <c r="S18" s="566"/>
      <c r="T18" s="572"/>
      <c r="U18" s="568">
        <f>B18+E18+H18</f>
        <v>942</v>
      </c>
      <c r="V18" s="565">
        <f>C18+F18+I18</f>
        <v>0</v>
      </c>
      <c r="W18" s="566"/>
    </row>
    <row r="19" spans="1:23" ht="30.75" customHeight="1" thickBot="1">
      <c r="A19" s="899" t="s">
        <v>318</v>
      </c>
      <c r="B19" s="573">
        <f>SUM(B10:B18)</f>
        <v>294208</v>
      </c>
      <c r="C19" s="574">
        <f>SUM(C10:C18)</f>
        <v>296491</v>
      </c>
      <c r="D19" s="575">
        <f>SUM(D10:D17)</f>
        <v>296513.35839</v>
      </c>
      <c r="E19" s="576">
        <f>SUM(E10:E18)</f>
        <v>96755</v>
      </c>
      <c r="F19" s="576">
        <f>SUM(F10:F18)</f>
        <v>100129</v>
      </c>
      <c r="G19" s="575">
        <f>SUM(G10:G18)</f>
        <v>99955.10351</v>
      </c>
      <c r="H19" s="577">
        <f>SUM(H10:H18)</f>
        <v>2845</v>
      </c>
      <c r="I19" s="576">
        <f>SUM(I10:I18)</f>
        <v>2861</v>
      </c>
      <c r="J19" s="575">
        <f aca="true" t="shared" si="3" ref="J19:P19">SUM(J10:J17)</f>
        <v>2853.667</v>
      </c>
      <c r="K19" s="576">
        <f t="shared" si="3"/>
        <v>250299</v>
      </c>
      <c r="L19" s="578">
        <f t="shared" si="3"/>
        <v>248611</v>
      </c>
      <c r="M19" s="575">
        <f t="shared" si="3"/>
        <v>248653.55719</v>
      </c>
      <c r="N19" s="578">
        <f t="shared" si="3"/>
        <v>0</v>
      </c>
      <c r="O19" s="574">
        <f t="shared" si="3"/>
        <v>44276</v>
      </c>
      <c r="P19" s="578">
        <f t="shared" si="3"/>
        <v>34768.37564</v>
      </c>
      <c r="Q19" s="577">
        <f>SUM(Q10:Q18)</f>
        <v>0</v>
      </c>
      <c r="R19" s="576">
        <f>SUM(R10:R18)</f>
        <v>8171</v>
      </c>
      <c r="S19" s="579">
        <f>SUM(S10:S17)</f>
        <v>5801.87826</v>
      </c>
      <c r="T19" s="580">
        <f>SUM(T10:T17)</f>
        <v>0</v>
      </c>
      <c r="U19" s="578">
        <f>SUM(U10:U18)</f>
        <v>644107</v>
      </c>
      <c r="V19" s="574">
        <f>SUM(V10:V18)</f>
        <v>698252</v>
      </c>
      <c r="W19" s="579">
        <f>SUM(W10:W17)</f>
        <v>686267.00239</v>
      </c>
    </row>
    <row r="20" spans="1:23" ht="16.5" customHeight="1">
      <c r="A20" s="581"/>
      <c r="B20" s="582"/>
      <c r="C20" s="582"/>
      <c r="D20" s="582"/>
      <c r="E20" s="582"/>
      <c r="F20" s="582"/>
      <c r="G20" s="583"/>
      <c r="H20" s="582"/>
      <c r="I20" s="582"/>
      <c r="J20" s="582"/>
      <c r="K20" s="582"/>
      <c r="L20" s="582"/>
      <c r="M20" s="582"/>
      <c r="N20" s="582"/>
      <c r="O20" s="582"/>
      <c r="P20" s="583"/>
      <c r="Q20" s="582"/>
      <c r="R20" s="582"/>
      <c r="S20" s="582"/>
      <c r="T20" s="582"/>
      <c r="U20" s="582"/>
      <c r="V20" s="584"/>
      <c r="W20" s="582"/>
    </row>
    <row r="22" spans="1:23" s="585" customFormat="1" ht="15">
      <c r="A22" s="585" t="s">
        <v>319</v>
      </c>
      <c r="I22" s="585" t="s">
        <v>320</v>
      </c>
      <c r="V22" s="1006" t="s">
        <v>167</v>
      </c>
      <c r="W22" s="1006"/>
    </row>
  </sheetData>
  <mergeCells count="3">
    <mergeCell ref="V22:W22"/>
    <mergeCell ref="V3:W3"/>
    <mergeCell ref="A7:A8"/>
  </mergeCells>
  <printOptions/>
  <pageMargins left="0.7874015748031497" right="0.7874015748031497" top="0.984251968503937" bottom="0.984251968503937" header="0.5118110236220472" footer="0.3937007874015748"/>
  <pageSetup fitToHeight="1" fitToWidth="1" horizontalDpi="600" verticalDpi="600" orientation="landscape" paperSize="9" scale="58" r:id="rId1"/>
  <headerFooter alignWithMargins="0">
    <oddFooter>&amp;C&amp;12
&amp;13&amp;P+167&amp;12
&amp;16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A35"/>
  <sheetViews>
    <sheetView tabSelected="1" zoomScale="75" zoomScaleNormal="75" workbookViewId="0" topLeftCell="C7">
      <selection activeCell="H13" sqref="H13"/>
    </sheetView>
  </sheetViews>
  <sheetFormatPr defaultColWidth="9.00390625" defaultRowHeight="12.75"/>
  <cols>
    <col min="1" max="1" width="2.75390625" style="45" customWidth="1"/>
    <col min="2" max="2" width="59.625" style="45" customWidth="1"/>
    <col min="3" max="4" width="18.75390625" style="45" customWidth="1"/>
    <col min="5" max="5" width="21.625" style="45" customWidth="1"/>
    <col min="6" max="6" width="18.75390625" style="45" customWidth="1"/>
    <col min="7" max="11" width="16.75390625" style="45" customWidth="1"/>
    <col min="12" max="12" width="2.75390625" style="45" customWidth="1"/>
    <col min="13" max="13" width="10.75390625" style="45" customWidth="1"/>
    <col min="14" max="14" width="14.125" style="45" customWidth="1"/>
    <col min="15" max="16384" width="8.875" style="45" customWidth="1"/>
  </cols>
  <sheetData>
    <row r="1" spans="2:25" s="246" customFormat="1" ht="29.25" customHeight="1">
      <c r="B1" s="338" t="s">
        <v>178</v>
      </c>
      <c r="C1" s="245"/>
      <c r="D1" s="245"/>
      <c r="E1" s="245"/>
      <c r="J1" s="918" t="s">
        <v>199</v>
      </c>
      <c r="K1" s="918"/>
      <c r="Y1" s="339"/>
    </row>
    <row r="2" spans="3:5" ht="23.25" customHeight="1">
      <c r="C2" s="340"/>
      <c r="D2" s="340"/>
      <c r="E2" s="340"/>
    </row>
    <row r="3" spans="2:19" s="342" customFormat="1" ht="52.5" customHeight="1">
      <c r="B3" s="935" t="s">
        <v>442</v>
      </c>
      <c r="C3" s="935"/>
      <c r="D3" s="935"/>
      <c r="E3" s="935"/>
      <c r="F3" s="935"/>
      <c r="G3" s="935"/>
      <c r="H3" s="935"/>
      <c r="I3" s="935"/>
      <c r="J3" s="935"/>
      <c r="K3" s="935"/>
      <c r="L3" s="341"/>
      <c r="M3" s="341"/>
      <c r="N3" s="341"/>
      <c r="O3" s="341"/>
      <c r="P3" s="341"/>
      <c r="Q3" s="341"/>
      <c r="R3" s="341"/>
      <c r="S3" s="341"/>
    </row>
    <row r="4" spans="2:19" ht="18.75" customHeight="1"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4"/>
      <c r="M4" s="344"/>
      <c r="N4" s="344"/>
      <c r="O4" s="344"/>
      <c r="P4" s="344"/>
      <c r="Q4" s="344"/>
      <c r="R4" s="344"/>
      <c r="S4" s="344"/>
    </row>
    <row r="5" spans="2:11" ht="18.75" customHeight="1" thickBot="1">
      <c r="B5" s="345" t="s">
        <v>242</v>
      </c>
      <c r="C5" s="324"/>
      <c r="D5" s="324"/>
      <c r="E5" s="324"/>
      <c r="K5" s="250" t="s">
        <v>201</v>
      </c>
    </row>
    <row r="6" spans="2:11" s="346" customFormat="1" ht="64.5" customHeight="1">
      <c r="B6" s="936" t="s">
        <v>202</v>
      </c>
      <c r="C6" s="933" t="s">
        <v>243</v>
      </c>
      <c r="D6" s="933" t="s">
        <v>244</v>
      </c>
      <c r="E6" s="933" t="s">
        <v>245</v>
      </c>
      <c r="F6" s="933" t="s">
        <v>246</v>
      </c>
      <c r="G6" s="933" t="s">
        <v>444</v>
      </c>
      <c r="H6" s="933" t="s">
        <v>446</v>
      </c>
      <c r="I6" s="933" t="s">
        <v>445</v>
      </c>
      <c r="J6" s="933" t="s">
        <v>247</v>
      </c>
      <c r="K6" s="933" t="s">
        <v>248</v>
      </c>
    </row>
    <row r="7" spans="2:11" s="346" customFormat="1" ht="34.5" customHeight="1" thickBot="1">
      <c r="B7" s="937"/>
      <c r="C7" s="934"/>
      <c r="D7" s="934"/>
      <c r="E7" s="934"/>
      <c r="F7" s="934"/>
      <c r="G7" s="934"/>
      <c r="H7" s="934"/>
      <c r="I7" s="934"/>
      <c r="J7" s="934"/>
      <c r="K7" s="934"/>
    </row>
    <row r="8" spans="2:11" s="351" customFormat="1" ht="13.5" customHeight="1" thickBot="1">
      <c r="B8" s="347"/>
      <c r="C8" s="348">
        <v>1</v>
      </c>
      <c r="D8" s="349">
        <v>2</v>
      </c>
      <c r="E8" s="348">
        <v>3</v>
      </c>
      <c r="F8" s="350" t="s">
        <v>249</v>
      </c>
      <c r="G8" s="350" t="s">
        <v>250</v>
      </c>
      <c r="H8" s="350" t="s">
        <v>251</v>
      </c>
      <c r="I8" s="350" t="s">
        <v>252</v>
      </c>
      <c r="J8" s="350" t="s">
        <v>217</v>
      </c>
      <c r="K8" s="350" t="s">
        <v>218</v>
      </c>
    </row>
    <row r="9" spans="2:11" s="358" customFormat="1" ht="29.25" customHeight="1">
      <c r="B9" s="352" t="s">
        <v>253</v>
      </c>
      <c r="C9" s="353">
        <f>SUM(C12:C15)</f>
        <v>3893015000</v>
      </c>
      <c r="D9" s="353">
        <f>SUM(D12:D15)</f>
        <v>4180304000</v>
      </c>
      <c r="E9" s="353">
        <f>SUM(E12:E15)</f>
        <v>4174781582</v>
      </c>
      <c r="F9" s="353">
        <f>SUM(F12:F15)</f>
        <v>3931020929</v>
      </c>
      <c r="G9" s="354">
        <f>E9/F9</f>
        <v>1.0620095027227467</v>
      </c>
      <c r="H9" s="355">
        <f>SUM(H12:H15)</f>
        <v>31657</v>
      </c>
      <c r="I9" s="355">
        <f>SUM(I12:I15)</f>
        <v>30083</v>
      </c>
      <c r="J9" s="356" t="s">
        <v>224</v>
      </c>
      <c r="K9" s="357" t="s">
        <v>224</v>
      </c>
    </row>
    <row r="10" spans="2:11" ht="16.5" customHeight="1">
      <c r="B10" s="359" t="s">
        <v>254</v>
      </c>
      <c r="C10" s="360"/>
      <c r="D10" s="360"/>
      <c r="E10" s="360"/>
      <c r="F10" s="361"/>
      <c r="G10" s="362"/>
      <c r="H10" s="361"/>
      <c r="I10" s="363"/>
      <c r="J10" s="361"/>
      <c r="K10" s="360"/>
    </row>
    <row r="11" spans="2:11" ht="18" customHeight="1">
      <c r="B11" s="364" t="s">
        <v>225</v>
      </c>
      <c r="C11" s="365"/>
      <c r="D11" s="365"/>
      <c r="E11" s="365"/>
      <c r="F11" s="366"/>
      <c r="G11" s="367"/>
      <c r="H11" s="366"/>
      <c r="I11" s="368"/>
      <c r="J11" s="366"/>
      <c r="K11" s="365"/>
    </row>
    <row r="12" spans="2:11" ht="27.75" customHeight="1">
      <c r="B12" s="364" t="s">
        <v>255</v>
      </c>
      <c r="C12" s="365">
        <v>3300000000</v>
      </c>
      <c r="D12" s="365">
        <v>3615000000</v>
      </c>
      <c r="E12" s="365">
        <v>3614779910</v>
      </c>
      <c r="F12" s="365">
        <v>3203027490</v>
      </c>
      <c r="G12" s="369">
        <f>E12/F12</f>
        <v>1.128551010344279</v>
      </c>
      <c r="H12" s="366">
        <v>28992</v>
      </c>
      <c r="I12" s="366">
        <v>27497</v>
      </c>
      <c r="J12" s="366">
        <v>10379</v>
      </c>
      <c r="K12" s="366">
        <v>9879</v>
      </c>
    </row>
    <row r="13" spans="2:14" ht="27.75" customHeight="1">
      <c r="B13" s="364" t="s">
        <v>256</v>
      </c>
      <c r="C13" s="365">
        <v>2877000</v>
      </c>
      <c r="D13" s="365">
        <v>4940919</v>
      </c>
      <c r="E13" s="365">
        <v>4938471</v>
      </c>
      <c r="F13" s="365">
        <v>5417537</v>
      </c>
      <c r="G13" s="369">
        <f>E13/F13</f>
        <v>0.9115712546125666</v>
      </c>
      <c r="H13" s="366">
        <v>20</v>
      </c>
      <c r="I13" s="366">
        <v>35</v>
      </c>
      <c r="J13" s="366">
        <f aca="true" t="shared" si="0" ref="J13:K15">E13/H13</f>
        <v>246923.55</v>
      </c>
      <c r="K13" s="366">
        <f t="shared" si="0"/>
        <v>154786.77142857143</v>
      </c>
      <c r="M13" s="370"/>
      <c r="N13" s="370"/>
    </row>
    <row r="14" spans="2:14" ht="27.75" customHeight="1">
      <c r="B14" s="364" t="s">
        <v>257</v>
      </c>
      <c r="C14" s="365">
        <v>590138000</v>
      </c>
      <c r="D14" s="365">
        <v>560180967</v>
      </c>
      <c r="E14" s="365">
        <v>554886741</v>
      </c>
      <c r="F14" s="365">
        <v>722287312</v>
      </c>
      <c r="G14" s="369">
        <f>E14/F14</f>
        <v>0.7682354816167669</v>
      </c>
      <c r="H14" s="366">
        <v>2637</v>
      </c>
      <c r="I14" s="366">
        <v>2539</v>
      </c>
      <c r="J14" s="366">
        <f t="shared" si="0"/>
        <v>210423.48919226395</v>
      </c>
      <c r="K14" s="366">
        <f t="shared" si="0"/>
        <v>284477.08231587237</v>
      </c>
      <c r="M14" s="370"/>
      <c r="N14" s="370"/>
    </row>
    <row r="15" spans="2:14" ht="27.75" customHeight="1">
      <c r="B15" s="364" t="s">
        <v>258</v>
      </c>
      <c r="C15" s="365">
        <v>0</v>
      </c>
      <c r="D15" s="365">
        <v>182114</v>
      </c>
      <c r="E15" s="365">
        <v>176460</v>
      </c>
      <c r="F15" s="365">
        <v>288590</v>
      </c>
      <c r="G15" s="369">
        <f>E15/F15</f>
        <v>0.6114556983956478</v>
      </c>
      <c r="H15" s="366">
        <v>8</v>
      </c>
      <c r="I15" s="366">
        <v>12</v>
      </c>
      <c r="J15" s="366">
        <f t="shared" si="0"/>
        <v>22057.5</v>
      </c>
      <c r="K15" s="366">
        <f t="shared" si="0"/>
        <v>24049.166666666668</v>
      </c>
      <c r="M15" s="370"/>
      <c r="N15" s="370"/>
    </row>
    <row r="16" spans="2:11" ht="15" customHeight="1" thickBot="1">
      <c r="B16" s="364"/>
      <c r="C16" s="365"/>
      <c r="D16" s="365"/>
      <c r="E16" s="365"/>
      <c r="F16" s="366"/>
      <c r="G16" s="371"/>
      <c r="H16" s="366"/>
      <c r="I16" s="368"/>
      <c r="J16" s="366"/>
      <c r="K16" s="365"/>
    </row>
    <row r="17" spans="2:11" s="358" customFormat="1" ht="30.75" customHeight="1">
      <c r="B17" s="372" t="s">
        <v>443</v>
      </c>
      <c r="C17" s="355">
        <f>SUM(C20:C22)</f>
        <v>132494000</v>
      </c>
      <c r="D17" s="355">
        <f>SUM(D20:D22)</f>
        <v>149205000</v>
      </c>
      <c r="E17" s="355">
        <f>SUM(E20:E22)</f>
        <v>146844630</v>
      </c>
      <c r="F17" s="355">
        <f>SUM(F20:F22)</f>
        <v>127120475</v>
      </c>
      <c r="G17" s="354">
        <f>E17/F17</f>
        <v>1.1551611178293661</v>
      </c>
      <c r="H17" s="356" t="s">
        <v>224</v>
      </c>
      <c r="I17" s="373" t="s">
        <v>224</v>
      </c>
      <c r="J17" s="356" t="s">
        <v>224</v>
      </c>
      <c r="K17" s="357" t="s">
        <v>224</v>
      </c>
    </row>
    <row r="18" spans="2:11" ht="21" customHeight="1" thickBot="1">
      <c r="B18" s="374" t="s">
        <v>259</v>
      </c>
      <c r="C18" s="375"/>
      <c r="D18" s="375"/>
      <c r="E18" s="375"/>
      <c r="F18" s="375"/>
      <c r="G18" s="376"/>
      <c r="H18" s="377"/>
      <c r="I18" s="378"/>
      <c r="J18" s="375"/>
      <c r="K18" s="379"/>
    </row>
    <row r="19" spans="2:11" ht="17.25" customHeight="1">
      <c r="B19" s="364" t="s">
        <v>225</v>
      </c>
      <c r="C19" s="365"/>
      <c r="D19" s="365"/>
      <c r="E19" s="365"/>
      <c r="F19" s="297"/>
      <c r="G19" s="380"/>
      <c r="H19" s="381"/>
      <c r="I19" s="371"/>
      <c r="J19" s="382"/>
      <c r="K19" s="381"/>
    </row>
    <row r="20" spans="2:11" ht="27.75" customHeight="1">
      <c r="B20" s="364" t="s">
        <v>260</v>
      </c>
      <c r="C20" s="365">
        <v>84222000</v>
      </c>
      <c r="D20" s="365">
        <v>91811618</v>
      </c>
      <c r="E20" s="365">
        <v>89649424</v>
      </c>
      <c r="F20" s="365">
        <v>76200295</v>
      </c>
      <c r="G20" s="285">
        <f>E20/F20</f>
        <v>1.17649707261632</v>
      </c>
      <c r="H20" s="381" t="s">
        <v>224</v>
      </c>
      <c r="I20" s="371" t="s">
        <v>224</v>
      </c>
      <c r="J20" s="382" t="s">
        <v>224</v>
      </c>
      <c r="K20" s="381" t="s">
        <v>224</v>
      </c>
    </row>
    <row r="21" spans="2:11" ht="27.75" customHeight="1">
      <c r="B21" s="364" t="s">
        <v>261</v>
      </c>
      <c r="C21" s="365">
        <v>48259000</v>
      </c>
      <c r="D21" s="365">
        <v>57264888</v>
      </c>
      <c r="E21" s="365">
        <v>57069095</v>
      </c>
      <c r="F21" s="365">
        <v>50899869</v>
      </c>
      <c r="G21" s="285">
        <f>E21/F21</f>
        <v>1.1212031803068099</v>
      </c>
      <c r="H21" s="381" t="s">
        <v>224</v>
      </c>
      <c r="I21" s="371" t="s">
        <v>224</v>
      </c>
      <c r="J21" s="382" t="s">
        <v>224</v>
      </c>
      <c r="K21" s="381" t="s">
        <v>224</v>
      </c>
    </row>
    <row r="22" spans="2:11" ht="27.75" customHeight="1">
      <c r="B22" s="364" t="s">
        <v>262</v>
      </c>
      <c r="C22" s="365">
        <v>13000</v>
      </c>
      <c r="D22" s="365">
        <v>128494</v>
      </c>
      <c r="E22" s="365">
        <v>126111</v>
      </c>
      <c r="F22" s="365">
        <v>20311</v>
      </c>
      <c r="G22" s="285">
        <f>E22/F22</f>
        <v>6.209000049234405</v>
      </c>
      <c r="H22" s="381" t="s">
        <v>224</v>
      </c>
      <c r="I22" s="371" t="s">
        <v>224</v>
      </c>
      <c r="J22" s="382" t="s">
        <v>224</v>
      </c>
      <c r="K22" s="381" t="s">
        <v>224</v>
      </c>
    </row>
    <row r="23" spans="2:11" ht="14.25" customHeight="1" thickBot="1">
      <c r="B23" s="383"/>
      <c r="C23" s="384"/>
      <c r="D23" s="384"/>
      <c r="E23" s="384"/>
      <c r="F23" s="385"/>
      <c r="G23" s="386"/>
      <c r="H23" s="387"/>
      <c r="I23" s="388"/>
      <c r="J23" s="389"/>
      <c r="K23" s="387"/>
    </row>
    <row r="24" spans="2:11" s="324" customFormat="1" ht="44.25" customHeight="1" thickBot="1">
      <c r="B24" s="390" t="s">
        <v>121</v>
      </c>
      <c r="C24" s="391">
        <f>+C9+C17</f>
        <v>4025509000</v>
      </c>
      <c r="D24" s="391">
        <f>+D9+D17</f>
        <v>4329509000</v>
      </c>
      <c r="E24" s="391">
        <f>+E9+E17</f>
        <v>4321626212</v>
      </c>
      <c r="F24" s="392">
        <f>+F9+F17</f>
        <v>4058141404</v>
      </c>
      <c r="G24" s="393">
        <f>E24/F24</f>
        <v>1.0649274585997153</v>
      </c>
      <c r="H24" s="394" t="s">
        <v>224</v>
      </c>
      <c r="I24" s="394" t="s">
        <v>224</v>
      </c>
      <c r="J24" s="394" t="s">
        <v>224</v>
      </c>
      <c r="K24" s="394" t="s">
        <v>224</v>
      </c>
    </row>
    <row r="25" spans="6:9" ht="18" customHeight="1">
      <c r="F25" s="395"/>
      <c r="G25" s="395"/>
      <c r="H25" s="395"/>
      <c r="I25" s="395"/>
    </row>
    <row r="26" spans="2:18" ht="18" customHeight="1">
      <c r="B26" s="396"/>
      <c r="R26" s="397"/>
    </row>
    <row r="27" spans="2:18" ht="18" customHeight="1">
      <c r="B27" s="396"/>
      <c r="R27" s="397"/>
    </row>
    <row r="28" spans="2:27" s="401" customFormat="1" ht="18">
      <c r="B28" s="400" t="s">
        <v>196</v>
      </c>
      <c r="D28" s="400"/>
      <c r="E28" s="402" t="s">
        <v>240</v>
      </c>
      <c r="F28" s="403"/>
      <c r="G28" s="403"/>
      <c r="H28" s="404"/>
      <c r="I28" s="932" t="s">
        <v>167</v>
      </c>
      <c r="J28" s="932"/>
      <c r="K28" s="932"/>
      <c r="L28" s="405"/>
      <c r="Z28" s="406"/>
      <c r="AA28" s="406"/>
    </row>
    <row r="29" spans="2:18" ht="18" customHeight="1">
      <c r="B29" s="324"/>
      <c r="R29" s="397"/>
    </row>
    <row r="30" spans="2:18" ht="15">
      <c r="B30" s="395"/>
      <c r="R30" s="397"/>
    </row>
    <row r="31" spans="2:18" ht="15">
      <c r="B31" s="398"/>
      <c r="R31" s="397"/>
    </row>
    <row r="32" spans="2:18" ht="15">
      <c r="B32" s="395"/>
      <c r="E32" s="399"/>
      <c r="R32" s="397"/>
    </row>
    <row r="33" spans="5:18" ht="15">
      <c r="E33" s="399"/>
      <c r="R33" s="397"/>
    </row>
    <row r="35" ht="15">
      <c r="E35" s="399"/>
    </row>
  </sheetData>
  <mergeCells count="13">
    <mergeCell ref="K6:K7"/>
    <mergeCell ref="F6:F7"/>
    <mergeCell ref="G6:G7"/>
    <mergeCell ref="I28:K28"/>
    <mergeCell ref="H6:H7"/>
    <mergeCell ref="I6:I7"/>
    <mergeCell ref="J1:K1"/>
    <mergeCell ref="B3:K3"/>
    <mergeCell ref="B6:B7"/>
    <mergeCell ref="C6:C7"/>
    <mergeCell ref="D6:D7"/>
    <mergeCell ref="E6:E7"/>
    <mergeCell ref="J6:J7"/>
  </mergeCells>
  <printOptions horizontalCentered="1"/>
  <pageMargins left="0.5905511811023623" right="0.5905511811023623" top="0.984251968503937" bottom="0.7874015748031497" header="0.7086614173228347" footer="0.3937007874015748"/>
  <pageSetup blackAndWhite="1" horizontalDpi="600" verticalDpi="600" orientation="landscape" paperSize="9" scale="55" r:id="rId1"/>
  <headerFooter alignWithMargins="0">
    <oddFooter>&amp;C
&amp;14&amp;P+85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workbookViewId="0" topLeftCell="M31">
      <selection activeCell="H13" sqref="H13"/>
    </sheetView>
  </sheetViews>
  <sheetFormatPr defaultColWidth="9.00390625" defaultRowHeight="12.75"/>
  <cols>
    <col min="1" max="1" width="59.25390625" style="42" customWidth="1"/>
    <col min="2" max="11" width="11.75390625" style="42" hidden="1" customWidth="1"/>
    <col min="12" max="12" width="12.00390625" style="42" hidden="1" customWidth="1"/>
    <col min="13" max="20" width="17.00390625" style="42" customWidth="1"/>
    <col min="21" max="21" width="16.75390625" style="42" customWidth="1"/>
    <col min="22" max="22" width="11.875" style="771" customWidth="1"/>
    <col min="23" max="23" width="17.375" style="771" customWidth="1"/>
    <col min="24" max="24" width="14.00390625" style="771" customWidth="1"/>
    <col min="25" max="25" width="12.375" style="771" customWidth="1"/>
    <col min="26" max="27" width="9.125" style="771" customWidth="1"/>
    <col min="28" max="16384" width="9.125" style="42" customWidth="1"/>
  </cols>
  <sheetData>
    <row r="1" spans="1:21" ht="15.75">
      <c r="A1" s="769" t="s">
        <v>178</v>
      </c>
      <c r="U1" s="770" t="s">
        <v>438</v>
      </c>
    </row>
    <row r="3" spans="1:21" ht="18">
      <c r="A3" s="1013" t="s">
        <v>375</v>
      </c>
      <c r="B3" s="1013"/>
      <c r="C3" s="1013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  <c r="O3" s="1013"/>
      <c r="P3" s="1013"/>
      <c r="Q3" s="1013"/>
      <c r="R3" s="1013"/>
      <c r="S3" s="1013"/>
      <c r="T3" s="1013"/>
      <c r="U3" s="1013"/>
    </row>
    <row r="4" spans="1:21" ht="13.5" thickBot="1">
      <c r="A4" s="772"/>
      <c r="B4" s="772"/>
      <c r="C4" s="772"/>
      <c r="D4" s="772"/>
      <c r="E4" s="772"/>
      <c r="F4" s="772"/>
      <c r="G4" s="772"/>
      <c r="H4" s="772"/>
      <c r="I4" s="772"/>
      <c r="J4" s="772"/>
      <c r="K4" s="773"/>
      <c r="L4" s="773"/>
      <c r="N4" s="774"/>
      <c r="O4" s="774"/>
      <c r="P4" s="774"/>
      <c r="Q4" s="774"/>
      <c r="R4" s="774"/>
      <c r="S4" s="774"/>
      <c r="T4" s="774"/>
      <c r="U4" s="774" t="s">
        <v>92</v>
      </c>
    </row>
    <row r="5" spans="1:21" ht="39.75" customHeight="1" thickBot="1">
      <c r="A5" s="775" t="s">
        <v>376</v>
      </c>
      <c r="B5" s="776" t="s">
        <v>377</v>
      </c>
      <c r="C5" s="776" t="s">
        <v>378</v>
      </c>
      <c r="D5" s="776" t="s">
        <v>379</v>
      </c>
      <c r="E5" s="776" t="s">
        <v>380</v>
      </c>
      <c r="F5" s="776" t="s">
        <v>381</v>
      </c>
      <c r="G5" s="776" t="s">
        <v>382</v>
      </c>
      <c r="H5" s="776" t="s">
        <v>383</v>
      </c>
      <c r="I5" s="776" t="s">
        <v>384</v>
      </c>
      <c r="J5" s="776" t="s">
        <v>385</v>
      </c>
      <c r="K5" s="776" t="s">
        <v>386</v>
      </c>
      <c r="L5" s="776" t="s">
        <v>387</v>
      </c>
      <c r="M5" s="777" t="s">
        <v>388</v>
      </c>
      <c r="N5" s="778" t="s">
        <v>389</v>
      </c>
      <c r="O5" s="778" t="s">
        <v>390</v>
      </c>
      <c r="P5" s="779" t="s">
        <v>391</v>
      </c>
      <c r="Q5" s="779" t="s">
        <v>392</v>
      </c>
      <c r="R5" s="779" t="s">
        <v>393</v>
      </c>
      <c r="S5" s="779" t="s">
        <v>394</v>
      </c>
      <c r="T5" s="779" t="s">
        <v>431</v>
      </c>
      <c r="U5" s="780" t="s">
        <v>395</v>
      </c>
    </row>
    <row r="6" spans="1:21" ht="14.25">
      <c r="A6" s="781"/>
      <c r="B6" s="782"/>
      <c r="C6" s="782"/>
      <c r="D6" s="782"/>
      <c r="E6" s="782"/>
      <c r="F6" s="782"/>
      <c r="G6" s="782"/>
      <c r="H6" s="782"/>
      <c r="I6" s="782"/>
      <c r="J6" s="782"/>
      <c r="K6" s="782"/>
      <c r="L6" s="783"/>
      <c r="M6" s="784"/>
      <c r="N6" s="785"/>
      <c r="O6" s="785"/>
      <c r="P6" s="784"/>
      <c r="Q6" s="786"/>
      <c r="R6" s="786"/>
      <c r="S6" s="786"/>
      <c r="T6" s="786"/>
      <c r="U6" s="787"/>
    </row>
    <row r="7" spans="1:21" ht="15">
      <c r="A7" s="788" t="s">
        <v>181</v>
      </c>
      <c r="B7" s="789">
        <v>2184630</v>
      </c>
      <c r="C7" s="789">
        <v>2599678</v>
      </c>
      <c r="D7" s="789">
        <v>3381679</v>
      </c>
      <c r="E7" s="789">
        <v>3676044</v>
      </c>
      <c r="F7" s="789">
        <v>3849359</v>
      </c>
      <c r="G7" s="789">
        <v>3540245</v>
      </c>
      <c r="H7" s="789">
        <v>3722534</v>
      </c>
      <c r="I7" s="789">
        <v>3811742</v>
      </c>
      <c r="J7" s="789">
        <v>4880203</v>
      </c>
      <c r="K7" s="789">
        <v>5766027</v>
      </c>
      <c r="L7" s="789">
        <v>6420538</v>
      </c>
      <c r="M7" s="790">
        <f>M8+M10</f>
        <v>6945471</v>
      </c>
      <c r="N7" s="791">
        <f>SUM(N8+N10)</f>
        <v>8041294</v>
      </c>
      <c r="O7" s="792">
        <f>SUM(O8+O10)</f>
        <v>10777246</v>
      </c>
      <c r="P7" s="790">
        <f>SUM(P8+P10)</f>
        <v>9129596.52</v>
      </c>
      <c r="Q7" s="790">
        <f>SUM(Q8+Q10)</f>
        <v>9248632</v>
      </c>
      <c r="R7" s="790">
        <f>SUM(R8+R10+R11)</f>
        <v>8258297</v>
      </c>
      <c r="S7" s="790">
        <f>SUM(S8+S10+S11)</f>
        <v>8830222</v>
      </c>
      <c r="T7" s="790">
        <v>7800515</v>
      </c>
      <c r="U7" s="793">
        <f>SUM(U8+U10+U11)</f>
        <v>6915896</v>
      </c>
    </row>
    <row r="8" spans="1:24" ht="14.25">
      <c r="A8" s="794" t="s">
        <v>396</v>
      </c>
      <c r="B8" s="795">
        <v>1861383</v>
      </c>
      <c r="C8" s="795">
        <v>2270532</v>
      </c>
      <c r="D8" s="795">
        <v>2826957</v>
      </c>
      <c r="E8" s="795">
        <v>3119388</v>
      </c>
      <c r="F8" s="795">
        <v>3006009</v>
      </c>
      <c r="G8" s="795">
        <v>3104569</v>
      </c>
      <c r="H8" s="795">
        <v>3398643</v>
      </c>
      <c r="I8" s="795">
        <v>3485784</v>
      </c>
      <c r="J8" s="795">
        <v>4417989</v>
      </c>
      <c r="K8" s="795">
        <v>4960978</v>
      </c>
      <c r="L8" s="795">
        <v>5454470</v>
      </c>
      <c r="M8" s="796">
        <v>5713826</v>
      </c>
      <c r="N8" s="797">
        <v>6398546</v>
      </c>
      <c r="O8" s="797">
        <v>6551027</v>
      </c>
      <c r="P8" s="796">
        <v>7003512.33</v>
      </c>
      <c r="Q8" s="796">
        <v>7023345</v>
      </c>
      <c r="R8" s="796">
        <v>6824105</v>
      </c>
      <c r="S8" s="796">
        <v>6656850</v>
      </c>
      <c r="T8" s="796">
        <v>5886542</v>
      </c>
      <c r="U8" s="798">
        <v>5698067</v>
      </c>
      <c r="X8" s="799"/>
    </row>
    <row r="9" spans="1:25" ht="14.25">
      <c r="A9" s="794" t="s">
        <v>397</v>
      </c>
      <c r="B9" s="795"/>
      <c r="C9" s="795"/>
      <c r="D9" s="795"/>
      <c r="E9" s="795"/>
      <c r="F9" s="795">
        <v>2299176</v>
      </c>
      <c r="G9" s="795">
        <v>2374086</v>
      </c>
      <c r="H9" s="795">
        <v>2598970</v>
      </c>
      <c r="I9" s="795">
        <v>2665607</v>
      </c>
      <c r="J9" s="795">
        <v>3378372</v>
      </c>
      <c r="K9" s="795">
        <v>3793638</v>
      </c>
      <c r="L9" s="795">
        <v>4170967</v>
      </c>
      <c r="M9" s="796">
        <v>4677966</v>
      </c>
      <c r="N9" s="797">
        <v>5268749</v>
      </c>
      <c r="O9" s="797">
        <v>5394329</v>
      </c>
      <c r="P9" s="796">
        <v>5766971</v>
      </c>
      <c r="Q9" s="796">
        <v>5783329</v>
      </c>
      <c r="R9" s="796">
        <v>6026512</v>
      </c>
      <c r="S9" s="796">
        <v>6027439</v>
      </c>
      <c r="T9" s="796">
        <v>5361666</v>
      </c>
      <c r="U9" s="798">
        <v>5064969</v>
      </c>
      <c r="Y9" s="799"/>
    </row>
    <row r="10" spans="1:21" ht="14.25">
      <c r="A10" s="794" t="s">
        <v>398</v>
      </c>
      <c r="B10" s="795">
        <v>323247</v>
      </c>
      <c r="C10" s="795">
        <v>329146</v>
      </c>
      <c r="D10" s="795">
        <v>554722</v>
      </c>
      <c r="E10" s="795">
        <v>556656</v>
      </c>
      <c r="F10" s="795">
        <v>843350</v>
      </c>
      <c r="G10" s="795">
        <v>435676</v>
      </c>
      <c r="H10" s="795">
        <v>323891</v>
      </c>
      <c r="I10" s="795">
        <v>325958</v>
      </c>
      <c r="J10" s="795">
        <v>462214</v>
      </c>
      <c r="K10" s="795">
        <v>805049</v>
      </c>
      <c r="L10" s="795">
        <v>966068</v>
      </c>
      <c r="M10" s="796">
        <v>1231645</v>
      </c>
      <c r="N10" s="797">
        <v>1642748</v>
      </c>
      <c r="O10" s="797">
        <v>4226219</v>
      </c>
      <c r="P10" s="796">
        <f>439331.74+149813.32+1536939.13</f>
        <v>2126084.19</v>
      </c>
      <c r="Q10" s="796">
        <v>2225287</v>
      </c>
      <c r="R10" s="796">
        <v>1423259</v>
      </c>
      <c r="S10" s="796">
        <v>2160570</v>
      </c>
      <c r="T10" s="796">
        <v>1899374</v>
      </c>
      <c r="U10" s="798">
        <v>1024829</v>
      </c>
    </row>
    <row r="11" spans="1:25" ht="14.25">
      <c r="A11" s="794" t="s">
        <v>399</v>
      </c>
      <c r="B11" s="795"/>
      <c r="C11" s="795"/>
      <c r="D11" s="795"/>
      <c r="E11" s="795"/>
      <c r="F11" s="795"/>
      <c r="G11" s="795"/>
      <c r="H11" s="795"/>
      <c r="I11" s="795"/>
      <c r="J11" s="795"/>
      <c r="K11" s="795"/>
      <c r="L11" s="800" t="s">
        <v>224</v>
      </c>
      <c r="M11" s="800" t="s">
        <v>224</v>
      </c>
      <c r="N11" s="801" t="s">
        <v>224</v>
      </c>
      <c r="O11" s="801" t="s">
        <v>224</v>
      </c>
      <c r="P11" s="802" t="s">
        <v>224</v>
      </c>
      <c r="Q11" s="802" t="s">
        <v>224</v>
      </c>
      <c r="R11" s="796">
        <v>10933</v>
      </c>
      <c r="S11" s="796">
        <v>12802</v>
      </c>
      <c r="T11" s="796">
        <v>14599</v>
      </c>
      <c r="U11" s="798">
        <v>193000</v>
      </c>
      <c r="W11" s="799"/>
      <c r="X11" s="803"/>
      <c r="Y11" s="804"/>
    </row>
    <row r="12" spans="1:25" ht="14.25">
      <c r="A12" s="794"/>
      <c r="B12" s="805"/>
      <c r="C12" s="805"/>
      <c r="D12" s="805"/>
      <c r="E12" s="805"/>
      <c r="F12" s="805"/>
      <c r="G12" s="805"/>
      <c r="H12" s="805"/>
      <c r="I12" s="805"/>
      <c r="J12" s="805"/>
      <c r="K12" s="805"/>
      <c r="L12" s="806"/>
      <c r="M12" s="807"/>
      <c r="N12" s="808"/>
      <c r="O12" s="809"/>
      <c r="P12" s="810"/>
      <c r="Q12" s="810"/>
      <c r="R12" s="810"/>
      <c r="S12" s="810"/>
      <c r="T12" s="810"/>
      <c r="U12" s="811"/>
      <c r="Y12" s="804"/>
    </row>
    <row r="13" spans="1:25" ht="15">
      <c r="A13" s="788" t="s">
        <v>400</v>
      </c>
      <c r="B13" s="789">
        <v>16540704</v>
      </c>
      <c r="C13" s="789">
        <v>19962546</v>
      </c>
      <c r="D13" s="789">
        <v>22262993</v>
      </c>
      <c r="E13" s="789">
        <v>26614103</v>
      </c>
      <c r="F13" s="789">
        <v>26285720</v>
      </c>
      <c r="G13" s="789">
        <v>27161846</v>
      </c>
      <c r="H13" s="789">
        <v>28965733</v>
      </c>
      <c r="I13" s="789">
        <v>32702908</v>
      </c>
      <c r="J13" s="789">
        <v>36903150</v>
      </c>
      <c r="K13" s="789">
        <v>40969999</v>
      </c>
      <c r="L13" s="789">
        <f>SUM(L14:L17)-884</f>
        <v>45006355</v>
      </c>
      <c r="M13" s="812">
        <f>SUM(M14:M17)-598</f>
        <v>47669199</v>
      </c>
      <c r="N13" s="791">
        <f>SUM(N14:N17)-996</f>
        <v>51516745</v>
      </c>
      <c r="O13" s="792">
        <f>SUM(O14:O17)-1040</f>
        <v>55610478</v>
      </c>
      <c r="P13" s="790">
        <f>SUM(P14:P17)-2132</f>
        <v>58233846.388</v>
      </c>
      <c r="Q13" s="790">
        <f>SUM(Q14:Q17)-2709</f>
        <v>59828400.815</v>
      </c>
      <c r="R13" s="790">
        <f>SUM(R14:R17)-3517</f>
        <v>59756108.569999985</v>
      </c>
      <c r="S13" s="790">
        <f>SUM(S14:S17)-4754</f>
        <v>59464345</v>
      </c>
      <c r="T13" s="790">
        <f>SUM(T14:T17)-10996</f>
        <v>53783098</v>
      </c>
      <c r="U13" s="793">
        <f>SUM(U14:U17)-10047</f>
        <v>52656658</v>
      </c>
      <c r="W13" s="799"/>
      <c r="X13" s="799"/>
      <c r="Y13" s="799"/>
    </row>
    <row r="14" spans="1:26" ht="15">
      <c r="A14" s="788" t="s">
        <v>401</v>
      </c>
      <c r="B14" s="789">
        <v>893335</v>
      </c>
      <c r="C14" s="789">
        <v>1369069</v>
      </c>
      <c r="D14" s="789">
        <v>2463595</v>
      </c>
      <c r="E14" s="789">
        <v>3655657</v>
      </c>
      <c r="F14" s="789">
        <v>3160778</v>
      </c>
      <c r="G14" s="789">
        <v>3114618</v>
      </c>
      <c r="H14" s="789">
        <v>2880670</v>
      </c>
      <c r="I14" s="789">
        <v>5350844</v>
      </c>
      <c r="J14" s="789">
        <v>2939061</v>
      </c>
      <c r="K14" s="789">
        <v>3523235</v>
      </c>
      <c r="L14" s="789">
        <v>3709460</v>
      </c>
      <c r="M14" s="790">
        <v>3999177</v>
      </c>
      <c r="N14" s="791">
        <v>5304676</v>
      </c>
      <c r="O14" s="792">
        <v>7704261</v>
      </c>
      <c r="P14" s="790">
        <f>8532553.46-890573.85-270508.64</f>
        <v>7371470.970000002</v>
      </c>
      <c r="Q14" s="790">
        <v>8083325.01</v>
      </c>
      <c r="R14" s="790">
        <v>3805282.19</v>
      </c>
      <c r="S14" s="790">
        <v>2144486</v>
      </c>
      <c r="T14" s="790">
        <v>2433938</v>
      </c>
      <c r="U14" s="793">
        <v>1348404</v>
      </c>
      <c r="W14" s="799"/>
      <c r="Y14" s="799"/>
      <c r="Z14" s="803"/>
    </row>
    <row r="15" spans="1:27" s="814" customFormat="1" ht="17.25">
      <c r="A15" s="788" t="s">
        <v>428</v>
      </c>
      <c r="B15" s="789"/>
      <c r="C15" s="789"/>
      <c r="D15" s="789"/>
      <c r="E15" s="789">
        <v>24802</v>
      </c>
      <c r="F15" s="789">
        <v>18148</v>
      </c>
      <c r="G15" s="789">
        <v>17940</v>
      </c>
      <c r="H15" s="789">
        <v>10040</v>
      </c>
      <c r="I15" s="789">
        <v>18795</v>
      </c>
      <c r="J15" s="789">
        <v>21217</v>
      </c>
      <c r="K15" s="789">
        <v>19819</v>
      </c>
      <c r="L15" s="789">
        <v>19679</v>
      </c>
      <c r="M15" s="790">
        <v>19728</v>
      </c>
      <c r="N15" s="791">
        <v>22603</v>
      </c>
      <c r="O15" s="792">
        <v>29568</v>
      </c>
      <c r="P15" s="790">
        <f>79841.18-2967.2-69.45</f>
        <v>76804.53</v>
      </c>
      <c r="Q15" s="790">
        <v>45316.73</v>
      </c>
      <c r="R15" s="790">
        <v>53390.32</v>
      </c>
      <c r="S15" s="790">
        <v>123906</v>
      </c>
      <c r="T15" s="790">
        <v>424650</v>
      </c>
      <c r="U15" s="793">
        <v>598699</v>
      </c>
      <c r="V15" s="813"/>
      <c r="W15" s="813"/>
      <c r="X15" s="813"/>
      <c r="Y15" s="813"/>
      <c r="Z15" s="813"/>
      <c r="AA15" s="813"/>
    </row>
    <row r="16" spans="1:27" s="814" customFormat="1" ht="15">
      <c r="A16" s="788" t="s">
        <v>402</v>
      </c>
      <c r="B16" s="789"/>
      <c r="C16" s="789"/>
      <c r="D16" s="789"/>
      <c r="E16" s="789"/>
      <c r="F16" s="789"/>
      <c r="G16" s="789"/>
      <c r="H16" s="789"/>
      <c r="I16" s="789"/>
      <c r="J16" s="789"/>
      <c r="K16" s="789"/>
      <c r="L16" s="789">
        <v>884129</v>
      </c>
      <c r="M16" s="790">
        <v>1386188</v>
      </c>
      <c r="N16" s="791">
        <v>3027140</v>
      </c>
      <c r="O16" s="792">
        <v>2066692</v>
      </c>
      <c r="P16" s="815">
        <v>1786112.54</v>
      </c>
      <c r="Q16" s="816" t="s">
        <v>224</v>
      </c>
      <c r="R16" s="816" t="s">
        <v>224</v>
      </c>
      <c r="S16" s="816" t="s">
        <v>224</v>
      </c>
      <c r="T16" s="816" t="s">
        <v>224</v>
      </c>
      <c r="U16" s="817" t="s">
        <v>224</v>
      </c>
      <c r="V16" s="813"/>
      <c r="W16" s="818"/>
      <c r="X16" s="813"/>
      <c r="Y16" s="813"/>
      <c r="Z16" s="813"/>
      <c r="AA16" s="813"/>
    </row>
    <row r="17" spans="1:21" ht="15">
      <c r="A17" s="788" t="s">
        <v>403</v>
      </c>
      <c r="B17" s="789">
        <v>15647369</v>
      </c>
      <c r="C17" s="789">
        <v>18593477</v>
      </c>
      <c r="D17" s="789">
        <v>19799398</v>
      </c>
      <c r="E17" s="789">
        <v>22933644</v>
      </c>
      <c r="F17" s="789">
        <v>23106794</v>
      </c>
      <c r="G17" s="789">
        <v>24029288</v>
      </c>
      <c r="H17" s="789">
        <v>26075023</v>
      </c>
      <c r="I17" s="789">
        <v>27333269</v>
      </c>
      <c r="J17" s="789">
        <v>33942872</v>
      </c>
      <c r="K17" s="789">
        <v>37426945</v>
      </c>
      <c r="L17" s="789">
        <f aca="true" t="shared" si="0" ref="L17:U17">SUM(L19:L24)</f>
        <v>40393971</v>
      </c>
      <c r="M17" s="812">
        <f t="shared" si="0"/>
        <v>42264704</v>
      </c>
      <c r="N17" s="791">
        <f t="shared" si="0"/>
        <v>43163322</v>
      </c>
      <c r="O17" s="792">
        <f t="shared" si="0"/>
        <v>45810997</v>
      </c>
      <c r="P17" s="790">
        <f t="shared" si="0"/>
        <v>49001590.348</v>
      </c>
      <c r="Q17" s="790">
        <f t="shared" si="0"/>
        <v>51702468.074999996</v>
      </c>
      <c r="R17" s="790">
        <f t="shared" si="0"/>
        <v>55900953.05999999</v>
      </c>
      <c r="S17" s="790">
        <f t="shared" si="0"/>
        <v>57200707</v>
      </c>
      <c r="T17" s="790">
        <f t="shared" si="0"/>
        <v>50935506</v>
      </c>
      <c r="U17" s="793">
        <f t="shared" si="0"/>
        <v>50719602</v>
      </c>
    </row>
    <row r="18" spans="1:21" ht="14.25">
      <c r="A18" s="794" t="s">
        <v>404</v>
      </c>
      <c r="B18" s="795"/>
      <c r="C18" s="795"/>
      <c r="D18" s="795"/>
      <c r="E18" s="795"/>
      <c r="F18" s="805"/>
      <c r="G18" s="805"/>
      <c r="H18" s="805"/>
      <c r="I18" s="805"/>
      <c r="J18" s="805"/>
      <c r="K18" s="805"/>
      <c r="L18" s="806"/>
      <c r="M18" s="807"/>
      <c r="N18" s="808"/>
      <c r="O18" s="809"/>
      <c r="P18" s="810"/>
      <c r="Q18" s="810"/>
      <c r="R18" s="810"/>
      <c r="S18" s="810"/>
      <c r="T18" s="810"/>
      <c r="U18" s="811"/>
    </row>
    <row r="19" spans="1:21" ht="16.5">
      <c r="A19" s="794" t="s">
        <v>429</v>
      </c>
      <c r="B19" s="795">
        <v>6171043</v>
      </c>
      <c r="C19" s="795">
        <v>7872043</v>
      </c>
      <c r="D19" s="795">
        <v>10072856</v>
      </c>
      <c r="E19" s="795">
        <v>10907304</v>
      </c>
      <c r="F19" s="795">
        <v>11747617</v>
      </c>
      <c r="G19" s="795">
        <v>11647992</v>
      </c>
      <c r="H19" s="795">
        <v>12903293</v>
      </c>
      <c r="I19" s="795">
        <v>13152476</v>
      </c>
      <c r="J19" s="795">
        <v>16478311</v>
      </c>
      <c r="K19" s="795">
        <v>18375403</v>
      </c>
      <c r="L19" s="795">
        <v>20127308</v>
      </c>
      <c r="M19" s="796">
        <v>21240215</v>
      </c>
      <c r="N19" s="797">
        <v>23220063</v>
      </c>
      <c r="O19" s="797">
        <v>23930626</v>
      </c>
      <c r="P19" s="796">
        <v>25677160.83</v>
      </c>
      <c r="Q19" s="796">
        <v>25774833</v>
      </c>
      <c r="R19" s="796">
        <f>26170558.71+617240.31</f>
        <v>26787799.02</v>
      </c>
      <c r="S19" s="796">
        <v>26544703</v>
      </c>
      <c r="T19" s="796">
        <v>23675738</v>
      </c>
      <c r="U19" s="798">
        <v>22389548</v>
      </c>
    </row>
    <row r="20" spans="1:21" ht="16.5">
      <c r="A20" s="794" t="s">
        <v>430</v>
      </c>
      <c r="B20" s="795">
        <v>2074597</v>
      </c>
      <c r="C20" s="795">
        <v>2672123</v>
      </c>
      <c r="D20" s="795">
        <v>3255184</v>
      </c>
      <c r="E20" s="795">
        <v>4218593</v>
      </c>
      <c r="F20" s="795">
        <v>4077869</v>
      </c>
      <c r="G20" s="795">
        <v>4168996</v>
      </c>
      <c r="H20" s="795">
        <v>4682757</v>
      </c>
      <c r="I20" s="795">
        <v>4762695</v>
      </c>
      <c r="J20" s="795">
        <v>5971350</v>
      </c>
      <c r="K20" s="795">
        <v>6650119</v>
      </c>
      <c r="L20" s="795">
        <v>7294162</v>
      </c>
      <c r="M20" s="819">
        <v>7724405</v>
      </c>
      <c r="N20" s="797">
        <v>8441378</v>
      </c>
      <c r="O20" s="797">
        <f>8231991+468415</f>
        <v>8700406</v>
      </c>
      <c r="P20" s="796">
        <f>8824344.73+501914.64</f>
        <v>9326259.370000001</v>
      </c>
      <c r="Q20" s="796">
        <f>8853854.65+503771.35</f>
        <v>9357626</v>
      </c>
      <c r="R20" s="796">
        <f>8933685.6+523393.62</f>
        <v>9457079.219999999</v>
      </c>
      <c r="S20" s="796">
        <f>8766551+520460</f>
        <v>9287011</v>
      </c>
      <c r="T20" s="796">
        <v>8007294</v>
      </c>
      <c r="U20" s="798">
        <f>7535700+220468</f>
        <v>7756168</v>
      </c>
    </row>
    <row r="21" spans="1:21" ht="14.25">
      <c r="A21" s="794" t="s">
        <v>405</v>
      </c>
      <c r="B21" s="795">
        <v>1523017</v>
      </c>
      <c r="C21" s="795">
        <v>1682398</v>
      </c>
      <c r="D21" s="795">
        <v>1981775</v>
      </c>
      <c r="E21" s="795">
        <v>2220806</v>
      </c>
      <c r="F21" s="795">
        <v>2451248</v>
      </c>
      <c r="G21" s="795">
        <v>2760686</v>
      </c>
      <c r="H21" s="795">
        <v>3062731</v>
      </c>
      <c r="I21" s="795">
        <v>3205198</v>
      </c>
      <c r="J21" s="795">
        <v>3518349</v>
      </c>
      <c r="K21" s="795">
        <v>3827208</v>
      </c>
      <c r="L21" s="795">
        <v>3949884</v>
      </c>
      <c r="M21" s="796">
        <v>4112755</v>
      </c>
      <c r="N21" s="797">
        <v>4875183</v>
      </c>
      <c r="O21" s="797">
        <f>2999454+2261590</f>
        <v>5261044</v>
      </c>
      <c r="P21" s="796">
        <f>3337271.37-587.26+3004503.56-72546.62</f>
        <v>6268641.05</v>
      </c>
      <c r="Q21" s="796">
        <f>3566076.65+3951395.5</f>
        <v>7517472.15</v>
      </c>
      <c r="R21" s="796">
        <f>3863476.7+3591362.1</f>
        <v>7454838.800000001</v>
      </c>
      <c r="S21" s="796">
        <f>4034918+4058141</f>
        <v>8093059</v>
      </c>
      <c r="T21" s="796">
        <v>8655966</v>
      </c>
      <c r="U21" s="798">
        <f>4699611+4360169</f>
        <v>9059780</v>
      </c>
    </row>
    <row r="22" spans="1:25" ht="14.25">
      <c r="A22" s="794" t="s">
        <v>406</v>
      </c>
      <c r="B22" s="795">
        <v>1395251</v>
      </c>
      <c r="C22" s="795">
        <v>55957</v>
      </c>
      <c r="D22" s="795">
        <v>85103</v>
      </c>
      <c r="E22" s="795">
        <v>122713</v>
      </c>
      <c r="F22" s="795">
        <v>111525</v>
      </c>
      <c r="G22" s="795">
        <v>159435</v>
      </c>
      <c r="H22" s="795">
        <v>281209</v>
      </c>
      <c r="I22" s="795">
        <v>379624</v>
      </c>
      <c r="J22" s="795">
        <v>492871</v>
      </c>
      <c r="K22" s="795">
        <v>521497</v>
      </c>
      <c r="L22" s="795">
        <v>575133</v>
      </c>
      <c r="M22" s="796">
        <v>619167</v>
      </c>
      <c r="N22" s="797">
        <v>691130</v>
      </c>
      <c r="O22" s="797">
        <v>723725</v>
      </c>
      <c r="P22" s="796">
        <v>865918</v>
      </c>
      <c r="Q22" s="796">
        <v>993568.65</v>
      </c>
      <c r="R22" s="796">
        <v>974993.5</v>
      </c>
      <c r="S22" s="796">
        <f>993366-36112-17496-1691</f>
        <v>938067</v>
      </c>
      <c r="T22" s="796">
        <f>980520-104558-139790-4216-13</f>
        <v>731943</v>
      </c>
      <c r="U22" s="798">
        <v>585929</v>
      </c>
      <c r="W22" s="799"/>
      <c r="Y22" s="799"/>
    </row>
    <row r="23" spans="1:21" ht="14.25">
      <c r="A23" s="794" t="s">
        <v>407</v>
      </c>
      <c r="B23" s="795">
        <v>39000</v>
      </c>
      <c r="C23" s="795">
        <v>63500</v>
      </c>
      <c r="D23" s="795">
        <v>71711</v>
      </c>
      <c r="E23" s="795">
        <v>65868</v>
      </c>
      <c r="F23" s="795">
        <v>60300</v>
      </c>
      <c r="G23" s="795">
        <v>54543</v>
      </c>
      <c r="H23" s="795">
        <v>39211</v>
      </c>
      <c r="I23" s="795">
        <v>30050</v>
      </c>
      <c r="J23" s="795">
        <v>33030</v>
      </c>
      <c r="K23" s="795">
        <v>33943</v>
      </c>
      <c r="L23" s="795">
        <v>36454</v>
      </c>
      <c r="M23" s="796">
        <f>42572+110</f>
        <v>42682</v>
      </c>
      <c r="N23" s="797">
        <v>46856</v>
      </c>
      <c r="O23" s="797">
        <f>71465</f>
        <v>71465</v>
      </c>
      <c r="P23" s="796">
        <f>86294.94-50-12.302</f>
        <v>86232.638</v>
      </c>
      <c r="Q23" s="796">
        <v>86856.67</v>
      </c>
      <c r="R23" s="796">
        <v>83458.98</v>
      </c>
      <c r="S23" s="796">
        <v>91509</v>
      </c>
      <c r="T23" s="796">
        <v>84393</v>
      </c>
      <c r="U23" s="798">
        <v>52114</v>
      </c>
    </row>
    <row r="24" spans="1:21" ht="14.25">
      <c r="A24" s="794" t="s">
        <v>408</v>
      </c>
      <c r="B24" s="795">
        <v>4444461</v>
      </c>
      <c r="C24" s="795">
        <v>6247456</v>
      </c>
      <c r="D24" s="795">
        <v>4332769</v>
      </c>
      <c r="E24" s="795">
        <v>5398360</v>
      </c>
      <c r="F24" s="795">
        <v>4658235</v>
      </c>
      <c r="G24" s="795">
        <v>5237636</v>
      </c>
      <c r="H24" s="795">
        <v>5105822</v>
      </c>
      <c r="I24" s="795">
        <v>5803226</v>
      </c>
      <c r="J24" s="795">
        <v>7448961</v>
      </c>
      <c r="K24" s="795">
        <v>8018775</v>
      </c>
      <c r="L24" s="795">
        <v>8411030</v>
      </c>
      <c r="M24" s="796">
        <v>8525480</v>
      </c>
      <c r="N24" s="820">
        <v>5888712</v>
      </c>
      <c r="O24" s="797">
        <f>7105580+18151</f>
        <v>7123731</v>
      </c>
      <c r="P24" s="796">
        <f>53413159.21-25096118.88-581041.96-8824344.75-86294.94-865918-501914.66-624960.6-6268641.06-3748421.98-40058-260+2132.08+50+12</f>
        <v>6777378.459999999</v>
      </c>
      <c r="Q24" s="796">
        <f>55229471.83-25774833.34-8853854.65-86856.67-993568.65-503771.36-7517472.17-3494739.71-32263.675</f>
        <v>7972111.604999997</v>
      </c>
      <c r="R24" s="796">
        <f>11139266.54+3517</f>
        <v>11142783.54</v>
      </c>
      <c r="S24" s="796">
        <f>12191059+36112+17496+1691</f>
        <v>12246358</v>
      </c>
      <c r="T24" s="796">
        <f>9531595+104558+139790+4216+13</f>
        <v>9780172</v>
      </c>
      <c r="U24" s="798">
        <f>11504059+10047-585929-52114</f>
        <v>10876063</v>
      </c>
    </row>
    <row r="25" spans="1:21" ht="14.25">
      <c r="A25" s="794"/>
      <c r="B25" s="795"/>
      <c r="C25" s="795"/>
      <c r="D25" s="795"/>
      <c r="E25" s="795"/>
      <c r="F25" s="795"/>
      <c r="G25" s="795"/>
      <c r="H25" s="795"/>
      <c r="I25" s="795"/>
      <c r="J25" s="795"/>
      <c r="K25" s="805"/>
      <c r="L25" s="806"/>
      <c r="M25" s="807"/>
      <c r="N25" s="808"/>
      <c r="O25" s="809"/>
      <c r="P25" s="810"/>
      <c r="Q25" s="810"/>
      <c r="R25" s="810"/>
      <c r="S25" s="810"/>
      <c r="T25" s="810"/>
      <c r="U25" s="811"/>
    </row>
    <row r="26" spans="1:24" ht="15">
      <c r="A26" s="788" t="s">
        <v>409</v>
      </c>
      <c r="B26" s="789">
        <v>56259</v>
      </c>
      <c r="C26" s="789">
        <v>61856</v>
      </c>
      <c r="D26" s="789">
        <v>59353</v>
      </c>
      <c r="E26" s="789">
        <v>60542</v>
      </c>
      <c r="F26" s="789">
        <v>61174</v>
      </c>
      <c r="G26" s="789">
        <v>60689</v>
      </c>
      <c r="H26" s="789">
        <v>61888</v>
      </c>
      <c r="I26" s="789">
        <v>61879</v>
      </c>
      <c r="J26" s="789">
        <v>70457</v>
      </c>
      <c r="K26" s="789">
        <v>71818</v>
      </c>
      <c r="L26" s="789">
        <v>74214</v>
      </c>
      <c r="M26" s="790">
        <v>74400</v>
      </c>
      <c r="N26" s="791">
        <v>73324</v>
      </c>
      <c r="O26" s="792">
        <f>SUM(O27:O28)</f>
        <v>72474</v>
      </c>
      <c r="P26" s="790">
        <v>71395</v>
      </c>
      <c r="Q26" s="790">
        <f>SUM(Q27:Q28)</f>
        <v>68698</v>
      </c>
      <c r="R26" s="790">
        <f>SUM(R27:R28)</f>
        <v>69576</v>
      </c>
      <c r="S26" s="790">
        <f>SUM(S27:S28)</f>
        <v>69573</v>
      </c>
      <c r="T26" s="790">
        <f>SUM(T27:T28)</f>
        <v>65464</v>
      </c>
      <c r="U26" s="793">
        <f>SUM(U27:U28)</f>
        <v>66631</v>
      </c>
      <c r="X26" s="804"/>
    </row>
    <row r="27" spans="1:24" ht="14.25">
      <c r="A27" s="794" t="s">
        <v>410</v>
      </c>
      <c r="B27" s="795">
        <v>46779</v>
      </c>
      <c r="C27" s="795">
        <v>51845</v>
      </c>
      <c r="D27" s="795">
        <v>46748</v>
      </c>
      <c r="E27" s="795">
        <v>47160</v>
      </c>
      <c r="F27" s="795">
        <v>45056</v>
      </c>
      <c r="G27" s="795">
        <v>44711</v>
      </c>
      <c r="H27" s="795">
        <v>45094</v>
      </c>
      <c r="I27" s="795">
        <v>45083</v>
      </c>
      <c r="J27" s="795">
        <v>53660</v>
      </c>
      <c r="K27" s="795">
        <v>54733</v>
      </c>
      <c r="L27" s="795">
        <v>56453</v>
      </c>
      <c r="M27" s="819">
        <v>57018</v>
      </c>
      <c r="N27" s="820">
        <v>56360</v>
      </c>
      <c r="O27" s="797">
        <v>55168</v>
      </c>
      <c r="P27" s="796">
        <v>54267</v>
      </c>
      <c r="Q27" s="796">
        <v>52059</v>
      </c>
      <c r="R27" s="796">
        <v>53275</v>
      </c>
      <c r="S27" s="796">
        <v>53142</v>
      </c>
      <c r="T27" s="796">
        <v>50184</v>
      </c>
      <c r="U27" s="798">
        <v>50452</v>
      </c>
      <c r="X27" s="804"/>
    </row>
    <row r="28" spans="1:24" ht="14.25">
      <c r="A28" s="794" t="s">
        <v>411</v>
      </c>
      <c r="B28" s="795">
        <v>9480</v>
      </c>
      <c r="C28" s="795">
        <v>10011</v>
      </c>
      <c r="D28" s="795">
        <v>12605</v>
      </c>
      <c r="E28" s="795">
        <v>13382</v>
      </c>
      <c r="F28" s="795">
        <v>16118</v>
      </c>
      <c r="G28" s="795">
        <v>15978</v>
      </c>
      <c r="H28" s="795">
        <v>16794</v>
      </c>
      <c r="I28" s="795">
        <v>16796</v>
      </c>
      <c r="J28" s="795">
        <v>16797</v>
      </c>
      <c r="K28" s="795">
        <v>17085</v>
      </c>
      <c r="L28" s="795">
        <v>17761</v>
      </c>
      <c r="M28" s="819">
        <v>17382</v>
      </c>
      <c r="N28" s="820">
        <v>16964</v>
      </c>
      <c r="O28" s="797">
        <v>17306</v>
      </c>
      <c r="P28" s="796">
        <v>17128</v>
      </c>
      <c r="Q28" s="796">
        <v>16639</v>
      </c>
      <c r="R28" s="796">
        <v>16301</v>
      </c>
      <c r="S28" s="796">
        <v>16431</v>
      </c>
      <c r="T28" s="796">
        <v>15280</v>
      </c>
      <c r="U28" s="798">
        <v>16179</v>
      </c>
      <c r="X28" s="804"/>
    </row>
    <row r="29" spans="1:24" ht="14.25">
      <c r="A29" s="794"/>
      <c r="B29" s="805"/>
      <c r="C29" s="805"/>
      <c r="D29" s="805"/>
      <c r="E29" s="805"/>
      <c r="F29" s="805"/>
      <c r="G29" s="805"/>
      <c r="H29" s="805"/>
      <c r="I29" s="805"/>
      <c r="J29" s="805"/>
      <c r="K29" s="805"/>
      <c r="L29" s="806"/>
      <c r="M29" s="821"/>
      <c r="N29" s="808"/>
      <c r="O29" s="809"/>
      <c r="P29" s="810"/>
      <c r="Q29" s="810"/>
      <c r="R29" s="810"/>
      <c r="S29" s="810"/>
      <c r="T29" s="810"/>
      <c r="U29" s="811"/>
      <c r="X29" s="804"/>
    </row>
    <row r="30" spans="1:24" ht="15">
      <c r="A30" s="788" t="s">
        <v>439</v>
      </c>
      <c r="B30" s="789">
        <v>8840</v>
      </c>
      <c r="C30" s="789">
        <v>10234</v>
      </c>
      <c r="D30" s="789">
        <v>13708</v>
      </c>
      <c r="E30" s="789">
        <v>14895</v>
      </c>
      <c r="F30" s="789">
        <v>15406</v>
      </c>
      <c r="G30" s="789">
        <v>15058</v>
      </c>
      <c r="H30" s="789">
        <v>17001</v>
      </c>
      <c r="I30" s="789">
        <v>17309</v>
      </c>
      <c r="J30" s="789">
        <v>19003</v>
      </c>
      <c r="K30" s="789">
        <v>20760</v>
      </c>
      <c r="L30" s="789">
        <v>22038</v>
      </c>
      <c r="M30" s="790">
        <v>23288</v>
      </c>
      <c r="N30" s="791">
        <v>25809</v>
      </c>
      <c r="O30" s="792">
        <v>26925</v>
      </c>
      <c r="P30" s="790">
        <v>29293</v>
      </c>
      <c r="Q30" s="790">
        <v>30555</v>
      </c>
      <c r="R30" s="790">
        <v>31345</v>
      </c>
      <c r="S30" s="790">
        <v>31172</v>
      </c>
      <c r="T30" s="790">
        <v>29445</v>
      </c>
      <c r="U30" s="793">
        <v>27574</v>
      </c>
      <c r="X30" s="804"/>
    </row>
    <row r="31" spans="1:25" ht="14.25">
      <c r="A31" s="794" t="s">
        <v>412</v>
      </c>
      <c r="B31" s="795">
        <v>9777</v>
      </c>
      <c r="C31" s="795">
        <v>12862</v>
      </c>
      <c r="D31" s="795">
        <v>14367</v>
      </c>
      <c r="E31" s="795">
        <v>16279</v>
      </c>
      <c r="F31" s="795">
        <v>16415</v>
      </c>
      <c r="G31" s="795">
        <v>16911</v>
      </c>
      <c r="H31" s="795">
        <v>18576</v>
      </c>
      <c r="I31" s="795">
        <v>18952</v>
      </c>
      <c r="J31" s="795">
        <v>20604</v>
      </c>
      <c r="K31" s="795">
        <v>22473</v>
      </c>
      <c r="L31" s="795">
        <v>23765</v>
      </c>
      <c r="M31" s="819">
        <v>24892</v>
      </c>
      <c r="N31" s="820">
        <v>27914</v>
      </c>
      <c r="O31" s="797">
        <v>29160</v>
      </c>
      <c r="P31" s="796">
        <v>31791</v>
      </c>
      <c r="Q31" s="796">
        <v>33122</v>
      </c>
      <c r="R31" s="796">
        <v>33708</v>
      </c>
      <c r="S31" s="796">
        <v>33515</v>
      </c>
      <c r="T31" s="796">
        <v>31513</v>
      </c>
      <c r="U31" s="798">
        <v>29877</v>
      </c>
      <c r="X31" s="804"/>
      <c r="Y31" s="799"/>
    </row>
    <row r="32" spans="1:24" ht="14.25">
      <c r="A32" s="794" t="s">
        <v>413</v>
      </c>
      <c r="B32" s="795">
        <v>6002</v>
      </c>
      <c r="C32" s="795">
        <v>6796</v>
      </c>
      <c r="D32" s="795">
        <v>9276</v>
      </c>
      <c r="E32" s="795">
        <v>10021</v>
      </c>
      <c r="F32" s="795">
        <v>10695</v>
      </c>
      <c r="G32" s="795">
        <v>11129</v>
      </c>
      <c r="H32" s="795">
        <v>12559</v>
      </c>
      <c r="I32" s="795">
        <v>12900</v>
      </c>
      <c r="J32" s="795">
        <v>13888</v>
      </c>
      <c r="K32" s="795">
        <v>15270</v>
      </c>
      <c r="L32" s="795">
        <v>16549</v>
      </c>
      <c r="M32" s="819">
        <v>18026</v>
      </c>
      <c r="N32" s="820">
        <v>18815</v>
      </c>
      <c r="O32" s="797">
        <v>19799</v>
      </c>
      <c r="P32" s="796">
        <v>21377</v>
      </c>
      <c r="Q32" s="796">
        <v>22527</v>
      </c>
      <c r="R32" s="796">
        <v>23623</v>
      </c>
      <c r="S32" s="796">
        <v>23594</v>
      </c>
      <c r="T32" s="796">
        <v>22652</v>
      </c>
      <c r="U32" s="798">
        <v>20390</v>
      </c>
      <c r="X32" s="804"/>
    </row>
    <row r="33" spans="1:24" ht="14.25">
      <c r="A33" s="794"/>
      <c r="B33" s="805"/>
      <c r="C33" s="805"/>
      <c r="D33" s="805"/>
      <c r="E33" s="805"/>
      <c r="F33" s="805"/>
      <c r="G33" s="805"/>
      <c r="H33" s="805"/>
      <c r="I33" s="805"/>
      <c r="J33" s="805"/>
      <c r="K33" s="805"/>
      <c r="L33" s="805"/>
      <c r="M33" s="822"/>
      <c r="N33" s="823"/>
      <c r="O33" s="824"/>
      <c r="P33" s="825"/>
      <c r="Q33" s="825"/>
      <c r="R33" s="825"/>
      <c r="S33" s="825"/>
      <c r="T33" s="825"/>
      <c r="U33" s="826"/>
      <c r="X33" s="804"/>
    </row>
    <row r="34" spans="1:21" ht="15">
      <c r="A34" s="788" t="s">
        <v>414</v>
      </c>
      <c r="B34" s="805"/>
      <c r="C34" s="805"/>
      <c r="D34" s="805"/>
      <c r="E34" s="805"/>
      <c r="F34" s="805"/>
      <c r="G34" s="805"/>
      <c r="H34" s="805"/>
      <c r="I34" s="805"/>
      <c r="J34" s="805"/>
      <c r="K34" s="805"/>
      <c r="L34" s="805"/>
      <c r="M34" s="822"/>
      <c r="N34" s="823"/>
      <c r="O34" s="824"/>
      <c r="P34" s="825"/>
      <c r="Q34" s="825"/>
      <c r="R34" s="825"/>
      <c r="S34" s="825"/>
      <c r="T34" s="825"/>
      <c r="U34" s="826"/>
    </row>
    <row r="35" spans="1:21" ht="14.25">
      <c r="A35" s="794" t="s">
        <v>415</v>
      </c>
      <c r="B35" s="827">
        <v>68.73</v>
      </c>
      <c r="C35" s="827">
        <v>66.18</v>
      </c>
      <c r="D35" s="827">
        <v>77.94</v>
      </c>
      <c r="E35" s="827">
        <v>76.27</v>
      </c>
      <c r="F35" s="827">
        <v>79.69</v>
      </c>
      <c r="G35" s="827">
        <v>78.01</v>
      </c>
      <c r="H35" s="827">
        <v>80.18</v>
      </c>
      <c r="I35" s="827">
        <v>78.45</v>
      </c>
      <c r="J35" s="827">
        <v>77.71</v>
      </c>
      <c r="K35" s="827">
        <v>78.25</v>
      </c>
      <c r="L35" s="827">
        <f aca="true" t="shared" si="1" ref="L35:U35">(L19+L20+L21)/L17*100</f>
        <v>77.6634562618268</v>
      </c>
      <c r="M35" s="828">
        <f t="shared" si="1"/>
        <v>78.26240780013507</v>
      </c>
      <c r="N35" s="828">
        <f t="shared" si="1"/>
        <v>84.64738650097414</v>
      </c>
      <c r="O35" s="829">
        <f t="shared" si="1"/>
        <v>82.7139300199033</v>
      </c>
      <c r="P35" s="830">
        <f t="shared" si="1"/>
        <v>84.22596278384773</v>
      </c>
      <c r="Q35" s="831">
        <f t="shared" si="1"/>
        <v>82.491093245552</v>
      </c>
      <c r="R35" s="830">
        <f t="shared" si="1"/>
        <v>78.17347406062275</v>
      </c>
      <c r="S35" s="830">
        <f t="shared" si="1"/>
        <v>76.79061204610636</v>
      </c>
      <c r="T35" s="830">
        <f t="shared" si="1"/>
        <v>79.19622512437591</v>
      </c>
      <c r="U35" s="832">
        <f t="shared" si="1"/>
        <v>77.29850876984405</v>
      </c>
    </row>
    <row r="36" spans="1:21" ht="14.25">
      <c r="A36" s="794" t="s">
        <v>416</v>
      </c>
      <c r="B36" s="827">
        <v>31.27</v>
      </c>
      <c r="C36" s="827">
        <v>33.82</v>
      </c>
      <c r="D36" s="827">
        <v>22.06</v>
      </c>
      <c r="E36" s="827">
        <v>23.73</v>
      </c>
      <c r="F36" s="827">
        <v>20.31</v>
      </c>
      <c r="G36" s="827">
        <v>21.99</v>
      </c>
      <c r="H36" s="827">
        <v>19.82</v>
      </c>
      <c r="I36" s="827">
        <v>21.55</v>
      </c>
      <c r="J36" s="827">
        <v>22.29</v>
      </c>
      <c r="K36" s="827">
        <v>21.75</v>
      </c>
      <c r="L36" s="827">
        <f aca="true" t="shared" si="2" ref="L36:U36">100-L35</f>
        <v>22.336543738173205</v>
      </c>
      <c r="M36" s="828">
        <f t="shared" si="2"/>
        <v>21.737592199864935</v>
      </c>
      <c r="N36" s="828">
        <f t="shared" si="2"/>
        <v>15.352613499025864</v>
      </c>
      <c r="O36" s="829">
        <f t="shared" si="2"/>
        <v>17.2860699800967</v>
      </c>
      <c r="P36" s="830">
        <f t="shared" si="2"/>
        <v>15.774037216152266</v>
      </c>
      <c r="Q36" s="831">
        <f t="shared" si="2"/>
        <v>17.508906754448006</v>
      </c>
      <c r="R36" s="830">
        <f t="shared" si="2"/>
        <v>21.826525939377248</v>
      </c>
      <c r="S36" s="830">
        <f t="shared" si="2"/>
        <v>23.20938795389364</v>
      </c>
      <c r="T36" s="830">
        <f t="shared" si="2"/>
        <v>20.803774875624086</v>
      </c>
      <c r="U36" s="832">
        <f t="shared" si="2"/>
        <v>22.701491230155952</v>
      </c>
    </row>
    <row r="37" spans="1:21" ht="14.25">
      <c r="A37" s="794" t="s">
        <v>417</v>
      </c>
      <c r="B37" s="827">
        <v>79</v>
      </c>
      <c r="C37" s="827">
        <v>101</v>
      </c>
      <c r="D37" s="827">
        <v>73</v>
      </c>
      <c r="E37" s="827">
        <v>89.17</v>
      </c>
      <c r="F37" s="827">
        <v>76.15</v>
      </c>
      <c r="G37" s="827">
        <v>86.3</v>
      </c>
      <c r="H37" s="827">
        <v>82.5</v>
      </c>
      <c r="I37" s="827">
        <v>93.78</v>
      </c>
      <c r="J37" s="827">
        <v>105.72</v>
      </c>
      <c r="K37" s="827">
        <v>111.65</v>
      </c>
      <c r="L37" s="827">
        <f aca="true" t="shared" si="3" ref="L37:U37">L24/L26</f>
        <v>113.3348155334573</v>
      </c>
      <c r="M37" s="828">
        <f t="shared" si="3"/>
        <v>114.58978494623656</v>
      </c>
      <c r="N37" s="828">
        <f t="shared" si="3"/>
        <v>80.31083956139872</v>
      </c>
      <c r="O37" s="833">
        <f t="shared" si="3"/>
        <v>98.29360874244557</v>
      </c>
      <c r="P37" s="831">
        <f t="shared" si="3"/>
        <v>94.92791455984312</v>
      </c>
      <c r="Q37" s="831">
        <f t="shared" si="3"/>
        <v>116.04575977466588</v>
      </c>
      <c r="R37" s="831">
        <f t="shared" si="3"/>
        <v>160.1526897205933</v>
      </c>
      <c r="S37" s="831">
        <f t="shared" si="3"/>
        <v>176.02170382188493</v>
      </c>
      <c r="T37" s="831">
        <f t="shared" si="3"/>
        <v>149.39771477453257</v>
      </c>
      <c r="U37" s="834">
        <f t="shared" si="3"/>
        <v>163.22827212558718</v>
      </c>
    </row>
    <row r="38" spans="1:21" ht="14.25">
      <c r="A38" s="794"/>
      <c r="B38" s="827"/>
      <c r="C38" s="827"/>
      <c r="D38" s="827"/>
      <c r="E38" s="827"/>
      <c r="F38" s="827"/>
      <c r="G38" s="827"/>
      <c r="H38" s="827"/>
      <c r="I38" s="827"/>
      <c r="J38" s="827"/>
      <c r="K38" s="827"/>
      <c r="L38" s="828"/>
      <c r="M38" s="828"/>
      <c r="N38" s="835"/>
      <c r="O38" s="833"/>
      <c r="P38" s="836"/>
      <c r="Q38" s="837"/>
      <c r="R38" s="836"/>
      <c r="S38" s="836"/>
      <c r="T38" s="836"/>
      <c r="U38" s="838"/>
    </row>
    <row r="39" spans="1:21" ht="14.25">
      <c r="A39" s="794" t="s">
        <v>418</v>
      </c>
      <c r="B39" s="795">
        <v>5337796</v>
      </c>
      <c r="C39" s="795">
        <v>7616525</v>
      </c>
      <c r="D39" s="795">
        <v>6796364</v>
      </c>
      <c r="E39" s="795">
        <v>9054017</v>
      </c>
      <c r="F39" s="795">
        <v>7819013</v>
      </c>
      <c r="G39" s="795">
        <v>8352254</v>
      </c>
      <c r="H39" s="795">
        <v>7986492</v>
      </c>
      <c r="I39" s="795">
        <v>11154070</v>
      </c>
      <c r="J39" s="795">
        <v>10388022</v>
      </c>
      <c r="K39" s="795">
        <v>11542010</v>
      </c>
      <c r="L39" s="795">
        <f>L14+L24</f>
        <v>12120490</v>
      </c>
      <c r="M39" s="819">
        <f>M14+M24</f>
        <v>12524657</v>
      </c>
      <c r="N39" s="819">
        <f>N14+N24</f>
        <v>11193388</v>
      </c>
      <c r="O39" s="797">
        <f>O14+O24</f>
        <v>14827992</v>
      </c>
      <c r="P39" s="796">
        <f aca="true" t="shared" si="4" ref="P39:U39">SUM(P14+P24)</f>
        <v>14148849.43</v>
      </c>
      <c r="Q39" s="839">
        <f t="shared" si="4"/>
        <v>16055436.614999996</v>
      </c>
      <c r="R39" s="796">
        <f t="shared" si="4"/>
        <v>14948065.729999999</v>
      </c>
      <c r="S39" s="796">
        <f t="shared" si="4"/>
        <v>14390844</v>
      </c>
      <c r="T39" s="796">
        <f t="shared" si="4"/>
        <v>12214110</v>
      </c>
      <c r="U39" s="798">
        <f t="shared" si="4"/>
        <v>12224467</v>
      </c>
    </row>
    <row r="40" spans="1:21" ht="14.25">
      <c r="A40" s="794" t="s">
        <v>419</v>
      </c>
      <c r="B40" s="827">
        <v>94.88</v>
      </c>
      <c r="C40" s="827">
        <v>123.13</v>
      </c>
      <c r="D40" s="827">
        <v>114.51</v>
      </c>
      <c r="E40" s="827">
        <v>149.55</v>
      </c>
      <c r="F40" s="827">
        <v>127.82</v>
      </c>
      <c r="G40" s="827">
        <v>137.62</v>
      </c>
      <c r="H40" s="827">
        <v>129.05</v>
      </c>
      <c r="I40" s="827">
        <v>180.26</v>
      </c>
      <c r="J40" s="827">
        <v>147.44</v>
      </c>
      <c r="K40" s="827">
        <v>160.71</v>
      </c>
      <c r="L40" s="827">
        <f>L39/L26</f>
        <v>163.31810709569623</v>
      </c>
      <c r="M40" s="828">
        <f>M39/M26</f>
        <v>168.34216397849463</v>
      </c>
      <c r="N40" s="828">
        <f>N39/N26</f>
        <v>152.65653810484972</v>
      </c>
      <c r="O40" s="829">
        <f aca="true" t="shared" si="5" ref="O40:U40">SUM(O39/O26)</f>
        <v>204.59740044705688</v>
      </c>
      <c r="P40" s="830">
        <f t="shared" si="5"/>
        <v>198.17703522655648</v>
      </c>
      <c r="Q40" s="831">
        <f t="shared" si="5"/>
        <v>233.7103935340184</v>
      </c>
      <c r="R40" s="830">
        <f t="shared" si="5"/>
        <v>214.8451438714499</v>
      </c>
      <c r="S40" s="830">
        <f t="shared" si="5"/>
        <v>206.8452416885861</v>
      </c>
      <c r="T40" s="830">
        <f t="shared" si="5"/>
        <v>186.5775082488085</v>
      </c>
      <c r="U40" s="832">
        <f t="shared" si="5"/>
        <v>183.46515885999008</v>
      </c>
    </row>
    <row r="41" spans="1:21" ht="14.25">
      <c r="A41" s="794"/>
      <c r="B41" s="827"/>
      <c r="C41" s="827"/>
      <c r="D41" s="827"/>
      <c r="E41" s="827"/>
      <c r="F41" s="827"/>
      <c r="G41" s="827"/>
      <c r="H41" s="827"/>
      <c r="I41" s="827"/>
      <c r="J41" s="827"/>
      <c r="K41" s="827"/>
      <c r="L41" s="828"/>
      <c r="M41" s="828"/>
      <c r="N41" s="840"/>
      <c r="O41" s="829"/>
      <c r="P41" s="836"/>
      <c r="Q41" s="837"/>
      <c r="R41" s="836"/>
      <c r="S41" s="836"/>
      <c r="T41" s="836"/>
      <c r="U41" s="838"/>
    </row>
    <row r="42" spans="1:21" ht="14.25">
      <c r="A42" s="794" t="s">
        <v>420</v>
      </c>
      <c r="B42" s="827"/>
      <c r="C42" s="827"/>
      <c r="D42" s="795">
        <v>1466681</v>
      </c>
      <c r="E42" s="795">
        <v>1660649</v>
      </c>
      <c r="F42" s="795">
        <v>1785131</v>
      </c>
      <c r="G42" s="795">
        <v>1962483</v>
      </c>
      <c r="H42" s="795">
        <v>2041353</v>
      </c>
      <c r="I42" s="795">
        <v>2150058</v>
      </c>
      <c r="J42" s="795">
        <v>2315255</v>
      </c>
      <c r="K42" s="795">
        <v>2414669</v>
      </c>
      <c r="L42" s="795">
        <v>2577000000</v>
      </c>
      <c r="M42" s="819">
        <v>2815000000</v>
      </c>
      <c r="N42" s="820">
        <v>2984000000</v>
      </c>
      <c r="O42" s="797">
        <v>3222000000</v>
      </c>
      <c r="P42" s="796">
        <v>3535000000</v>
      </c>
      <c r="Q42" s="796">
        <v>3689000000</v>
      </c>
      <c r="R42" s="796">
        <v>3626000000</v>
      </c>
      <c r="S42" s="796">
        <v>3667000000</v>
      </c>
      <c r="T42" s="796">
        <v>3729000000</v>
      </c>
      <c r="U42" s="798">
        <v>3922000000</v>
      </c>
    </row>
    <row r="43" spans="1:21" ht="15" thickBot="1">
      <c r="A43" s="841" t="s">
        <v>421</v>
      </c>
      <c r="B43" s="842"/>
      <c r="C43" s="842"/>
      <c r="D43" s="842">
        <v>1.52</v>
      </c>
      <c r="E43" s="843">
        <v>1.6</v>
      </c>
      <c r="F43" s="842">
        <v>1.47</v>
      </c>
      <c r="G43" s="842">
        <v>1.38</v>
      </c>
      <c r="H43" s="842">
        <v>1.42</v>
      </c>
      <c r="I43" s="842">
        <v>1.52</v>
      </c>
      <c r="J43" s="842">
        <v>1.59</v>
      </c>
      <c r="K43" s="843">
        <v>1.7</v>
      </c>
      <c r="L43" s="843">
        <f aca="true" t="shared" si="6" ref="L43:U43">L13/L42*100</f>
        <v>1.746463135428793</v>
      </c>
      <c r="M43" s="844">
        <f t="shared" si="6"/>
        <v>1.6933996092362342</v>
      </c>
      <c r="N43" s="844">
        <f t="shared" si="6"/>
        <v>1.7264324731903486</v>
      </c>
      <c r="O43" s="845">
        <f t="shared" si="6"/>
        <v>1.7259614525139664</v>
      </c>
      <c r="P43" s="845">
        <f t="shared" si="6"/>
        <v>1.6473506757567185</v>
      </c>
      <c r="Q43" s="846">
        <f t="shared" si="6"/>
        <v>1.6218053894009217</v>
      </c>
      <c r="R43" s="845">
        <f t="shared" si="6"/>
        <v>1.6479897564809702</v>
      </c>
      <c r="S43" s="845">
        <f t="shared" si="6"/>
        <v>1.6216074447777475</v>
      </c>
      <c r="T43" s="845">
        <f t="shared" si="6"/>
        <v>1.4422927862697774</v>
      </c>
      <c r="U43" s="847">
        <f t="shared" si="6"/>
        <v>1.3425970933197349</v>
      </c>
    </row>
    <row r="44" spans="1:20" ht="7.5" customHeight="1">
      <c r="A44" s="848"/>
      <c r="B44" s="849"/>
      <c r="C44" s="849"/>
      <c r="D44" s="849"/>
      <c r="E44" s="850"/>
      <c r="F44" s="849"/>
      <c r="G44" s="849"/>
      <c r="H44" s="849"/>
      <c r="I44" s="849"/>
      <c r="J44" s="849"/>
      <c r="K44" s="850"/>
      <c r="L44" s="851"/>
      <c r="M44" s="851"/>
      <c r="N44" s="851"/>
      <c r="O44" s="852"/>
      <c r="P44" s="852"/>
      <c r="Q44" s="852"/>
      <c r="R44" s="852"/>
      <c r="S44" s="852"/>
      <c r="T44" s="852"/>
    </row>
    <row r="45" spans="1:15" ht="12.75">
      <c r="A45" s="849" t="s">
        <v>422</v>
      </c>
      <c r="B45" s="849"/>
      <c r="C45" s="849"/>
      <c r="D45" s="849"/>
      <c r="E45" s="849"/>
      <c r="F45" s="849"/>
      <c r="G45" s="849"/>
      <c r="H45" s="849"/>
      <c r="I45" s="849"/>
      <c r="J45" s="849"/>
      <c r="K45" s="849"/>
      <c r="L45" s="849"/>
      <c r="M45" s="853"/>
      <c r="N45" s="853"/>
      <c r="O45" s="853"/>
    </row>
    <row r="46" spans="1:2" ht="12.75">
      <c r="A46" s="854" t="s">
        <v>423</v>
      </c>
      <c r="B46" s="853"/>
    </row>
    <row r="47" spans="1:27" s="772" customFormat="1" ht="11.25">
      <c r="A47" s="772" t="s">
        <v>424</v>
      </c>
      <c r="V47" s="855"/>
      <c r="W47" s="855"/>
      <c r="X47" s="855"/>
      <c r="Y47" s="855"/>
      <c r="Z47" s="855"/>
      <c r="AA47" s="855"/>
    </row>
    <row r="48" spans="1:27" s="772" customFormat="1" ht="11.25">
      <c r="A48" s="772" t="s">
        <v>425</v>
      </c>
      <c r="V48" s="855"/>
      <c r="W48" s="855"/>
      <c r="X48" s="855"/>
      <c r="Y48" s="855"/>
      <c r="Z48" s="855"/>
      <c r="AA48" s="855"/>
    </row>
    <row r="49" spans="1:27" s="772" customFormat="1" ht="11.25">
      <c r="A49" s="772" t="s">
        <v>426</v>
      </c>
      <c r="V49" s="855"/>
      <c r="W49" s="855"/>
      <c r="X49" s="855"/>
      <c r="Y49" s="855"/>
      <c r="Z49" s="855"/>
      <c r="AA49" s="855"/>
    </row>
    <row r="50" spans="1:21" ht="30.75" customHeight="1">
      <c r="A50" s="1010" t="s">
        <v>447</v>
      </c>
      <c r="B50" s="1010"/>
      <c r="C50" s="1010"/>
      <c r="D50" s="1010"/>
      <c r="E50" s="1010"/>
      <c r="F50" s="1010"/>
      <c r="G50" s="1010"/>
      <c r="H50" s="1010"/>
      <c r="I50" s="1010"/>
      <c r="J50" s="1010"/>
      <c r="K50" s="1010"/>
      <c r="L50" s="1010"/>
      <c r="M50" s="1010"/>
      <c r="N50" s="1010"/>
      <c r="O50" s="1010"/>
      <c r="P50" s="1010"/>
      <c r="Q50" s="1010"/>
      <c r="R50" s="1010"/>
      <c r="S50" s="1010"/>
      <c r="T50" s="1010"/>
      <c r="U50" s="1010"/>
    </row>
    <row r="51" spans="10:13" ht="12.75">
      <c r="J51" s="856"/>
      <c r="M51" s="857"/>
    </row>
    <row r="52" spans="1:27" s="859" customFormat="1" ht="15">
      <c r="A52" s="858" t="s">
        <v>427</v>
      </c>
      <c r="J52" s="860"/>
      <c r="M52" s="861"/>
      <c r="O52" s="1011" t="s">
        <v>240</v>
      </c>
      <c r="P52" s="1011"/>
      <c r="Q52" s="1011"/>
      <c r="S52" s="1012" t="s">
        <v>167</v>
      </c>
      <c r="T52" s="1012"/>
      <c r="U52" s="1012"/>
      <c r="V52" s="862"/>
      <c r="W52" s="862"/>
      <c r="X52" s="862"/>
      <c r="Y52" s="862"/>
      <c r="Z52" s="862"/>
      <c r="AA52" s="862"/>
    </row>
    <row r="53" spans="10:13" ht="12.75">
      <c r="J53" s="856"/>
      <c r="M53" s="857"/>
    </row>
    <row r="54" ht="12.75">
      <c r="T54" s="863"/>
    </row>
    <row r="55" spans="1:21" ht="12.75">
      <c r="A55" s="863"/>
      <c r="T55" s="863"/>
      <c r="U55" s="863"/>
    </row>
    <row r="56" spans="1:21" ht="12.75">
      <c r="A56" s="863"/>
      <c r="T56" s="863"/>
      <c r="U56" s="863"/>
    </row>
    <row r="57" spans="20:21" ht="12.75">
      <c r="T57" s="863"/>
      <c r="U57" s="863"/>
    </row>
    <row r="58" spans="1:20" ht="12.75">
      <c r="A58" s="863"/>
      <c r="T58" s="863"/>
    </row>
    <row r="59" ht="12.75">
      <c r="T59" s="863"/>
    </row>
    <row r="60" ht="12.75">
      <c r="T60" s="863"/>
    </row>
    <row r="61" ht="12.75">
      <c r="T61" s="863"/>
    </row>
    <row r="62" ht="12.75">
      <c r="T62" s="863"/>
    </row>
    <row r="63" ht="12.75">
      <c r="T63" s="863"/>
    </row>
  </sheetData>
  <mergeCells count="4">
    <mergeCell ref="A50:U50"/>
    <mergeCell ref="O52:Q52"/>
    <mergeCell ref="S52:U52"/>
    <mergeCell ref="A3:U3"/>
  </mergeCells>
  <printOptions horizontalCentered="1"/>
  <pageMargins left="0.7874015748031497" right="0.7874015748031497" top="0.984251968503937" bottom="0.984251968503937" header="0.5118110236220472" footer="0.3937007874015748"/>
  <pageSetup fitToHeight="1" fitToWidth="1" horizontalDpi="600" verticalDpi="600" orientation="landscape" paperSize="9" scale="59" r:id="rId1"/>
  <headerFooter alignWithMargins="0">
    <oddFooter>&amp;C&amp;13&amp;P+168&amp;12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1:AE40"/>
  <sheetViews>
    <sheetView tabSelected="1" zoomScale="75" zoomScaleNormal="75" workbookViewId="0" topLeftCell="A13">
      <selection activeCell="H13" sqref="H13"/>
    </sheetView>
  </sheetViews>
  <sheetFormatPr defaultColWidth="9.00390625" defaultRowHeight="12.75"/>
  <cols>
    <col min="1" max="1" width="1.875" style="3" customWidth="1"/>
    <col min="2" max="2" width="4.75390625" style="1" customWidth="1"/>
    <col min="3" max="3" width="2.00390625" style="3" customWidth="1"/>
    <col min="4" max="4" width="10.00390625" style="3" customWidth="1"/>
    <col min="5" max="5" width="8.125" style="3" customWidth="1"/>
    <col min="6" max="6" width="10.625" style="3" customWidth="1"/>
    <col min="7" max="7" width="8.75390625" style="3" customWidth="1"/>
    <col min="8" max="8" width="3.75390625" style="3" customWidth="1"/>
    <col min="9" max="9" width="13.125" style="3" customWidth="1"/>
    <col min="10" max="10" width="14.25390625" style="3" customWidth="1"/>
    <col min="11" max="11" width="3.75390625" style="3" customWidth="1"/>
    <col min="12" max="12" width="2.25390625" style="3" hidden="1" customWidth="1"/>
    <col min="13" max="14" width="20.00390625" style="3" customWidth="1"/>
    <col min="15" max="15" width="2.125" style="3" customWidth="1"/>
    <col min="16" max="16" width="13.25390625" style="0" customWidth="1"/>
    <col min="17" max="17" width="13.875" style="3" customWidth="1"/>
    <col min="18" max="18" width="2.625" style="2" customWidth="1"/>
    <col min="19" max="19" width="12.75390625" style="3" customWidth="1"/>
    <col min="20" max="20" width="13.125" style="3" customWidth="1"/>
    <col min="21" max="21" width="2.875" style="3" customWidth="1"/>
    <col min="22" max="22" width="5.625" style="3" customWidth="1"/>
    <col min="23" max="23" width="8.25390625" style="3" customWidth="1"/>
    <col min="24" max="24" width="11.125" style="3" customWidth="1"/>
    <col min="25" max="25" width="12.25390625" style="3" customWidth="1"/>
    <col min="26" max="26" width="2.75390625" style="3" customWidth="1"/>
    <col min="27" max="27" width="8.25390625" style="63" customWidth="1"/>
    <col min="28" max="28" width="7.375" style="63" customWidth="1"/>
    <col min="29" max="29" width="8.375" style="63" customWidth="1"/>
    <col min="30" max="30" width="12.125" style="63" customWidth="1"/>
    <col min="31" max="31" width="4.00390625" style="3" customWidth="1"/>
    <col min="32" max="16384" width="9.125" style="3" customWidth="1"/>
  </cols>
  <sheetData>
    <row r="1" spans="2:31" s="48" customFormat="1" ht="52.5" customHeight="1">
      <c r="B1" s="1047" t="s">
        <v>90</v>
      </c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1047"/>
      <c r="O1" s="1047"/>
      <c r="P1" s="1047"/>
      <c r="Q1" s="1047"/>
      <c r="R1" s="1047"/>
      <c r="S1" s="1047"/>
      <c r="T1" s="1047"/>
      <c r="U1" s="1047"/>
      <c r="V1" s="1047"/>
      <c r="W1" s="1047"/>
      <c r="X1" s="1047"/>
      <c r="Y1" s="1047"/>
      <c r="Z1" s="1047"/>
      <c r="AA1" s="1047"/>
      <c r="AB1" s="1047"/>
      <c r="AC1" s="1047"/>
      <c r="AD1" s="1047"/>
      <c r="AE1" s="49"/>
    </row>
    <row r="2" spans="2:30" s="50" customFormat="1" ht="9.75" customHeight="1" thickBot="1">
      <c r="B2" s="51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53"/>
      <c r="R2" s="55"/>
      <c r="S2" s="53"/>
      <c r="T2" s="53"/>
      <c r="U2" s="53"/>
      <c r="V2" s="53"/>
      <c r="W2" s="53"/>
      <c r="X2" s="53"/>
      <c r="Y2" s="53"/>
      <c r="Z2" s="53"/>
      <c r="AA2" s="55"/>
      <c r="AB2" s="55"/>
      <c r="AC2" s="55"/>
      <c r="AD2" s="56"/>
    </row>
    <row r="3" spans="2:30" s="57" customFormat="1" ht="28.5" customHeight="1" hidden="1">
      <c r="B3" s="51"/>
      <c r="E3" s="58"/>
      <c r="F3" s="59"/>
      <c r="G3" s="59"/>
      <c r="H3" s="59"/>
      <c r="I3" s="59"/>
      <c r="J3" s="59"/>
      <c r="K3" s="59"/>
      <c r="L3" s="59"/>
      <c r="M3" s="59"/>
      <c r="N3" s="59"/>
      <c r="O3" s="59"/>
      <c r="P3" s="54"/>
      <c r="Q3" s="59"/>
      <c r="R3" s="55"/>
      <c r="S3" s="59"/>
      <c r="T3" s="59"/>
      <c r="U3" s="59"/>
      <c r="V3" s="59"/>
      <c r="W3" s="59"/>
      <c r="X3" s="59"/>
      <c r="Y3" s="59"/>
      <c r="Z3" s="59"/>
      <c r="AA3" s="55"/>
      <c r="AB3" s="55"/>
      <c r="AC3" s="55"/>
      <c r="AD3" s="56"/>
    </row>
    <row r="4" spans="8:27" ht="29.25" customHeight="1" thickBot="1">
      <c r="H4"/>
      <c r="I4"/>
      <c r="J4"/>
      <c r="K4"/>
      <c r="L4"/>
      <c r="M4"/>
      <c r="N4"/>
      <c r="O4" s="60" t="s">
        <v>11</v>
      </c>
      <c r="P4" s="61"/>
      <c r="Q4" s="61"/>
      <c r="R4" s="61"/>
      <c r="S4" s="61"/>
      <c r="T4" s="61"/>
      <c r="U4" s="62"/>
      <c r="X4"/>
      <c r="Y4"/>
      <c r="Z4"/>
      <c r="AA4" s="47"/>
    </row>
    <row r="5" spans="5:28" ht="9.75" customHeight="1" thickBot="1"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91"/>
      <c r="R5" s="5"/>
      <c r="S5" s="92"/>
      <c r="T5" s="6"/>
      <c r="U5" s="6"/>
      <c r="V5" s="6"/>
      <c r="W5" s="6"/>
      <c r="X5" s="5"/>
      <c r="Y5" s="6"/>
      <c r="Z5" s="5"/>
      <c r="AA5" s="64"/>
      <c r="AB5" s="65"/>
    </row>
    <row r="6" spans="2:28" ht="17.25" customHeight="1" thickBot="1">
      <c r="B6" s="7"/>
      <c r="C6" s="8"/>
      <c r="D6" s="9"/>
      <c r="E6" s="10"/>
      <c r="F6" s="11"/>
      <c r="G6" s="11"/>
      <c r="H6" s="11"/>
      <c r="I6" s="93"/>
      <c r="J6" s="11"/>
      <c r="K6" s="11"/>
      <c r="L6" s="11"/>
      <c r="M6" s="12"/>
      <c r="N6" s="11"/>
      <c r="O6" s="11"/>
      <c r="P6" s="12"/>
      <c r="Q6" s="11"/>
      <c r="R6" s="8"/>
      <c r="S6" s="12"/>
      <c r="T6" s="11"/>
      <c r="U6" s="13"/>
      <c r="V6" s="13"/>
      <c r="W6" s="14"/>
      <c r="X6" s="13"/>
      <c r="Y6"/>
      <c r="Z6"/>
      <c r="AA6" s="47"/>
      <c r="AB6" s="66"/>
    </row>
    <row r="7" spans="2:30" s="18" customFormat="1" ht="26.25" customHeight="1">
      <c r="B7" s="7"/>
      <c r="C7" s="8"/>
      <c r="D7" s="1048" t="s">
        <v>46</v>
      </c>
      <c r="E7" s="1049"/>
      <c r="F7" s="1049"/>
      <c r="G7" s="1050"/>
      <c r="H7" s="15" t="s">
        <v>47</v>
      </c>
      <c r="I7" s="1062" t="s">
        <v>0</v>
      </c>
      <c r="J7" s="1063"/>
      <c r="K7" s="16"/>
      <c r="L7" s="16"/>
      <c r="M7" s="1051" t="s">
        <v>12</v>
      </c>
      <c r="N7" s="1052"/>
      <c r="O7" s="16"/>
      <c r="P7" s="1051" t="s">
        <v>48</v>
      </c>
      <c r="Q7" s="1053"/>
      <c r="R7" s="8"/>
      <c r="S7" s="1054" t="s">
        <v>48</v>
      </c>
      <c r="T7" s="1055"/>
      <c r="U7"/>
      <c r="V7" s="1056" t="s">
        <v>49</v>
      </c>
      <c r="W7" s="1057"/>
      <c r="X7" s="1057"/>
      <c r="Y7" s="1058"/>
      <c r="Z7" s="43"/>
      <c r="AA7" s="1059" t="s">
        <v>50</v>
      </c>
      <c r="AB7" s="1060"/>
      <c r="AC7" s="1060"/>
      <c r="AD7" s="1061"/>
    </row>
    <row r="8" spans="2:30" ht="21" customHeight="1" thickBot="1">
      <c r="B8" s="7"/>
      <c r="C8" s="19"/>
      <c r="D8" s="1074" t="s">
        <v>51</v>
      </c>
      <c r="E8" s="1075"/>
      <c r="F8" s="1075"/>
      <c r="G8" s="1076"/>
      <c r="H8" s="20"/>
      <c r="I8" s="1064"/>
      <c r="J8" s="1065"/>
      <c r="K8" s="16"/>
      <c r="L8" s="16"/>
      <c r="M8" s="1077" t="s">
        <v>13</v>
      </c>
      <c r="N8" s="1078"/>
      <c r="O8" s="16"/>
      <c r="P8" s="1077" t="s">
        <v>1</v>
      </c>
      <c r="Q8" s="1079"/>
      <c r="R8" s="8"/>
      <c r="S8" s="1080" t="s">
        <v>52</v>
      </c>
      <c r="T8" s="1081"/>
      <c r="U8"/>
      <c r="V8" s="1066" t="s">
        <v>53</v>
      </c>
      <c r="W8" s="1067"/>
      <c r="X8" s="1067"/>
      <c r="Y8" s="1068"/>
      <c r="Z8" s="43"/>
      <c r="AA8" s="1069" t="s">
        <v>54</v>
      </c>
      <c r="AB8" s="1070"/>
      <c r="AC8" s="1070"/>
      <c r="AD8" s="1071"/>
    </row>
    <row r="9" spans="2:31" ht="14.25" customHeight="1" thickBot="1">
      <c r="B9" s="21"/>
      <c r="C9" s="22"/>
      <c r="D9" s="23"/>
      <c r="E9" s="24"/>
      <c r="F9" s="23"/>
      <c r="G9" s="23"/>
      <c r="H9" s="1082" t="s">
        <v>55</v>
      </c>
      <c r="I9" s="115"/>
      <c r="J9" s="116"/>
      <c r="K9" s="25"/>
      <c r="L9" s="25"/>
      <c r="M9" s="26"/>
      <c r="N9" s="27"/>
      <c r="O9" s="25"/>
      <c r="P9" s="26"/>
      <c r="Q9" s="27"/>
      <c r="R9" s="8"/>
      <c r="S9" s="28"/>
      <c r="T9" s="8"/>
      <c r="U9"/>
      <c r="V9" s="43"/>
      <c r="W9" s="94"/>
      <c r="X9" s="43"/>
      <c r="Y9" s="43"/>
      <c r="Z9" s="43"/>
      <c r="AA9" s="90"/>
      <c r="AB9" s="95"/>
      <c r="AC9" s="90"/>
      <c r="AD9" s="90"/>
      <c r="AE9"/>
    </row>
    <row r="10" spans="2:31" ht="35.25" customHeight="1" thickBot="1">
      <c r="B10" s="21" t="s">
        <v>56</v>
      </c>
      <c r="C10" s="29"/>
      <c r="D10" s="1030" t="s">
        <v>86</v>
      </c>
      <c r="E10" s="1031"/>
      <c r="F10" s="1031"/>
      <c r="G10" s="1032"/>
      <c r="H10" s="1083"/>
      <c r="I10" s="9"/>
      <c r="J10" s="9"/>
      <c r="K10" s="16"/>
      <c r="L10" s="16"/>
      <c r="M10" s="1033" t="s">
        <v>14</v>
      </c>
      <c r="N10" s="1034"/>
      <c r="O10" s="16"/>
      <c r="P10" s="1072" t="s">
        <v>69</v>
      </c>
      <c r="Q10" s="1073"/>
      <c r="R10" s="8"/>
      <c r="S10" s="67" t="s">
        <v>57</v>
      </c>
      <c r="T10" s="68"/>
      <c r="U10" s="47"/>
      <c r="V10" s="1019" t="s">
        <v>84</v>
      </c>
      <c r="W10" s="1020"/>
      <c r="X10" s="1020"/>
      <c r="Y10" s="1021"/>
      <c r="Z10" s="90"/>
      <c r="AA10" s="90"/>
      <c r="AB10" s="95"/>
      <c r="AC10" s="90"/>
      <c r="AD10" s="90"/>
      <c r="AE10"/>
    </row>
    <row r="11" spans="2:31" ht="18.75" customHeight="1" thickBot="1">
      <c r="B11" s="21"/>
      <c r="C11" s="29"/>
      <c r="D11" s="117"/>
      <c r="E11" s="118"/>
      <c r="F11" s="119"/>
      <c r="G11" s="120"/>
      <c r="H11" s="30"/>
      <c r="I11" s="9"/>
      <c r="J11" s="9"/>
      <c r="K11" s="16"/>
      <c r="L11" s="16"/>
      <c r="M11" s="26"/>
      <c r="N11" s="27"/>
      <c r="O11" s="16"/>
      <c r="P11" s="26"/>
      <c r="Q11" s="27"/>
      <c r="R11" s="8"/>
      <c r="S11" s="28"/>
      <c r="T11" s="69"/>
      <c r="U11" s="47"/>
      <c r="V11" s="90"/>
      <c r="W11" s="90"/>
      <c r="X11" s="96"/>
      <c r="Y11" s="90"/>
      <c r="Z11" s="90"/>
      <c r="AA11" s="90"/>
      <c r="AB11" s="95"/>
      <c r="AC11" s="90"/>
      <c r="AD11" s="90"/>
      <c r="AE11" s="17"/>
    </row>
    <row r="12" spans="2:31" ht="48.75" customHeight="1" thickBot="1">
      <c r="B12" s="21" t="s">
        <v>58</v>
      </c>
      <c r="C12" s="29"/>
      <c r="D12" s="70"/>
      <c r="E12" s="121"/>
      <c r="F12" s="71"/>
      <c r="G12" s="71"/>
      <c r="H12" s="30"/>
      <c r="I12" s="9"/>
      <c r="J12" s="9"/>
      <c r="K12" s="8"/>
      <c r="L12" s="8"/>
      <c r="M12" s="1033" t="s">
        <v>15</v>
      </c>
      <c r="N12" s="1034"/>
      <c r="O12" s="8"/>
      <c r="P12" s="1035" t="s">
        <v>59</v>
      </c>
      <c r="Q12" s="1036"/>
      <c r="R12" s="8"/>
      <c r="S12" s="67" t="s">
        <v>60</v>
      </c>
      <c r="T12" s="68"/>
      <c r="U12" s="47"/>
      <c r="V12" s="1019" t="s">
        <v>82</v>
      </c>
      <c r="W12" s="1020"/>
      <c r="X12" s="1020"/>
      <c r="Y12" s="1021"/>
      <c r="Z12" s="90"/>
      <c r="AA12" s="90"/>
      <c r="AB12" s="95"/>
      <c r="AC12" s="90"/>
      <c r="AD12" s="90"/>
      <c r="AE12" s="17"/>
    </row>
    <row r="13" spans="2:31" ht="14.25" customHeight="1" thickBot="1">
      <c r="B13" s="21"/>
      <c r="C13" s="29"/>
      <c r="D13" s="31"/>
      <c r="E13" s="32"/>
      <c r="F13" s="31"/>
      <c r="G13" s="31"/>
      <c r="H13" s="30"/>
      <c r="I13" s="9"/>
      <c r="J13" s="9"/>
      <c r="K13" s="8"/>
      <c r="L13" s="8"/>
      <c r="M13" s="26"/>
      <c r="N13" s="27"/>
      <c r="O13" s="8"/>
      <c r="P13" s="26"/>
      <c r="Q13" s="27"/>
      <c r="R13" s="8"/>
      <c r="S13" s="28"/>
      <c r="T13" s="69"/>
      <c r="U13" s="47"/>
      <c r="V13" s="90"/>
      <c r="W13" s="90"/>
      <c r="X13" s="96"/>
      <c r="Y13" s="90"/>
      <c r="Z13" s="90"/>
      <c r="AA13" s="90"/>
      <c r="AB13" s="95"/>
      <c r="AC13" s="90"/>
      <c r="AD13" s="90"/>
      <c r="AE13" s="17"/>
    </row>
    <row r="14" spans="2:31" ht="43.5" customHeight="1" thickBot="1">
      <c r="B14" s="7" t="s">
        <v>40</v>
      </c>
      <c r="C14" s="29"/>
      <c r="D14" s="1030" t="s">
        <v>87</v>
      </c>
      <c r="E14" s="1031"/>
      <c r="F14" s="1031"/>
      <c r="G14" s="1032"/>
      <c r="H14" s="30"/>
      <c r="I14" s="9"/>
      <c r="J14" s="9"/>
      <c r="K14" s="8"/>
      <c r="L14" s="8"/>
      <c r="M14" s="1033" t="s">
        <v>2</v>
      </c>
      <c r="N14" s="1034"/>
      <c r="O14" s="8"/>
      <c r="P14" s="1035" t="s">
        <v>41</v>
      </c>
      <c r="Q14" s="1036"/>
      <c r="R14" s="8"/>
      <c r="S14" s="67" t="s">
        <v>42</v>
      </c>
      <c r="T14" s="68"/>
      <c r="U14" s="47"/>
      <c r="V14" s="1019" t="s">
        <v>71</v>
      </c>
      <c r="W14" s="1020"/>
      <c r="X14" s="1020"/>
      <c r="Y14" s="1021"/>
      <c r="Z14" s="90"/>
      <c r="AA14" s="90"/>
      <c r="AB14" s="95"/>
      <c r="AC14" s="90"/>
      <c r="AD14" s="90"/>
      <c r="AE14" s="17"/>
    </row>
    <row r="15" spans="2:31" ht="15.75" customHeight="1" thickBot="1">
      <c r="B15" s="21"/>
      <c r="C15" s="29"/>
      <c r="D15" s="122"/>
      <c r="E15" s="123"/>
      <c r="F15" s="122"/>
      <c r="G15" s="122"/>
      <c r="H15" s="30"/>
      <c r="I15" s="9"/>
      <c r="J15" s="9"/>
      <c r="K15" s="16"/>
      <c r="L15" s="16"/>
      <c r="M15" s="26"/>
      <c r="N15" s="27"/>
      <c r="O15" s="16"/>
      <c r="P15" s="26"/>
      <c r="Q15" s="27"/>
      <c r="R15" s="8"/>
      <c r="S15" s="28"/>
      <c r="T15" s="69"/>
      <c r="U15" s="47"/>
      <c r="V15" s="90"/>
      <c r="W15" s="90"/>
      <c r="X15" s="96"/>
      <c r="Y15" s="90"/>
      <c r="Z15" s="90"/>
      <c r="AA15" s="90"/>
      <c r="AB15" s="95"/>
      <c r="AC15" s="90"/>
      <c r="AD15" s="90"/>
      <c r="AE15" s="17"/>
    </row>
    <row r="16" spans="2:31" ht="45.75" customHeight="1" thickBot="1">
      <c r="B16" s="21" t="s">
        <v>58</v>
      </c>
      <c r="C16" s="29"/>
      <c r="D16" s="124"/>
      <c r="E16" s="125"/>
      <c r="F16" s="126"/>
      <c r="G16" s="73"/>
      <c r="H16" s="30"/>
      <c r="I16" s="9"/>
      <c r="J16" s="9"/>
      <c r="K16" s="16"/>
      <c r="L16" s="16"/>
      <c r="M16" s="1033" t="s">
        <v>16</v>
      </c>
      <c r="N16" s="1034"/>
      <c r="O16" s="16"/>
      <c r="P16" s="1035" t="s">
        <v>43</v>
      </c>
      <c r="Q16" s="1036"/>
      <c r="R16" s="8"/>
      <c r="S16" s="67" t="s">
        <v>34</v>
      </c>
      <c r="T16" s="68"/>
      <c r="U16" s="47"/>
      <c r="V16" s="1042" t="s">
        <v>17</v>
      </c>
      <c r="W16" s="1043"/>
      <c r="X16" s="1043"/>
      <c r="Y16" s="1044"/>
      <c r="Z16" s="90"/>
      <c r="AA16" s="90"/>
      <c r="AB16" s="95"/>
      <c r="AC16" s="90"/>
      <c r="AD16" s="90"/>
      <c r="AE16" s="17"/>
    </row>
    <row r="17" spans="2:31" ht="21.75" customHeight="1" thickBot="1">
      <c r="B17" s="21"/>
      <c r="C17" s="29"/>
      <c r="D17" s="31"/>
      <c r="E17" s="32"/>
      <c r="F17" s="31"/>
      <c r="G17" s="31"/>
      <c r="H17" s="30"/>
      <c r="I17" s="9"/>
      <c r="J17" s="9"/>
      <c r="K17" s="16"/>
      <c r="L17" s="16"/>
      <c r="M17" s="26"/>
      <c r="N17" s="27"/>
      <c r="O17" s="16"/>
      <c r="P17" s="26"/>
      <c r="Q17" s="27"/>
      <c r="R17" s="8"/>
      <c r="S17" s="28"/>
      <c r="T17" s="69"/>
      <c r="U17" s="47"/>
      <c r="V17" s="90"/>
      <c r="W17" s="90"/>
      <c r="X17" s="96"/>
      <c r="Y17" s="90"/>
      <c r="Z17" s="90"/>
      <c r="AA17" s="90"/>
      <c r="AB17" s="95"/>
      <c r="AC17" s="90"/>
      <c r="AD17" s="90"/>
      <c r="AE17" s="17"/>
    </row>
    <row r="18" spans="2:31" ht="44.25" customHeight="1" thickBot="1">
      <c r="B18" s="21" t="s">
        <v>35</v>
      </c>
      <c r="C18" s="29"/>
      <c r="D18" s="1030" t="s">
        <v>88</v>
      </c>
      <c r="E18" s="1031"/>
      <c r="F18" s="1031"/>
      <c r="G18" s="1032"/>
      <c r="H18" s="33"/>
      <c r="I18" s="97"/>
      <c r="J18" s="97"/>
      <c r="K18" s="34"/>
      <c r="L18" s="34"/>
      <c r="M18" s="1033" t="s">
        <v>3</v>
      </c>
      <c r="N18" s="1034"/>
      <c r="O18" s="34"/>
      <c r="P18" s="1035" t="s">
        <v>36</v>
      </c>
      <c r="Q18" s="1036"/>
      <c r="R18" s="8"/>
      <c r="S18" s="67" t="s">
        <v>73</v>
      </c>
      <c r="T18" s="68"/>
      <c r="U18" s="47"/>
      <c r="V18" s="1019" t="s">
        <v>83</v>
      </c>
      <c r="W18" s="1020"/>
      <c r="X18" s="1020"/>
      <c r="Y18" s="1021"/>
      <c r="Z18" s="90"/>
      <c r="AA18" s="90"/>
      <c r="AB18" s="95"/>
      <c r="AC18" s="90"/>
      <c r="AD18" s="90"/>
      <c r="AE18" s="17"/>
    </row>
    <row r="19" spans="2:31" ht="15.75" customHeight="1" thickBot="1">
      <c r="B19" s="21"/>
      <c r="C19" s="29"/>
      <c r="D19" s="1084"/>
      <c r="E19" s="1084"/>
      <c r="F19" s="1084"/>
      <c r="G19" s="1084"/>
      <c r="H19" s="33"/>
      <c r="I19" s="98"/>
      <c r="J19" s="97"/>
      <c r="K19" s="99"/>
      <c r="L19" s="8"/>
      <c r="M19" s="26"/>
      <c r="N19" s="27"/>
      <c r="O19" s="8"/>
      <c r="P19" s="26"/>
      <c r="Q19" s="27"/>
      <c r="R19" s="8"/>
      <c r="S19" s="28"/>
      <c r="T19" s="69"/>
      <c r="U19" s="47"/>
      <c r="V19" s="90"/>
      <c r="W19" s="90"/>
      <c r="X19" s="96"/>
      <c r="Y19" s="90"/>
      <c r="Z19" s="90"/>
      <c r="AA19" s="90"/>
      <c r="AB19" s="95"/>
      <c r="AC19" s="90"/>
      <c r="AD19" s="90"/>
      <c r="AE19" s="17"/>
    </row>
    <row r="20" spans="2:31" ht="44.25" customHeight="1" thickBot="1">
      <c r="B20" s="21" t="s">
        <v>74</v>
      </c>
      <c r="C20" s="29"/>
      <c r="D20" s="1085"/>
      <c r="E20" s="1085"/>
      <c r="F20" s="1085"/>
      <c r="G20" s="1085"/>
      <c r="H20" s="33"/>
      <c r="I20" s="98"/>
      <c r="J20" s="97"/>
      <c r="K20" s="99"/>
      <c r="L20" s="8"/>
      <c r="M20" s="1033" t="s">
        <v>18</v>
      </c>
      <c r="N20" s="1034"/>
      <c r="O20" s="8"/>
      <c r="P20" s="1035" t="s">
        <v>75</v>
      </c>
      <c r="Q20" s="1036"/>
      <c r="R20" s="8"/>
      <c r="S20" s="67" t="s">
        <v>76</v>
      </c>
      <c r="T20" s="68"/>
      <c r="U20" s="47"/>
      <c r="V20" s="1019" t="s">
        <v>72</v>
      </c>
      <c r="W20" s="1020"/>
      <c r="X20" s="1020"/>
      <c r="Y20" s="1021"/>
      <c r="Z20" s="90"/>
      <c r="AA20" s="90"/>
      <c r="AB20" s="95"/>
      <c r="AC20" s="90"/>
      <c r="AD20" s="90"/>
      <c r="AE20" s="17"/>
    </row>
    <row r="21" spans="2:31" ht="18.75" customHeight="1" thickBot="1">
      <c r="B21" s="21"/>
      <c r="C21" s="29"/>
      <c r="D21" s="127"/>
      <c r="E21" s="126"/>
      <c r="F21" s="126"/>
      <c r="G21" s="73"/>
      <c r="H21" s="33"/>
      <c r="I21" s="98"/>
      <c r="J21" s="97"/>
      <c r="K21" s="99"/>
      <c r="L21" s="8"/>
      <c r="M21" s="26"/>
      <c r="N21" s="27"/>
      <c r="O21" s="8"/>
      <c r="P21" s="26"/>
      <c r="Q21" s="27"/>
      <c r="R21" s="8"/>
      <c r="S21" s="28"/>
      <c r="T21" s="69"/>
      <c r="U21" s="47"/>
      <c r="V21" s="90"/>
      <c r="W21" s="90"/>
      <c r="X21" s="96"/>
      <c r="Y21" s="90"/>
      <c r="Z21" s="90"/>
      <c r="AA21" s="90"/>
      <c r="AB21" s="95"/>
      <c r="AC21" s="90"/>
      <c r="AD21" s="90"/>
      <c r="AE21" s="17"/>
    </row>
    <row r="22" spans="2:31" ht="44.25" customHeight="1" thickBot="1">
      <c r="B22" s="21"/>
      <c r="C22" s="29"/>
      <c r="D22" s="72"/>
      <c r="E22" s="73"/>
      <c r="F22" s="73"/>
      <c r="G22" s="73"/>
      <c r="H22" s="33"/>
      <c r="I22" s="98"/>
      <c r="J22" s="97"/>
      <c r="K22" s="99"/>
      <c r="L22" s="8"/>
      <c r="M22" s="1033" t="s">
        <v>4</v>
      </c>
      <c r="N22" s="1034"/>
      <c r="O22" s="8"/>
      <c r="P22" s="1035" t="s">
        <v>77</v>
      </c>
      <c r="Q22" s="1036"/>
      <c r="R22" s="8"/>
      <c r="S22" s="67" t="s">
        <v>78</v>
      </c>
      <c r="T22" s="68"/>
      <c r="U22" s="47"/>
      <c r="V22" s="1039" t="s">
        <v>70</v>
      </c>
      <c r="W22" s="1040"/>
      <c r="X22" s="1040"/>
      <c r="Y22" s="1041"/>
      <c r="Z22" s="90"/>
      <c r="AA22" s="1016" t="s">
        <v>20</v>
      </c>
      <c r="AB22" s="1022"/>
      <c r="AC22" s="1022"/>
      <c r="AD22" s="1023"/>
      <c r="AE22" s="35" t="s">
        <v>79</v>
      </c>
    </row>
    <row r="23" spans="2:30" ht="13.5" customHeight="1" thickBot="1">
      <c r="B23" s="21"/>
      <c r="C23" s="29"/>
      <c r="D23" s="74"/>
      <c r="E23" s="75"/>
      <c r="F23" s="76"/>
      <c r="G23" s="76"/>
      <c r="H23" s="33"/>
      <c r="I23" s="98"/>
      <c r="J23" s="97"/>
      <c r="K23" s="100"/>
      <c r="L23" s="8"/>
      <c r="M23" s="26"/>
      <c r="N23" s="27"/>
      <c r="O23" s="8"/>
      <c r="P23" s="26"/>
      <c r="Q23" s="27"/>
      <c r="R23" s="8"/>
      <c r="S23" s="28"/>
      <c r="T23" s="69"/>
      <c r="U23" s="47"/>
      <c r="V23" s="90"/>
      <c r="W23" s="90"/>
      <c r="X23" s="101"/>
      <c r="Y23" s="90"/>
      <c r="Z23" s="90"/>
      <c r="AA23" s="90"/>
      <c r="AB23" s="90"/>
      <c r="AC23" s="102"/>
      <c r="AD23" s="90"/>
    </row>
    <row r="24" spans="2:31" ht="48" customHeight="1" thickBot="1">
      <c r="B24" s="21" t="s">
        <v>56</v>
      </c>
      <c r="C24" s="29"/>
      <c r="D24" s="74"/>
      <c r="E24" s="75"/>
      <c r="F24" s="76"/>
      <c r="G24" s="76"/>
      <c r="H24" s="33"/>
      <c r="I24" s="98"/>
      <c r="J24" s="97"/>
      <c r="K24" s="103"/>
      <c r="L24" s="8"/>
      <c r="M24" s="1033" t="s">
        <v>5</v>
      </c>
      <c r="N24" s="1034"/>
      <c r="O24" s="8"/>
      <c r="P24" s="1035" t="s">
        <v>80</v>
      </c>
      <c r="Q24" s="1036"/>
      <c r="R24" s="8"/>
      <c r="S24" s="1037" t="s">
        <v>81</v>
      </c>
      <c r="T24" s="1038"/>
      <c r="U24" s="47"/>
      <c r="V24" s="1027" t="s">
        <v>21</v>
      </c>
      <c r="W24" s="1028"/>
      <c r="X24" s="1028"/>
      <c r="Y24" s="1029"/>
      <c r="Z24" s="90"/>
      <c r="AA24" s="1016" t="s">
        <v>24</v>
      </c>
      <c r="AB24" s="1017"/>
      <c r="AC24" s="1017"/>
      <c r="AD24" s="1018"/>
      <c r="AE24" s="35" t="s">
        <v>22</v>
      </c>
    </row>
    <row r="25" spans="2:31" ht="11.25" customHeight="1" thickBot="1">
      <c r="B25" s="21"/>
      <c r="C25" s="29"/>
      <c r="D25" s="74"/>
      <c r="E25" s="75"/>
      <c r="F25" s="76"/>
      <c r="G25" s="76"/>
      <c r="H25" s="33"/>
      <c r="I25" s="98"/>
      <c r="J25" s="97"/>
      <c r="K25" s="100"/>
      <c r="L25" s="8"/>
      <c r="M25" s="104"/>
      <c r="N25" s="8"/>
      <c r="O25" s="8"/>
      <c r="P25" s="8"/>
      <c r="Q25" s="8"/>
      <c r="R25" s="8"/>
      <c r="S25" s="28"/>
      <c r="T25" s="69"/>
      <c r="U25" s="47"/>
      <c r="V25" s="90"/>
      <c r="W25" s="90"/>
      <c r="X25" s="105"/>
      <c r="Y25" s="90"/>
      <c r="Z25" s="90"/>
      <c r="AA25" s="106"/>
      <c r="AB25" s="107"/>
      <c r="AC25" s="108"/>
      <c r="AD25" s="108"/>
      <c r="AE25" s="35"/>
    </row>
    <row r="26" spans="2:31" ht="42" customHeight="1" thickBot="1">
      <c r="B26" s="21" t="s">
        <v>37</v>
      </c>
      <c r="C26" s="29"/>
      <c r="D26" s="74"/>
      <c r="E26" s="75"/>
      <c r="F26" s="76"/>
      <c r="G26" s="76"/>
      <c r="H26" s="33"/>
      <c r="I26" s="98"/>
      <c r="J26" s="97"/>
      <c r="K26" s="100"/>
      <c r="L26" s="8"/>
      <c r="M26" s="1033" t="s">
        <v>6</v>
      </c>
      <c r="N26" s="1034"/>
      <c r="O26" s="8"/>
      <c r="P26" s="8"/>
      <c r="Q26" s="8"/>
      <c r="R26" s="8"/>
      <c r="S26" s="67" t="s">
        <v>38</v>
      </c>
      <c r="T26" s="68"/>
      <c r="U26" s="47"/>
      <c r="V26" s="1024" t="s">
        <v>23</v>
      </c>
      <c r="W26" s="1025"/>
      <c r="X26" s="1025"/>
      <c r="Y26" s="1026"/>
      <c r="Z26" s="90"/>
      <c r="AA26" s="1016" t="s">
        <v>26</v>
      </c>
      <c r="AB26" s="1022"/>
      <c r="AC26" s="1022"/>
      <c r="AD26" s="1023"/>
      <c r="AE26" s="35" t="s">
        <v>22</v>
      </c>
    </row>
    <row r="27" spans="2:31" ht="14.25" customHeight="1" thickBot="1">
      <c r="B27" s="21"/>
      <c r="C27" s="29"/>
      <c r="D27" s="74"/>
      <c r="E27" s="75"/>
      <c r="F27" s="76"/>
      <c r="G27" s="76"/>
      <c r="H27" s="33"/>
      <c r="I27" s="98"/>
      <c r="J27" s="97"/>
      <c r="K27" s="100"/>
      <c r="L27" s="8"/>
      <c r="M27" s="104"/>
      <c r="N27" s="8"/>
      <c r="O27" s="8"/>
      <c r="P27" s="8"/>
      <c r="Q27" s="8"/>
      <c r="R27" s="8"/>
      <c r="S27" s="28"/>
      <c r="T27" s="69"/>
      <c r="U27" s="47"/>
      <c r="V27" s="90"/>
      <c r="W27" s="90"/>
      <c r="X27" s="105"/>
      <c r="Y27" s="90"/>
      <c r="Z27" s="90"/>
      <c r="AA27" s="106"/>
      <c r="AB27" s="107"/>
      <c r="AC27" s="108"/>
      <c r="AD27" s="108"/>
      <c r="AE27" s="35"/>
    </row>
    <row r="28" spans="2:31" ht="32.25" customHeight="1" thickBot="1">
      <c r="B28" s="21" t="s">
        <v>44</v>
      </c>
      <c r="C28" s="29"/>
      <c r="D28" s="74"/>
      <c r="E28" s="75"/>
      <c r="F28" s="76"/>
      <c r="G28" s="76"/>
      <c r="H28" s="33"/>
      <c r="I28" s="98"/>
      <c r="J28" s="97"/>
      <c r="K28" s="100"/>
      <c r="L28" s="8"/>
      <c r="M28" s="1033" t="s">
        <v>7</v>
      </c>
      <c r="N28" s="1034"/>
      <c r="O28" s="8"/>
      <c r="P28" s="8"/>
      <c r="Q28" s="8"/>
      <c r="R28" s="8"/>
      <c r="S28" s="67" t="s">
        <v>45</v>
      </c>
      <c r="T28" s="68"/>
      <c r="U28" s="47"/>
      <c r="V28" s="1027" t="s">
        <v>25</v>
      </c>
      <c r="W28" s="1028"/>
      <c r="X28" s="1028"/>
      <c r="Y28" s="1029"/>
      <c r="Z28" s="90"/>
      <c r="AA28" s="1016" t="s">
        <v>89</v>
      </c>
      <c r="AB28" s="1022"/>
      <c r="AC28" s="1022"/>
      <c r="AD28" s="1023"/>
      <c r="AE28" s="35" t="s">
        <v>79</v>
      </c>
    </row>
    <row r="29" spans="2:31" ht="12.75" customHeight="1" thickBot="1">
      <c r="B29" s="21"/>
      <c r="C29" s="29"/>
      <c r="D29" s="74"/>
      <c r="E29" s="75"/>
      <c r="F29" s="76"/>
      <c r="G29" s="76"/>
      <c r="H29" s="33"/>
      <c r="I29" s="98"/>
      <c r="J29" s="97"/>
      <c r="K29" s="100"/>
      <c r="L29" s="8"/>
      <c r="M29" s="104"/>
      <c r="N29" s="8"/>
      <c r="O29" s="8"/>
      <c r="P29" s="8"/>
      <c r="Q29" s="8"/>
      <c r="R29" s="8"/>
      <c r="S29" s="36"/>
      <c r="T29" s="69"/>
      <c r="U29" s="47"/>
      <c r="V29" s="90"/>
      <c r="W29" s="107"/>
      <c r="X29" s="90"/>
      <c r="Y29" s="90"/>
      <c r="Z29" s="90"/>
      <c r="AA29" s="109"/>
      <c r="AB29" s="110"/>
      <c r="AC29" s="90"/>
      <c r="AD29" s="90"/>
      <c r="AE29"/>
    </row>
    <row r="30" spans="2:31" ht="41.25" customHeight="1" thickBot="1">
      <c r="B30" s="21" t="s">
        <v>40</v>
      </c>
      <c r="C30" s="29"/>
      <c r="D30" s="74"/>
      <c r="E30" s="75"/>
      <c r="F30" s="76"/>
      <c r="G30" s="76"/>
      <c r="H30" s="33"/>
      <c r="I30" s="98"/>
      <c r="J30" s="97"/>
      <c r="K30" s="100"/>
      <c r="L30" s="8"/>
      <c r="M30" s="1033" t="s">
        <v>19</v>
      </c>
      <c r="N30" s="1034"/>
      <c r="O30" s="8"/>
      <c r="P30" s="8"/>
      <c r="Q30" s="8"/>
      <c r="R30" s="8"/>
      <c r="S30" s="67" t="s">
        <v>61</v>
      </c>
      <c r="T30" s="68"/>
      <c r="U30" s="47"/>
      <c r="V30" s="1024" t="s">
        <v>27</v>
      </c>
      <c r="W30" s="1025"/>
      <c r="X30" s="1025"/>
      <c r="Y30" s="1026"/>
      <c r="Z30" s="90"/>
      <c r="AA30" s="1014"/>
      <c r="AB30" s="1015"/>
      <c r="AC30" s="1015"/>
      <c r="AD30" s="1015"/>
      <c r="AE30" s="35"/>
    </row>
    <row r="31" spans="2:30" ht="15" customHeight="1" thickBot="1">
      <c r="B31" s="21"/>
      <c r="C31" s="29"/>
      <c r="D31" s="74"/>
      <c r="E31" s="75"/>
      <c r="F31" s="76"/>
      <c r="G31" s="76"/>
      <c r="H31" s="33"/>
      <c r="I31" s="98"/>
      <c r="J31" s="97"/>
      <c r="K31" s="100"/>
      <c r="L31" s="8"/>
      <c r="M31" s="104"/>
      <c r="N31" s="8"/>
      <c r="O31" s="8"/>
      <c r="P31" s="8"/>
      <c r="Q31" s="8"/>
      <c r="R31" s="8"/>
      <c r="S31" s="36"/>
      <c r="T31" s="69"/>
      <c r="U31" s="47"/>
      <c r="V31" s="108"/>
      <c r="W31" s="107"/>
      <c r="X31" s="108"/>
      <c r="Y31" s="108"/>
      <c r="Z31" s="90"/>
      <c r="AA31" s="90"/>
      <c r="AB31" s="90"/>
      <c r="AC31" s="90"/>
      <c r="AD31" s="90"/>
    </row>
    <row r="32" spans="2:31" ht="30.75" customHeight="1" thickBot="1">
      <c r="B32" s="21" t="s">
        <v>62</v>
      </c>
      <c r="C32" s="29"/>
      <c r="D32" s="74"/>
      <c r="E32" s="75"/>
      <c r="F32" s="76"/>
      <c r="G32" s="76"/>
      <c r="H32" s="33"/>
      <c r="I32" s="98"/>
      <c r="J32" s="97"/>
      <c r="K32" s="100"/>
      <c r="L32" s="8"/>
      <c r="M32" s="1033" t="s">
        <v>8</v>
      </c>
      <c r="N32" s="1034"/>
      <c r="O32" s="8"/>
      <c r="P32" s="8"/>
      <c r="Q32" s="8"/>
      <c r="R32" s="8"/>
      <c r="S32" s="67" t="s">
        <v>63</v>
      </c>
      <c r="T32" s="68"/>
      <c r="U32" s="63"/>
      <c r="V32" s="1027" t="s">
        <v>28</v>
      </c>
      <c r="W32" s="1045"/>
      <c r="X32" s="1045"/>
      <c r="Y32" s="1046"/>
      <c r="Z32" s="90"/>
      <c r="AA32" s="90"/>
      <c r="AB32" s="90"/>
      <c r="AC32" s="90"/>
      <c r="AD32" s="90"/>
      <c r="AE32"/>
    </row>
    <row r="33" spans="2:31" ht="13.5" customHeight="1" thickBot="1">
      <c r="B33" s="21"/>
      <c r="C33" s="29"/>
      <c r="D33" s="74"/>
      <c r="E33" s="75"/>
      <c r="F33" s="76"/>
      <c r="G33" s="76"/>
      <c r="H33" s="33"/>
      <c r="I33" s="98"/>
      <c r="J33" s="97"/>
      <c r="K33" s="100"/>
      <c r="L33" s="8"/>
      <c r="M33" s="104"/>
      <c r="N33" s="8"/>
      <c r="O33" s="8"/>
      <c r="P33" s="8"/>
      <c r="Q33" s="8"/>
      <c r="R33" s="8"/>
      <c r="S33" s="36"/>
      <c r="T33" s="69"/>
      <c r="U33" s="63"/>
      <c r="V33" s="63"/>
      <c r="W33" s="77"/>
      <c r="X33" s="63"/>
      <c r="Y33" s="63"/>
      <c r="Z33" s="63"/>
      <c r="AA33" s="47"/>
      <c r="AB33" s="47"/>
      <c r="AC33" s="47"/>
      <c r="AD33" s="47"/>
      <c r="AE33"/>
    </row>
    <row r="34" spans="2:31" ht="42" customHeight="1" thickBot="1">
      <c r="B34" s="21" t="s">
        <v>64</v>
      </c>
      <c r="C34" s="29"/>
      <c r="D34" s="74"/>
      <c r="E34" s="75"/>
      <c r="F34" s="76"/>
      <c r="G34" s="76"/>
      <c r="H34" s="33"/>
      <c r="I34" s="98"/>
      <c r="J34" s="97"/>
      <c r="K34" s="100"/>
      <c r="L34" s="8"/>
      <c r="M34" s="1033" t="s">
        <v>9</v>
      </c>
      <c r="N34" s="1034"/>
      <c r="O34" s="8"/>
      <c r="P34" s="8"/>
      <c r="Q34" s="8"/>
      <c r="R34" s="8"/>
      <c r="S34" s="67" t="s">
        <v>65</v>
      </c>
      <c r="T34" s="68"/>
      <c r="U34" s="47"/>
      <c r="V34" s="78"/>
      <c r="W34" s="79"/>
      <c r="X34" s="78"/>
      <c r="Y34" s="78"/>
      <c r="Z34" s="63"/>
      <c r="AA34" s="47"/>
      <c r="AB34" s="47"/>
      <c r="AC34" s="47"/>
      <c r="AD34" s="47"/>
      <c r="AE34"/>
    </row>
    <row r="35" spans="2:31" ht="12" customHeight="1" thickBot="1">
      <c r="B35" s="21"/>
      <c r="C35" s="29"/>
      <c r="D35" s="74"/>
      <c r="E35" s="75"/>
      <c r="F35" s="76"/>
      <c r="G35" s="76"/>
      <c r="H35" s="33"/>
      <c r="I35" s="98"/>
      <c r="J35" s="97"/>
      <c r="K35" s="100"/>
      <c r="L35" s="8"/>
      <c r="M35" s="104"/>
      <c r="N35" s="8"/>
      <c r="O35" s="8"/>
      <c r="P35" s="8"/>
      <c r="Q35" s="8"/>
      <c r="R35" s="8"/>
      <c r="S35" s="36"/>
      <c r="T35" s="69"/>
      <c r="U35" s="47"/>
      <c r="V35" s="47"/>
      <c r="W35" s="63"/>
      <c r="X35" s="63"/>
      <c r="Y35" s="63"/>
      <c r="Z35" s="63"/>
      <c r="AA35" s="47"/>
      <c r="AB35" s="47"/>
      <c r="AC35" s="47"/>
      <c r="AD35" s="47"/>
      <c r="AE35"/>
    </row>
    <row r="36" spans="2:31" ht="46.5" customHeight="1" thickBot="1">
      <c r="B36" s="21"/>
      <c r="C36" s="29"/>
      <c r="D36" s="74"/>
      <c r="E36" s="75"/>
      <c r="F36" s="76"/>
      <c r="G36" s="76"/>
      <c r="H36" s="33"/>
      <c r="I36" s="98"/>
      <c r="J36" s="97"/>
      <c r="K36" s="100"/>
      <c r="L36" s="8"/>
      <c r="M36" s="1033" t="s">
        <v>10</v>
      </c>
      <c r="N36" s="1034"/>
      <c r="O36" s="8"/>
      <c r="P36" s="8"/>
      <c r="Q36" s="8"/>
      <c r="R36" s="8"/>
      <c r="S36" s="67" t="s">
        <v>66</v>
      </c>
      <c r="T36" s="68"/>
      <c r="U36" s="47"/>
      <c r="V36" s="47"/>
      <c r="W36" s="63"/>
      <c r="X36" s="63"/>
      <c r="Y36" s="63"/>
      <c r="Z36" s="63"/>
      <c r="AA36" s="47"/>
      <c r="AB36" s="47"/>
      <c r="AC36" s="47"/>
      <c r="AD36" s="47"/>
      <c r="AE36"/>
    </row>
    <row r="37" spans="2:31" ht="12" customHeight="1" thickBot="1">
      <c r="B37" s="21"/>
      <c r="C37" s="29"/>
      <c r="D37" s="74"/>
      <c r="E37" s="75"/>
      <c r="F37" s="76"/>
      <c r="G37" s="76"/>
      <c r="H37" s="33"/>
      <c r="I37" s="98"/>
      <c r="J37" s="97"/>
      <c r="K37" s="100"/>
      <c r="L37" s="8"/>
      <c r="M37" s="8"/>
      <c r="N37" s="8"/>
      <c r="O37" s="8"/>
      <c r="P37" s="8"/>
      <c r="Q37" s="8"/>
      <c r="R37" s="8"/>
      <c r="S37" s="111"/>
      <c r="T37" s="69"/>
      <c r="U37" s="47"/>
      <c r="V37" s="47"/>
      <c r="W37" s="63"/>
      <c r="X37" s="63"/>
      <c r="Y37" s="63"/>
      <c r="Z37" s="63"/>
      <c r="AA37" s="47"/>
      <c r="AB37" s="47"/>
      <c r="AC37" s="47"/>
      <c r="AD37" s="47"/>
      <c r="AE37"/>
    </row>
    <row r="38" spans="2:31" ht="29.25" customHeight="1" thickBot="1">
      <c r="B38" s="21"/>
      <c r="C38" s="80"/>
      <c r="D38" s="81"/>
      <c r="E38" s="82"/>
      <c r="F38" s="83"/>
      <c r="G38" s="83"/>
      <c r="H38" s="84"/>
      <c r="I38" s="98"/>
      <c r="J38" s="97"/>
      <c r="K38" s="100"/>
      <c r="L38" s="8"/>
      <c r="M38" s="8"/>
      <c r="N38" s="8"/>
      <c r="O38" s="8"/>
      <c r="P38" s="8"/>
      <c r="Q38" s="8"/>
      <c r="R38" s="8"/>
      <c r="S38" s="67" t="s">
        <v>29</v>
      </c>
      <c r="T38" s="68"/>
      <c r="U38" s="47"/>
      <c r="V38" s="47"/>
      <c r="W38" s="63"/>
      <c r="X38" s="47"/>
      <c r="Y38" s="47"/>
      <c r="Z38" s="47"/>
      <c r="AA38" s="47"/>
      <c r="AB38" s="47"/>
      <c r="AC38" s="47"/>
      <c r="AD38" s="47"/>
      <c r="AE38"/>
    </row>
    <row r="39" spans="3:31" ht="27" customHeight="1">
      <c r="C39" s="38" t="s">
        <v>67</v>
      </c>
      <c r="D39"/>
      <c r="F39" s="39" t="s">
        <v>68</v>
      </c>
      <c r="G39" s="37"/>
      <c r="H39" s="37"/>
      <c r="I39" s="37"/>
      <c r="J39" s="37"/>
      <c r="L39" s="85" t="s">
        <v>30</v>
      </c>
      <c r="N39" s="86"/>
      <c r="O39" s="86"/>
      <c r="Q39" s="46"/>
      <c r="R39" s="46"/>
      <c r="S39" s="87"/>
      <c r="T39" s="37"/>
      <c r="U39" s="37"/>
      <c r="V39" s="86" t="s">
        <v>31</v>
      </c>
      <c r="W39" s="37"/>
      <c r="X39" s="88"/>
      <c r="Y39" s="54"/>
      <c r="Z39" s="54"/>
      <c r="AA39" s="54"/>
      <c r="AB39" s="54"/>
      <c r="AC39" s="54"/>
      <c r="AD39" s="54"/>
      <c r="AE39"/>
    </row>
    <row r="40" spans="2:31" ht="16.5" customHeight="1">
      <c r="B40" s="40"/>
      <c r="D40"/>
      <c r="F40" s="39" t="s">
        <v>39</v>
      </c>
      <c r="G40" s="37"/>
      <c r="H40" s="37"/>
      <c r="I40" s="37"/>
      <c r="J40" s="37"/>
      <c r="L40" s="39" t="s">
        <v>32</v>
      </c>
      <c r="N40" s="39"/>
      <c r="O40" s="39"/>
      <c r="Q40" s="39"/>
      <c r="R40" s="41"/>
      <c r="S40" s="37"/>
      <c r="T40" s="37"/>
      <c r="U40" s="37"/>
      <c r="V40" s="39" t="s">
        <v>33</v>
      </c>
      <c r="W40" s="37"/>
      <c r="X40" s="54"/>
      <c r="Y40" s="54"/>
      <c r="Z40" s="54"/>
      <c r="AA40" s="54"/>
      <c r="AB40" s="54"/>
      <c r="AC40" s="54"/>
      <c r="AD40" s="54"/>
      <c r="AE40"/>
    </row>
  </sheetData>
  <mergeCells count="59">
    <mergeCell ref="P16:Q16"/>
    <mergeCell ref="M22:N22"/>
    <mergeCell ref="P22:Q22"/>
    <mergeCell ref="D19:G20"/>
    <mergeCell ref="M18:N18"/>
    <mergeCell ref="P18:Q18"/>
    <mergeCell ref="M20:N20"/>
    <mergeCell ref="P20:Q20"/>
    <mergeCell ref="S8:T8"/>
    <mergeCell ref="H9:H10"/>
    <mergeCell ref="M12:N12"/>
    <mergeCell ref="P12:Q12"/>
    <mergeCell ref="D10:G10"/>
    <mergeCell ref="M10:N10"/>
    <mergeCell ref="P10:Q10"/>
    <mergeCell ref="D8:G8"/>
    <mergeCell ref="M8:N8"/>
    <mergeCell ref="P8:Q8"/>
    <mergeCell ref="B1:AD1"/>
    <mergeCell ref="D7:G7"/>
    <mergeCell ref="M7:N7"/>
    <mergeCell ref="P7:Q7"/>
    <mergeCell ref="S7:T7"/>
    <mergeCell ref="V7:Y7"/>
    <mergeCell ref="AA7:AD7"/>
    <mergeCell ref="I7:J8"/>
    <mergeCell ref="V8:Y8"/>
    <mergeCell ref="AA8:AD8"/>
    <mergeCell ref="M34:N34"/>
    <mergeCell ref="M36:N36"/>
    <mergeCell ref="V28:Y28"/>
    <mergeCell ref="V30:Y30"/>
    <mergeCell ref="V32:Y32"/>
    <mergeCell ref="M28:N28"/>
    <mergeCell ref="M30:N30"/>
    <mergeCell ref="M32:N32"/>
    <mergeCell ref="P24:Q24"/>
    <mergeCell ref="S24:T24"/>
    <mergeCell ref="V10:Y10"/>
    <mergeCell ref="AA22:AD22"/>
    <mergeCell ref="V22:Y22"/>
    <mergeCell ref="V20:Y20"/>
    <mergeCell ref="V16:Y16"/>
    <mergeCell ref="V18:Y18"/>
    <mergeCell ref="V12:Y12"/>
    <mergeCell ref="P14:Q14"/>
    <mergeCell ref="D14:G14"/>
    <mergeCell ref="D18:G18"/>
    <mergeCell ref="M26:N26"/>
    <mergeCell ref="M24:N24"/>
    <mergeCell ref="M14:N14"/>
    <mergeCell ref="M16:N16"/>
    <mergeCell ref="AA30:AD30"/>
    <mergeCell ref="AA24:AD24"/>
    <mergeCell ref="V14:Y14"/>
    <mergeCell ref="AA28:AD28"/>
    <mergeCell ref="V26:Y26"/>
    <mergeCell ref="V24:Y24"/>
    <mergeCell ref="AA26:AD26"/>
  </mergeCells>
  <printOptions horizontalCentered="1"/>
  <pageMargins left="0.984251968503937" right="0.7874015748031497" top="0.984251968503937" bottom="0.1968503937007874" header="0.31496062992125984" footer="0.11811023622047245"/>
  <pageSetup horizontalDpi="300" verticalDpi="300" orientation="landscape" paperSize="9" scale="48" r:id="rId1"/>
  <headerFooter alignWithMargins="0">
    <oddFooter>&amp;C&amp;16
&amp;P+169&amp;14
&amp;16
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 topLeftCell="C1">
      <selection activeCell="H13" sqref="H13"/>
    </sheetView>
  </sheetViews>
  <sheetFormatPr defaultColWidth="8.875" defaultRowHeight="12.75"/>
  <cols>
    <col min="1" max="1" width="15.25390625" style="208" customWidth="1"/>
    <col min="2" max="2" width="39.75390625" style="206" customWidth="1"/>
    <col min="3" max="5" width="12.625" style="44" customWidth="1"/>
    <col min="6" max="6" width="13.875" style="44" customWidth="1"/>
    <col min="7" max="7" width="14.125" style="207" customWidth="1"/>
    <col min="8" max="9" width="14.875" style="44" customWidth="1"/>
    <col min="10" max="11" width="13.875" style="44" customWidth="1"/>
    <col min="12" max="16384" width="8.875" style="208" customWidth="1"/>
  </cols>
  <sheetData>
    <row r="1" ht="15">
      <c r="A1" s="44"/>
    </row>
    <row r="2" spans="1:11" ht="20.25">
      <c r="A2" s="222" t="s">
        <v>91</v>
      </c>
      <c r="B2" s="209"/>
      <c r="C2" s="209"/>
      <c r="D2" s="209"/>
      <c r="E2" s="209"/>
      <c r="F2" s="209"/>
      <c r="G2" s="210"/>
      <c r="H2" s="209"/>
      <c r="I2" s="209"/>
      <c r="J2" s="209"/>
      <c r="K2" s="209"/>
    </row>
    <row r="3" spans="3:11" ht="16.5" thickBot="1">
      <c r="C3" s="211"/>
      <c r="D3" s="211"/>
      <c r="K3" s="212" t="s">
        <v>92</v>
      </c>
    </row>
    <row r="4" spans="1:11" ht="117.75" customHeight="1" thickBot="1">
      <c r="A4" s="213" t="s">
        <v>93</v>
      </c>
      <c r="B4" s="214" t="s">
        <v>94</v>
      </c>
      <c r="C4" s="223" t="s">
        <v>95</v>
      </c>
      <c r="D4" s="223" t="s">
        <v>166</v>
      </c>
      <c r="E4" s="223" t="s">
        <v>96</v>
      </c>
      <c r="F4" s="223" t="s">
        <v>174</v>
      </c>
      <c r="G4" s="223" t="s">
        <v>177</v>
      </c>
      <c r="H4" s="223" t="s">
        <v>97</v>
      </c>
      <c r="I4" s="223" t="s">
        <v>98</v>
      </c>
      <c r="J4" s="223" t="s">
        <v>99</v>
      </c>
      <c r="K4" s="223" t="s">
        <v>100</v>
      </c>
    </row>
    <row r="5" spans="1:11" ht="15.75" thickBot="1">
      <c r="A5" s="219"/>
      <c r="B5" s="224"/>
      <c r="C5" s="225">
        <v>1</v>
      </c>
      <c r="D5" s="226">
        <v>2</v>
      </c>
      <c r="E5" s="225">
        <v>4</v>
      </c>
      <c r="F5" s="225">
        <v>5</v>
      </c>
      <c r="G5" s="225">
        <v>6</v>
      </c>
      <c r="H5" s="225">
        <v>7</v>
      </c>
      <c r="I5" s="227">
        <v>8</v>
      </c>
      <c r="J5" s="225">
        <v>9</v>
      </c>
      <c r="K5" s="225">
        <v>10</v>
      </c>
    </row>
    <row r="6" spans="1:11" s="233" customFormat="1" ht="31.5" customHeight="1">
      <c r="A6" s="228" t="s">
        <v>101</v>
      </c>
      <c r="B6" s="229" t="s">
        <v>102</v>
      </c>
      <c r="C6" s="230">
        <v>5100</v>
      </c>
      <c r="D6" s="231">
        <v>41398</v>
      </c>
      <c r="E6" s="230">
        <v>41398</v>
      </c>
      <c r="F6" s="230">
        <v>36255</v>
      </c>
      <c r="G6" s="230">
        <v>5143</v>
      </c>
      <c r="H6" s="230">
        <f aca="true" t="shared" si="0" ref="H6:H19">F6-D6</f>
        <v>-5143</v>
      </c>
      <c r="I6" s="230">
        <f aca="true" t="shared" si="1" ref="I6:I19">F6-E6</f>
        <v>-5143</v>
      </c>
      <c r="J6" s="230">
        <v>0</v>
      </c>
      <c r="K6" s="232" t="s">
        <v>103</v>
      </c>
    </row>
    <row r="7" spans="1:11" s="233" customFormat="1" ht="31.5" customHeight="1">
      <c r="A7" s="234" t="s">
        <v>104</v>
      </c>
      <c r="B7" s="235" t="s">
        <v>105</v>
      </c>
      <c r="C7" s="236">
        <v>0</v>
      </c>
      <c r="D7" s="237">
        <v>11594</v>
      </c>
      <c r="E7" s="236">
        <v>11594</v>
      </c>
      <c r="F7" s="236">
        <v>8731</v>
      </c>
      <c r="G7" s="236">
        <v>2863</v>
      </c>
      <c r="H7" s="236">
        <f t="shared" si="0"/>
        <v>-2863</v>
      </c>
      <c r="I7" s="236">
        <f t="shared" si="1"/>
        <v>-2863</v>
      </c>
      <c r="J7" s="236">
        <v>0</v>
      </c>
      <c r="K7" s="238" t="s">
        <v>103</v>
      </c>
    </row>
    <row r="8" spans="1:11" s="233" customFormat="1" ht="31.5" customHeight="1">
      <c r="A8" s="234" t="s">
        <v>106</v>
      </c>
      <c r="B8" s="235" t="s">
        <v>107</v>
      </c>
      <c r="C8" s="236">
        <v>600</v>
      </c>
      <c r="D8" s="237">
        <v>3884</v>
      </c>
      <c r="E8" s="236">
        <v>3884</v>
      </c>
      <c r="F8" s="236">
        <v>3875</v>
      </c>
      <c r="G8" s="236">
        <v>9</v>
      </c>
      <c r="H8" s="236">
        <f t="shared" si="0"/>
        <v>-9</v>
      </c>
      <c r="I8" s="236">
        <f t="shared" si="1"/>
        <v>-9</v>
      </c>
      <c r="J8" s="236">
        <v>13980</v>
      </c>
      <c r="K8" s="238">
        <f aca="true" t="shared" si="2" ref="K8:K20">+F8/J8</f>
        <v>0.2771816881258941</v>
      </c>
    </row>
    <row r="9" spans="1:11" s="233" customFormat="1" ht="18" customHeight="1">
      <c r="A9" s="234" t="s">
        <v>108</v>
      </c>
      <c r="B9" s="235" t="s">
        <v>109</v>
      </c>
      <c r="C9" s="236">
        <v>35000</v>
      </c>
      <c r="D9" s="237">
        <v>21220</v>
      </c>
      <c r="E9" s="236">
        <v>21220</v>
      </c>
      <c r="F9" s="236">
        <v>18314</v>
      </c>
      <c r="G9" s="236">
        <v>2906</v>
      </c>
      <c r="H9" s="236">
        <f t="shared" si="0"/>
        <v>-2906</v>
      </c>
      <c r="I9" s="236">
        <f t="shared" si="1"/>
        <v>-2906</v>
      </c>
      <c r="J9" s="236">
        <v>34339</v>
      </c>
      <c r="K9" s="238">
        <f t="shared" si="2"/>
        <v>0.5333294504790471</v>
      </c>
    </row>
    <row r="10" spans="1:11" s="233" customFormat="1" ht="31.5" customHeight="1">
      <c r="A10" s="234" t="s">
        <v>110</v>
      </c>
      <c r="B10" s="235" t="s">
        <v>111</v>
      </c>
      <c r="C10" s="236">
        <f>623123+679874</f>
        <v>1302997</v>
      </c>
      <c r="D10" s="237">
        <v>1183527</v>
      </c>
      <c r="E10" s="236">
        <v>2699982</v>
      </c>
      <c r="F10" s="236">
        <v>909230</v>
      </c>
      <c r="G10" s="236">
        <v>1078181</v>
      </c>
      <c r="H10" s="236">
        <f t="shared" si="0"/>
        <v>-274297</v>
      </c>
      <c r="I10" s="236">
        <f t="shared" si="1"/>
        <v>-1790752</v>
      </c>
      <c r="J10" s="236">
        <v>153724</v>
      </c>
      <c r="K10" s="238">
        <f t="shared" si="2"/>
        <v>5.914691264864302</v>
      </c>
    </row>
    <row r="11" spans="1:11" s="233" customFormat="1" ht="31.5" customHeight="1">
      <c r="A11" s="234" t="s">
        <v>112</v>
      </c>
      <c r="B11" s="235" t="s">
        <v>113</v>
      </c>
      <c r="C11" s="236">
        <v>379466</v>
      </c>
      <c r="D11" s="237">
        <v>491742</v>
      </c>
      <c r="E11" s="236">
        <v>522489</v>
      </c>
      <c r="F11" s="236">
        <v>316061</v>
      </c>
      <c r="G11" s="236">
        <v>192101</v>
      </c>
      <c r="H11" s="236">
        <f t="shared" si="0"/>
        <v>-175681</v>
      </c>
      <c r="I11" s="236">
        <f t="shared" si="1"/>
        <v>-206428</v>
      </c>
      <c r="J11" s="236">
        <v>62811</v>
      </c>
      <c r="K11" s="238">
        <f t="shared" si="2"/>
        <v>5.031937081084523</v>
      </c>
    </row>
    <row r="12" spans="1:11" s="233" customFormat="1" ht="18" customHeight="1">
      <c r="A12" s="234" t="s">
        <v>114</v>
      </c>
      <c r="B12" s="235" t="s">
        <v>115</v>
      </c>
      <c r="C12" s="236">
        <f>10000+129858</f>
        <v>139858</v>
      </c>
      <c r="D12" s="237">
        <v>271833</v>
      </c>
      <c r="E12" s="236">
        <v>377019</v>
      </c>
      <c r="F12" s="236">
        <v>325483</v>
      </c>
      <c r="G12" s="236">
        <v>51536</v>
      </c>
      <c r="H12" s="236">
        <f t="shared" si="0"/>
        <v>53650</v>
      </c>
      <c r="I12" s="236">
        <f t="shared" si="1"/>
        <v>-51536</v>
      </c>
      <c r="J12" s="236">
        <v>662167</v>
      </c>
      <c r="K12" s="238">
        <f t="shared" si="2"/>
        <v>0.491542163834803</v>
      </c>
    </row>
    <row r="13" spans="1:11" s="233" customFormat="1" ht="31.5" customHeight="1">
      <c r="A13" s="234">
        <v>114230</v>
      </c>
      <c r="B13" s="235" t="s">
        <v>116</v>
      </c>
      <c r="C13" s="236">
        <v>60000</v>
      </c>
      <c r="D13" s="237">
        <v>56034</v>
      </c>
      <c r="E13" s="236">
        <v>56034</v>
      </c>
      <c r="F13" s="236">
        <v>56028</v>
      </c>
      <c r="G13" s="236">
        <v>6</v>
      </c>
      <c r="H13" s="236">
        <f t="shared" si="0"/>
        <v>-6</v>
      </c>
      <c r="I13" s="236">
        <f t="shared" si="1"/>
        <v>-6</v>
      </c>
      <c r="J13" s="236">
        <v>101524</v>
      </c>
      <c r="K13" s="238">
        <f t="shared" si="2"/>
        <v>0.551869508687601</v>
      </c>
    </row>
    <row r="14" spans="1:11" s="233" customFormat="1" ht="18" customHeight="1">
      <c r="A14" s="234">
        <v>114410</v>
      </c>
      <c r="B14" s="235" t="s">
        <v>117</v>
      </c>
      <c r="C14" s="236">
        <v>4000</v>
      </c>
      <c r="D14" s="237">
        <v>6614</v>
      </c>
      <c r="E14" s="236">
        <v>156528</v>
      </c>
      <c r="F14" s="236">
        <v>140486</v>
      </c>
      <c r="G14" s="236">
        <v>6614</v>
      </c>
      <c r="H14" s="236">
        <f t="shared" si="0"/>
        <v>133872</v>
      </c>
      <c r="I14" s="236">
        <f t="shared" si="1"/>
        <v>-16042</v>
      </c>
      <c r="J14" s="236">
        <v>22461</v>
      </c>
      <c r="K14" s="238">
        <f t="shared" si="2"/>
        <v>6.25466363919683</v>
      </c>
    </row>
    <row r="15" spans="1:11" s="233" customFormat="1" ht="31.5" customHeight="1">
      <c r="A15" s="234">
        <v>214020</v>
      </c>
      <c r="B15" s="235" t="s">
        <v>102</v>
      </c>
      <c r="C15" s="239">
        <v>0</v>
      </c>
      <c r="D15" s="240">
        <v>3047</v>
      </c>
      <c r="E15" s="239">
        <v>19231</v>
      </c>
      <c r="F15" s="239">
        <v>14608</v>
      </c>
      <c r="G15" s="239">
        <v>2102</v>
      </c>
      <c r="H15" s="239">
        <f t="shared" si="0"/>
        <v>11561</v>
      </c>
      <c r="I15" s="239">
        <f t="shared" si="1"/>
        <v>-4623</v>
      </c>
      <c r="J15" s="239">
        <v>102328</v>
      </c>
      <c r="K15" s="238">
        <f t="shared" si="2"/>
        <v>0.1427566257524822</v>
      </c>
    </row>
    <row r="16" spans="1:11" s="233" customFormat="1" ht="31.5" customHeight="1">
      <c r="A16" s="234">
        <v>214030</v>
      </c>
      <c r="B16" s="235" t="s">
        <v>105</v>
      </c>
      <c r="C16" s="239">
        <v>0</v>
      </c>
      <c r="D16" s="240">
        <v>32682</v>
      </c>
      <c r="E16" s="239">
        <v>34667</v>
      </c>
      <c r="F16" s="239">
        <v>26038</v>
      </c>
      <c r="G16" s="239">
        <v>8340</v>
      </c>
      <c r="H16" s="239">
        <f t="shared" si="0"/>
        <v>-6644</v>
      </c>
      <c r="I16" s="239">
        <f t="shared" si="1"/>
        <v>-8629</v>
      </c>
      <c r="J16" s="239">
        <v>31272</v>
      </c>
      <c r="K16" s="241">
        <f t="shared" si="2"/>
        <v>0.8326298286006651</v>
      </c>
    </row>
    <row r="17" spans="1:11" s="233" customFormat="1" ht="31.5" customHeight="1">
      <c r="A17" s="234">
        <v>214110</v>
      </c>
      <c r="B17" s="235" t="s">
        <v>113</v>
      </c>
      <c r="C17" s="239">
        <v>485027</v>
      </c>
      <c r="D17" s="240">
        <v>536687</v>
      </c>
      <c r="E17" s="239">
        <v>657373</v>
      </c>
      <c r="F17" s="239">
        <v>545169</v>
      </c>
      <c r="G17" s="239">
        <v>110629</v>
      </c>
      <c r="H17" s="239">
        <f t="shared" si="0"/>
        <v>8482</v>
      </c>
      <c r="I17" s="239">
        <f t="shared" si="1"/>
        <v>-112204</v>
      </c>
      <c r="J17" s="239">
        <v>747170</v>
      </c>
      <c r="K17" s="241">
        <f t="shared" si="2"/>
        <v>0.7296451945340418</v>
      </c>
    </row>
    <row r="18" spans="1:11" s="233" customFormat="1" ht="31.5" customHeight="1">
      <c r="A18" s="234">
        <v>214210</v>
      </c>
      <c r="B18" s="235" t="s">
        <v>118</v>
      </c>
      <c r="C18" s="239">
        <f>250+21400</f>
        <v>21650</v>
      </c>
      <c r="D18" s="240">
        <v>8503</v>
      </c>
      <c r="E18" s="239">
        <v>8503</v>
      </c>
      <c r="F18" s="239">
        <v>8500</v>
      </c>
      <c r="G18" s="239">
        <v>3</v>
      </c>
      <c r="H18" s="239">
        <f t="shared" si="0"/>
        <v>-3</v>
      </c>
      <c r="I18" s="239">
        <f t="shared" si="1"/>
        <v>-3</v>
      </c>
      <c r="J18" s="239">
        <v>127221</v>
      </c>
      <c r="K18" s="241">
        <f t="shared" si="2"/>
        <v>0.06681286894459249</v>
      </c>
    </row>
    <row r="19" spans="1:11" s="233" customFormat="1" ht="31.5" customHeight="1" thickBot="1">
      <c r="A19" s="242" t="s">
        <v>119</v>
      </c>
      <c r="B19" s="243" t="s">
        <v>120</v>
      </c>
      <c r="C19" s="239">
        <v>31000</v>
      </c>
      <c r="D19" s="240">
        <v>25584</v>
      </c>
      <c r="E19" s="239">
        <v>38358</v>
      </c>
      <c r="F19" s="239">
        <v>25160</v>
      </c>
      <c r="G19" s="239">
        <v>13198</v>
      </c>
      <c r="H19" s="239">
        <f t="shared" si="0"/>
        <v>-424</v>
      </c>
      <c r="I19" s="239">
        <f t="shared" si="1"/>
        <v>-13198</v>
      </c>
      <c r="J19" s="239">
        <v>85489</v>
      </c>
      <c r="K19" s="241">
        <f t="shared" si="2"/>
        <v>0.2943068698896934</v>
      </c>
    </row>
    <row r="20" spans="1:11" ht="24.75" customHeight="1" thickBot="1">
      <c r="A20" s="219"/>
      <c r="B20" s="215" t="s">
        <v>121</v>
      </c>
      <c r="C20" s="216">
        <f aca="true" t="shared" si="3" ref="C20:J20">SUM(C6:C19)</f>
        <v>2464698</v>
      </c>
      <c r="D20" s="216">
        <f t="shared" si="3"/>
        <v>2694349</v>
      </c>
      <c r="E20" s="216">
        <f t="shared" si="3"/>
        <v>4648280</v>
      </c>
      <c r="F20" s="216">
        <f t="shared" si="3"/>
        <v>2433938</v>
      </c>
      <c r="G20" s="216">
        <f t="shared" si="3"/>
        <v>1473631</v>
      </c>
      <c r="H20" s="216">
        <f t="shared" si="3"/>
        <v>-260411</v>
      </c>
      <c r="I20" s="216">
        <f t="shared" si="3"/>
        <v>-2214342</v>
      </c>
      <c r="J20" s="216">
        <f t="shared" si="3"/>
        <v>2144486</v>
      </c>
      <c r="K20" s="217">
        <f t="shared" si="2"/>
        <v>1.1349750010025712</v>
      </c>
    </row>
    <row r="21" ht="17.25" customHeight="1">
      <c r="B21" s="218"/>
    </row>
    <row r="22" spans="1:11" s="220" customFormat="1" ht="14.25">
      <c r="A22" s="220" t="s">
        <v>175</v>
      </c>
      <c r="B22" s="221"/>
      <c r="E22" s="220" t="s">
        <v>176</v>
      </c>
      <c r="J22" s="938" t="s">
        <v>167</v>
      </c>
      <c r="K22" s="938"/>
    </row>
    <row r="23" spans="2:7" s="44" customFormat="1" ht="15">
      <c r="B23" s="153"/>
      <c r="G23" s="207"/>
    </row>
    <row r="24" spans="2:7" s="44" customFormat="1" ht="15">
      <c r="B24" s="153"/>
      <c r="G24" s="207"/>
    </row>
  </sheetData>
  <sheetProtection/>
  <mergeCells count="1">
    <mergeCell ref="J22:K22"/>
  </mergeCells>
  <printOptions/>
  <pageMargins left="0.984251968503937" right="0.984251968503937" top="0.984251968503937" bottom="0.984251968503937" header="0.7086614173228347" footer="0.3937007874015748"/>
  <pageSetup fitToHeight="1" fitToWidth="1" horizontalDpi="600" verticalDpi="600" orientation="landscape" paperSize="9" scale="71" r:id="rId1"/>
  <headerFooter alignWithMargins="0">
    <oddHeader xml:space="preserve">&amp;L&amp;"Arial,Obyčejné"&amp;11Kapitola: 314 - Ministerstvo vnitra&amp;R&amp;"Arial CE,Tučné"&amp;12Tabulka č. 13&amp;"Arial CE,Obyčejné"&amp;10
 </oddHeader>
    <oddFooter>&amp;C&amp;11&amp;P+86
&amp;12
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A6"/>
  <sheetViews>
    <sheetView tabSelected="1" workbookViewId="0" topLeftCell="A1">
      <selection activeCell="H13" sqref="H13"/>
    </sheetView>
  </sheetViews>
  <sheetFormatPr defaultColWidth="9.00390625" defaultRowHeight="12.75"/>
  <cols>
    <col min="1" max="16384" width="9.125" style="43" customWidth="1"/>
  </cols>
  <sheetData>
    <row r="4" ht="15">
      <c r="A4" s="112" t="s">
        <v>434</v>
      </c>
    </row>
    <row r="6" ht="12.75">
      <c r="A6" s="43" t="s">
        <v>85</v>
      </c>
    </row>
  </sheetData>
  <printOptions horizontalCentered="1"/>
  <pageMargins left="0.984251968503937" right="0.7874015748031497" top="0.984251968503937" bottom="0.7874015748031497" header="0.7086614173228347" footer="0.31496062992125984"/>
  <pageSetup fitToHeight="2" horizontalDpi="600" verticalDpi="600" orientation="portrait" paperSize="9" scale="82" r:id="rId1"/>
  <headerFooter alignWithMargins="0">
    <oddHeader>&amp;L&amp;11  &amp;"Arial CE,Tučné" Kapitola: 314 - Ministerstvo vnitra&amp;C&amp;"Arial CE,Tučné"&amp;12
&amp;R&amp;"Arial CE,Tučné"&amp;12  &amp;11 Tabulka č. 14/1&amp;"Arial CE,Obyčejné"
List:&amp;P/&amp;N</oddHeader>
    <oddFooter xml:space="preserve">&amp;C&amp;12
&amp;10&amp;P+115
&amp;11
&amp;R&amp;12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8.125" style="114" customWidth="1"/>
    <col min="2" max="2" width="40.25390625" style="114" customWidth="1"/>
    <col min="3" max="7" width="17.75390625" style="114" customWidth="1"/>
    <col min="8" max="8" width="13.25390625" style="114" customWidth="1"/>
    <col min="9" max="9" width="11.75390625" style="114" customWidth="1"/>
    <col min="10" max="10" width="12.25390625" style="114" customWidth="1"/>
    <col min="11" max="13" width="11.75390625" style="114" customWidth="1"/>
    <col min="14" max="14" width="10.75390625" style="114" customWidth="1"/>
    <col min="15" max="16384" width="9.125" style="114" customWidth="1"/>
  </cols>
  <sheetData>
    <row r="1" ht="12" customHeight="1"/>
    <row r="2" ht="12" customHeight="1">
      <c r="A2" s="128"/>
    </row>
    <row r="3" ht="12.75" thickBot="1">
      <c r="G3" s="129" t="s">
        <v>92</v>
      </c>
    </row>
    <row r="4" spans="1:13" s="43" customFormat="1" ht="17.25" customHeight="1" thickBot="1">
      <c r="A4" s="947" t="s">
        <v>122</v>
      </c>
      <c r="B4" s="948"/>
      <c r="C4" s="948"/>
      <c r="D4" s="948"/>
      <c r="E4" s="948"/>
      <c r="F4" s="948"/>
      <c r="G4" s="949"/>
      <c r="H4" s="130"/>
      <c r="I4" s="130"/>
      <c r="J4" s="130"/>
      <c r="K4" s="130"/>
      <c r="L4" s="130"/>
      <c r="M4" s="130"/>
    </row>
    <row r="5" spans="1:7" ht="36.75" thickBot="1">
      <c r="A5" s="950" t="s">
        <v>123</v>
      </c>
      <c r="B5" s="951"/>
      <c r="C5" s="141" t="s">
        <v>124</v>
      </c>
      <c r="D5" s="141" t="s">
        <v>154</v>
      </c>
      <c r="E5" s="141" t="s">
        <v>125</v>
      </c>
      <c r="F5" s="141" t="s">
        <v>169</v>
      </c>
      <c r="G5" s="142" t="s">
        <v>121</v>
      </c>
    </row>
    <row r="6" spans="1:7" ht="34.5" customHeight="1">
      <c r="A6" s="945" t="s">
        <v>127</v>
      </c>
      <c r="B6" s="946"/>
      <c r="C6" s="176">
        <v>5100</v>
      </c>
      <c r="D6" s="176">
        <v>0</v>
      </c>
      <c r="E6" s="176">
        <v>0</v>
      </c>
      <c r="F6" s="176">
        <v>0</v>
      </c>
      <c r="G6" s="177">
        <v>5100</v>
      </c>
    </row>
    <row r="7" spans="1:7" ht="34.5" customHeight="1">
      <c r="A7" s="941" t="s">
        <v>128</v>
      </c>
      <c r="B7" s="942"/>
      <c r="C7" s="131">
        <v>0</v>
      </c>
      <c r="D7" s="131">
        <v>0</v>
      </c>
      <c r="E7" s="131">
        <v>0</v>
      </c>
      <c r="F7" s="131">
        <v>0</v>
      </c>
      <c r="G7" s="132">
        <v>0</v>
      </c>
    </row>
    <row r="8" spans="1:7" ht="34.5" customHeight="1">
      <c r="A8" s="939" t="s">
        <v>129</v>
      </c>
      <c r="B8" s="940"/>
      <c r="C8" s="133">
        <v>600</v>
      </c>
      <c r="D8" s="133">
        <v>0</v>
      </c>
      <c r="E8" s="133">
        <v>0</v>
      </c>
      <c r="F8" s="133">
        <v>0</v>
      </c>
      <c r="G8" s="134">
        <v>600</v>
      </c>
    </row>
    <row r="9" spans="1:7" ht="34.5" customHeight="1">
      <c r="A9" s="939" t="s">
        <v>130</v>
      </c>
      <c r="B9" s="940"/>
      <c r="C9" s="133">
        <v>35000</v>
      </c>
      <c r="D9" s="133">
        <v>0</v>
      </c>
      <c r="E9" s="133">
        <v>0</v>
      </c>
      <c r="F9" s="133">
        <v>0</v>
      </c>
      <c r="G9" s="134">
        <v>35000</v>
      </c>
    </row>
    <row r="10" spans="1:7" ht="34.5" customHeight="1">
      <c r="A10" s="939" t="s">
        <v>131</v>
      </c>
      <c r="B10" s="940"/>
      <c r="C10" s="133">
        <v>144988</v>
      </c>
      <c r="D10" s="133">
        <v>196945</v>
      </c>
      <c r="E10" s="133">
        <v>961064</v>
      </c>
      <c r="F10" s="133">
        <v>0</v>
      </c>
      <c r="G10" s="134">
        <v>1302997</v>
      </c>
    </row>
    <row r="11" spans="1:7" ht="34.5" customHeight="1">
      <c r="A11" s="939" t="s">
        <v>132</v>
      </c>
      <c r="B11" s="940"/>
      <c r="C11" s="133">
        <v>268982</v>
      </c>
      <c r="D11" s="133">
        <v>14509</v>
      </c>
      <c r="E11" s="133">
        <v>47922</v>
      </c>
      <c r="F11" s="133">
        <v>48053</v>
      </c>
      <c r="G11" s="134">
        <v>379466</v>
      </c>
    </row>
    <row r="12" spans="1:7" ht="34.5" customHeight="1">
      <c r="A12" s="939" t="s">
        <v>133</v>
      </c>
      <c r="B12" s="940"/>
      <c r="C12" s="133">
        <v>136613</v>
      </c>
      <c r="D12" s="133">
        <v>487</v>
      </c>
      <c r="E12" s="133">
        <v>2758</v>
      </c>
      <c r="F12" s="133">
        <v>0</v>
      </c>
      <c r="G12" s="134">
        <v>139858</v>
      </c>
    </row>
    <row r="13" spans="1:7" ht="34.5" customHeight="1">
      <c r="A13" s="939" t="s">
        <v>134</v>
      </c>
      <c r="B13" s="940"/>
      <c r="C13" s="133">
        <v>60000</v>
      </c>
      <c r="D13" s="133">
        <v>0</v>
      </c>
      <c r="E13" s="133">
        <v>0</v>
      </c>
      <c r="F13" s="133">
        <v>0</v>
      </c>
      <c r="G13" s="134">
        <v>60000</v>
      </c>
    </row>
    <row r="14" spans="1:7" ht="34.5" customHeight="1">
      <c r="A14" s="939" t="s">
        <v>135</v>
      </c>
      <c r="B14" s="940"/>
      <c r="C14" s="133">
        <v>4000</v>
      </c>
      <c r="D14" s="133">
        <v>0</v>
      </c>
      <c r="E14" s="133">
        <v>0</v>
      </c>
      <c r="F14" s="133">
        <v>0</v>
      </c>
      <c r="G14" s="134">
        <v>4000</v>
      </c>
    </row>
    <row r="15" spans="1:7" ht="34.5" customHeight="1">
      <c r="A15" s="939" t="s">
        <v>136</v>
      </c>
      <c r="B15" s="940"/>
      <c r="C15" s="133">
        <v>0</v>
      </c>
      <c r="D15" s="133">
        <v>0</v>
      </c>
      <c r="E15" s="133">
        <v>0</v>
      </c>
      <c r="F15" s="133">
        <v>0</v>
      </c>
      <c r="G15" s="134">
        <v>0</v>
      </c>
    </row>
    <row r="16" spans="1:7" ht="34.5" customHeight="1">
      <c r="A16" s="939" t="s">
        <v>137</v>
      </c>
      <c r="B16" s="940"/>
      <c r="C16" s="133">
        <v>0</v>
      </c>
      <c r="D16" s="133">
        <v>0</v>
      </c>
      <c r="E16" s="133">
        <v>0</v>
      </c>
      <c r="F16" s="133">
        <v>0</v>
      </c>
      <c r="G16" s="134">
        <v>0</v>
      </c>
    </row>
    <row r="17" spans="1:7" ht="34.5" customHeight="1">
      <c r="A17" s="939" t="s">
        <v>138</v>
      </c>
      <c r="B17" s="940"/>
      <c r="C17" s="133">
        <v>425814</v>
      </c>
      <c r="D17" s="133">
        <v>13690</v>
      </c>
      <c r="E17" s="133">
        <v>31043</v>
      </c>
      <c r="F17" s="133">
        <v>14480</v>
      </c>
      <c r="G17" s="134">
        <v>485027</v>
      </c>
    </row>
    <row r="18" spans="1:7" ht="34.5" customHeight="1">
      <c r="A18" s="939" t="s">
        <v>139</v>
      </c>
      <c r="B18" s="940"/>
      <c r="C18" s="133">
        <v>21650</v>
      </c>
      <c r="D18" s="133">
        <v>0</v>
      </c>
      <c r="E18" s="133">
        <v>0</v>
      </c>
      <c r="F18" s="133">
        <v>0</v>
      </c>
      <c r="G18" s="134">
        <v>21650</v>
      </c>
    </row>
    <row r="19" spans="1:7" ht="34.5" customHeight="1" thickBot="1">
      <c r="A19" s="941" t="s">
        <v>172</v>
      </c>
      <c r="B19" s="942"/>
      <c r="C19" s="131">
        <v>31000</v>
      </c>
      <c r="D19" s="131">
        <v>0</v>
      </c>
      <c r="E19" s="131">
        <v>0</v>
      </c>
      <c r="F19" s="131">
        <v>0</v>
      </c>
      <c r="G19" s="132">
        <v>31000</v>
      </c>
    </row>
    <row r="20" spans="1:7" s="43" customFormat="1" ht="34.5" customHeight="1" thickBot="1">
      <c r="A20" s="943" t="s">
        <v>141</v>
      </c>
      <c r="B20" s="944"/>
      <c r="C20" s="135">
        <v>1133747</v>
      </c>
      <c r="D20" s="135">
        <v>225631</v>
      </c>
      <c r="E20" s="135">
        <v>1042787</v>
      </c>
      <c r="F20" s="135">
        <v>62533</v>
      </c>
      <c r="G20" s="136">
        <v>2464698</v>
      </c>
    </row>
  </sheetData>
  <sheetProtection/>
  <mergeCells count="17">
    <mergeCell ref="A11:B11"/>
    <mergeCell ref="A6:B6"/>
    <mergeCell ref="A7:B7"/>
    <mergeCell ref="A4:G4"/>
    <mergeCell ref="A5:B5"/>
    <mergeCell ref="A8:B8"/>
    <mergeCell ref="A9:B9"/>
    <mergeCell ref="A10:B10"/>
    <mergeCell ref="A20:B20"/>
    <mergeCell ref="A14:B14"/>
    <mergeCell ref="A15:B15"/>
    <mergeCell ref="A16:B16"/>
    <mergeCell ref="A17:B17"/>
    <mergeCell ref="A12:B12"/>
    <mergeCell ref="A13:B13"/>
    <mergeCell ref="A18:B18"/>
    <mergeCell ref="A19:B19"/>
  </mergeCells>
  <printOptions horizontalCentered="1"/>
  <pageMargins left="0.7874015748031497" right="0.7874015748031497" top="0.984251968503937" bottom="1.1811023622047245" header="0.7086614173228347" footer="0.3937007874015748"/>
  <pageSetup blackAndWhite="1" fitToHeight="1" fitToWidth="1" horizontalDpi="600" verticalDpi="600" orientation="landscape" paperSize="9" scale="73" r:id="rId1"/>
  <headerFooter alignWithMargins="0">
    <oddHeader>&amp;L&amp;"Arial CE,Tučné"&amp;12Kapitola: 314 - Ministerstvo vnitra&amp;C&amp;"Arial CE,Tučné"&amp;14
Přehled výdajů programového financování v jednotlivých programech&amp;R&amp;"Arial CE,Tučné"&amp;12Tabulka č.  13/2
&amp;"Arial CE,Obyčejné"&amp;10List. č. 1/5</oddHeader>
    <oddFooter>&amp;C&amp;11
&amp;P+153&amp;10
&amp;11
&amp;12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workbookViewId="0" topLeftCell="A13">
      <selection activeCell="H13" sqref="H13"/>
    </sheetView>
  </sheetViews>
  <sheetFormatPr defaultColWidth="9.00390625" defaultRowHeight="12.75"/>
  <cols>
    <col min="1" max="1" width="8.125" style="114" customWidth="1"/>
    <col min="2" max="2" width="40.25390625" style="114" customWidth="1"/>
    <col min="3" max="7" width="17.75390625" style="114" customWidth="1"/>
    <col min="8" max="8" width="13.25390625" style="114" customWidth="1"/>
    <col min="9" max="9" width="11.75390625" style="114" customWidth="1"/>
    <col min="10" max="10" width="12.25390625" style="114" customWidth="1"/>
    <col min="11" max="13" width="11.75390625" style="114" customWidth="1"/>
    <col min="14" max="14" width="10.75390625" style="114" customWidth="1"/>
    <col min="15" max="16384" width="9.125" style="114" customWidth="1"/>
  </cols>
  <sheetData>
    <row r="1" ht="12" customHeight="1"/>
    <row r="2" ht="12" customHeight="1">
      <c r="A2" s="128"/>
    </row>
    <row r="3" ht="12.75" thickBot="1">
      <c r="G3" s="129" t="s">
        <v>92</v>
      </c>
    </row>
    <row r="4" spans="1:13" s="43" customFormat="1" ht="17.25" customHeight="1" thickBot="1">
      <c r="A4" s="947" t="s">
        <v>168</v>
      </c>
      <c r="B4" s="948"/>
      <c r="C4" s="948"/>
      <c r="D4" s="948"/>
      <c r="E4" s="948"/>
      <c r="F4" s="948"/>
      <c r="G4" s="949"/>
      <c r="H4" s="130"/>
      <c r="I4" s="130"/>
      <c r="J4" s="130"/>
      <c r="K4" s="130"/>
      <c r="L4" s="130"/>
      <c r="M4" s="130"/>
    </row>
    <row r="5" spans="1:7" ht="36.75" thickBot="1">
      <c r="A5" s="950" t="s">
        <v>123</v>
      </c>
      <c r="B5" s="951"/>
      <c r="C5" s="141" t="s">
        <v>124</v>
      </c>
      <c r="D5" s="141" t="s">
        <v>154</v>
      </c>
      <c r="E5" s="141" t="s">
        <v>125</v>
      </c>
      <c r="F5" s="141" t="s">
        <v>169</v>
      </c>
      <c r="G5" s="142" t="s">
        <v>121</v>
      </c>
    </row>
    <row r="6" spans="1:7" ht="34.5" customHeight="1">
      <c r="A6" s="945" t="s">
        <v>127</v>
      </c>
      <c r="B6" s="946"/>
      <c r="C6" s="176">
        <v>41398</v>
      </c>
      <c r="D6" s="176">
        <v>0</v>
      </c>
      <c r="E6" s="176">
        <v>0</v>
      </c>
      <c r="F6" s="176">
        <v>0</v>
      </c>
      <c r="G6" s="177">
        <v>41398</v>
      </c>
    </row>
    <row r="7" spans="1:7" ht="34.5" customHeight="1">
      <c r="A7" s="941" t="s">
        <v>128</v>
      </c>
      <c r="B7" s="942"/>
      <c r="C7" s="131">
        <v>11594</v>
      </c>
      <c r="D7" s="131">
        <v>0</v>
      </c>
      <c r="E7" s="131">
        <v>0</v>
      </c>
      <c r="F7" s="131">
        <v>0</v>
      </c>
      <c r="G7" s="132">
        <v>11594</v>
      </c>
    </row>
    <row r="8" spans="1:7" ht="34.5" customHeight="1">
      <c r="A8" s="939" t="s">
        <v>129</v>
      </c>
      <c r="B8" s="940"/>
      <c r="C8" s="133">
        <v>3884</v>
      </c>
      <c r="D8" s="133">
        <v>0</v>
      </c>
      <c r="E8" s="133">
        <v>0</v>
      </c>
      <c r="F8" s="133">
        <v>0</v>
      </c>
      <c r="G8" s="134">
        <v>3884</v>
      </c>
    </row>
    <row r="9" spans="1:7" ht="34.5" customHeight="1">
      <c r="A9" s="939" t="s">
        <v>130</v>
      </c>
      <c r="B9" s="940"/>
      <c r="C9" s="133">
        <v>21220</v>
      </c>
      <c r="D9" s="133">
        <v>0</v>
      </c>
      <c r="E9" s="133">
        <v>0</v>
      </c>
      <c r="F9" s="133">
        <v>0</v>
      </c>
      <c r="G9" s="134">
        <v>21220</v>
      </c>
    </row>
    <row r="10" spans="1:7" ht="34.5" customHeight="1">
      <c r="A10" s="939" t="s">
        <v>131</v>
      </c>
      <c r="B10" s="940"/>
      <c r="C10" s="133">
        <v>85959</v>
      </c>
      <c r="D10" s="133">
        <v>133109</v>
      </c>
      <c r="E10" s="133">
        <v>964459</v>
      </c>
      <c r="F10" s="133">
        <v>0</v>
      </c>
      <c r="G10" s="134">
        <v>1183527</v>
      </c>
    </row>
    <row r="11" spans="1:7" ht="34.5" customHeight="1">
      <c r="A11" s="939" t="s">
        <v>132</v>
      </c>
      <c r="B11" s="940"/>
      <c r="C11" s="133">
        <v>383910</v>
      </c>
      <c r="D11" s="133">
        <v>9270</v>
      </c>
      <c r="E11" s="133">
        <v>50509</v>
      </c>
      <c r="F11" s="133">
        <v>48053</v>
      </c>
      <c r="G11" s="134">
        <v>491742</v>
      </c>
    </row>
    <row r="12" spans="1:7" ht="34.5" customHeight="1">
      <c r="A12" s="939" t="s">
        <v>133</v>
      </c>
      <c r="B12" s="940"/>
      <c r="C12" s="133">
        <v>246140</v>
      </c>
      <c r="D12" s="133">
        <v>3265</v>
      </c>
      <c r="E12" s="133">
        <v>22428</v>
      </c>
      <c r="F12" s="133">
        <v>0</v>
      </c>
      <c r="G12" s="134">
        <v>271833</v>
      </c>
    </row>
    <row r="13" spans="1:7" ht="34.5" customHeight="1">
      <c r="A13" s="939" t="s">
        <v>134</v>
      </c>
      <c r="B13" s="940"/>
      <c r="C13" s="133">
        <v>56034</v>
      </c>
      <c r="D13" s="133">
        <v>0</v>
      </c>
      <c r="E13" s="133">
        <v>0</v>
      </c>
      <c r="F13" s="133">
        <v>0</v>
      </c>
      <c r="G13" s="134">
        <v>56034</v>
      </c>
    </row>
    <row r="14" spans="1:7" ht="34.5" customHeight="1">
      <c r="A14" s="939" t="s">
        <v>135</v>
      </c>
      <c r="B14" s="940"/>
      <c r="C14" s="133">
        <v>6614</v>
      </c>
      <c r="D14" s="133">
        <v>0</v>
      </c>
      <c r="E14" s="133">
        <v>0</v>
      </c>
      <c r="F14" s="133">
        <v>0</v>
      </c>
      <c r="G14" s="134">
        <v>6614</v>
      </c>
    </row>
    <row r="15" spans="1:7" ht="34.5" customHeight="1">
      <c r="A15" s="939" t="s">
        <v>136</v>
      </c>
      <c r="B15" s="940"/>
      <c r="C15" s="133">
        <v>3047</v>
      </c>
      <c r="D15" s="133">
        <v>0</v>
      </c>
      <c r="E15" s="133">
        <v>0</v>
      </c>
      <c r="F15" s="133">
        <v>0</v>
      </c>
      <c r="G15" s="134">
        <v>3047</v>
      </c>
    </row>
    <row r="16" spans="1:7" ht="34.5" customHeight="1">
      <c r="A16" s="939" t="s">
        <v>137</v>
      </c>
      <c r="B16" s="940"/>
      <c r="C16" s="133">
        <v>32682</v>
      </c>
      <c r="D16" s="133">
        <v>0</v>
      </c>
      <c r="E16" s="133">
        <v>0</v>
      </c>
      <c r="F16" s="133">
        <v>0</v>
      </c>
      <c r="G16" s="134">
        <v>32682</v>
      </c>
    </row>
    <row r="17" spans="1:7" ht="34.5" customHeight="1">
      <c r="A17" s="939" t="s">
        <v>138</v>
      </c>
      <c r="B17" s="940"/>
      <c r="C17" s="133">
        <v>445086</v>
      </c>
      <c r="D17" s="133">
        <v>17563</v>
      </c>
      <c r="E17" s="133">
        <v>59558</v>
      </c>
      <c r="F17" s="133">
        <v>14480</v>
      </c>
      <c r="G17" s="134">
        <v>536687</v>
      </c>
    </row>
    <row r="18" spans="1:7" ht="34.5" customHeight="1">
      <c r="A18" s="939" t="s">
        <v>139</v>
      </c>
      <c r="B18" s="940"/>
      <c r="C18" s="133">
        <v>8503</v>
      </c>
      <c r="D18" s="133">
        <v>0</v>
      </c>
      <c r="E18" s="133">
        <v>0</v>
      </c>
      <c r="F18" s="133">
        <v>0</v>
      </c>
      <c r="G18" s="134">
        <v>8503</v>
      </c>
    </row>
    <row r="19" spans="1:7" ht="34.5" customHeight="1" thickBot="1">
      <c r="A19" s="941" t="s">
        <v>173</v>
      </c>
      <c r="B19" s="942"/>
      <c r="C19" s="131">
        <v>25584</v>
      </c>
      <c r="D19" s="131">
        <v>0</v>
      </c>
      <c r="E19" s="131">
        <v>0</v>
      </c>
      <c r="F19" s="131">
        <v>0</v>
      </c>
      <c r="G19" s="132">
        <v>25584</v>
      </c>
    </row>
    <row r="20" spans="1:7" s="43" customFormat="1" ht="34.5" customHeight="1" thickBot="1">
      <c r="A20" s="943" t="s">
        <v>141</v>
      </c>
      <c r="B20" s="944"/>
      <c r="C20" s="135">
        <v>1371655</v>
      </c>
      <c r="D20" s="135">
        <v>163207</v>
      </c>
      <c r="E20" s="135">
        <v>1096954</v>
      </c>
      <c r="F20" s="135">
        <v>62533</v>
      </c>
      <c r="G20" s="136">
        <v>2694349</v>
      </c>
    </row>
  </sheetData>
  <sheetProtection/>
  <mergeCells count="17">
    <mergeCell ref="A10:B10"/>
    <mergeCell ref="A11:B11"/>
    <mergeCell ref="A12:B12"/>
    <mergeCell ref="A4:G4"/>
    <mergeCell ref="A5:B5"/>
    <mergeCell ref="A6:B6"/>
    <mergeCell ref="A7:B7"/>
    <mergeCell ref="A8:B8"/>
    <mergeCell ref="A9:B9"/>
    <mergeCell ref="A18:B18"/>
    <mergeCell ref="A19:B19"/>
    <mergeCell ref="A20:B20"/>
    <mergeCell ref="A13:B13"/>
    <mergeCell ref="A14:B14"/>
    <mergeCell ref="A16:B16"/>
    <mergeCell ref="A17:B17"/>
    <mergeCell ref="A15:B15"/>
  </mergeCells>
  <printOptions horizontalCentered="1"/>
  <pageMargins left="0.7874015748031497" right="0.7874015748031497" top="0.984251968503937" bottom="0.984251968503937" header="0.7086614173228347" footer="0.11811023622047245"/>
  <pageSetup blackAndWhite="1" fitToHeight="1" fitToWidth="1" horizontalDpi="600" verticalDpi="600" orientation="landscape" paperSize="9" scale="75" r:id="rId1"/>
  <headerFooter alignWithMargins="0">
    <oddHeader>&amp;L&amp;"Arial CE,Tučné"&amp;12Kapitola: 314 - Ministerstvo vnitra&amp;C&amp;"Arial CE,Tučné"&amp;14
Přehled výdajů programového financování v jednotlivých programech&amp;R&amp;"Arial CE,Tučné"&amp;12Tabulka č.  13/2
&amp;"Arial CE,Obyčejné"&amp;10List. č. 2/5</oddHeader>
    <oddFooter>&amp;C&amp;11
&amp;P+154&amp;10
&amp;11
&amp;12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workbookViewId="0" topLeftCell="A10">
      <selection activeCell="H13" sqref="H13"/>
    </sheetView>
  </sheetViews>
  <sheetFormatPr defaultColWidth="9.00390625" defaultRowHeight="12.75"/>
  <cols>
    <col min="1" max="1" width="8.125" style="114" customWidth="1"/>
    <col min="2" max="2" width="40.375" style="114" customWidth="1"/>
    <col min="3" max="6" width="16.375" style="114" customWidth="1"/>
    <col min="7" max="7" width="12.25390625" style="114" customWidth="1"/>
    <col min="8" max="8" width="13.25390625" style="114" customWidth="1"/>
    <col min="9" max="9" width="11.75390625" style="114" customWidth="1"/>
    <col min="10" max="10" width="12.25390625" style="114" customWidth="1"/>
    <col min="11" max="13" width="11.75390625" style="114" customWidth="1"/>
    <col min="14" max="14" width="10.75390625" style="114" customWidth="1"/>
    <col min="15" max="16384" width="9.125" style="114" customWidth="1"/>
  </cols>
  <sheetData>
    <row r="1" ht="12" customHeight="1"/>
    <row r="2" ht="12" customHeight="1">
      <c r="A2" s="128"/>
    </row>
    <row r="3" spans="1:13" ht="12.75" thickBot="1">
      <c r="A3" s="137"/>
      <c r="B3" s="138"/>
      <c r="C3" s="139"/>
      <c r="D3" s="139"/>
      <c r="E3" s="139"/>
      <c r="F3" s="139"/>
      <c r="G3" s="139"/>
      <c r="H3" s="139"/>
      <c r="I3" s="129" t="s">
        <v>92</v>
      </c>
      <c r="J3" s="139"/>
      <c r="K3" s="139"/>
      <c r="L3" s="139"/>
      <c r="M3" s="139"/>
    </row>
    <row r="4" spans="1:13" s="43" customFormat="1" ht="16.5" customHeight="1" thickBot="1">
      <c r="A4" s="943" t="s">
        <v>142</v>
      </c>
      <c r="B4" s="952"/>
      <c r="C4" s="952"/>
      <c r="D4" s="952"/>
      <c r="E4" s="952"/>
      <c r="F4" s="952"/>
      <c r="G4" s="952"/>
      <c r="H4" s="953"/>
      <c r="I4" s="954"/>
      <c r="J4" s="140"/>
      <c r="K4" s="140"/>
      <c r="L4" s="140"/>
      <c r="M4" s="140"/>
    </row>
    <row r="5" spans="1:13" ht="60.75" thickBot="1">
      <c r="A5" s="955" t="s">
        <v>123</v>
      </c>
      <c r="B5" s="956"/>
      <c r="C5" s="141" t="s">
        <v>143</v>
      </c>
      <c r="D5" s="141" t="s">
        <v>162</v>
      </c>
      <c r="E5" s="141" t="s">
        <v>147</v>
      </c>
      <c r="F5" s="141" t="s">
        <v>163</v>
      </c>
      <c r="G5" s="141" t="s">
        <v>144</v>
      </c>
      <c r="H5" s="141" t="s">
        <v>145</v>
      </c>
      <c r="I5" s="142" t="s">
        <v>121</v>
      </c>
      <c r="J5" s="139"/>
      <c r="K5" s="139"/>
      <c r="L5" s="139"/>
      <c r="M5" s="139"/>
    </row>
    <row r="6" spans="1:13" ht="34.5" customHeight="1">
      <c r="A6" s="945" t="s">
        <v>127</v>
      </c>
      <c r="B6" s="946"/>
      <c r="C6" s="133">
        <v>0</v>
      </c>
      <c r="D6" s="133">
        <v>0</v>
      </c>
      <c r="E6" s="133">
        <v>0</v>
      </c>
      <c r="F6" s="133">
        <v>0</v>
      </c>
      <c r="G6" s="133">
        <v>0</v>
      </c>
      <c r="H6" s="133">
        <v>0</v>
      </c>
      <c r="I6" s="143">
        <v>0</v>
      </c>
      <c r="J6" s="139"/>
      <c r="K6" s="139"/>
      <c r="L6" s="139"/>
      <c r="M6" s="139"/>
    </row>
    <row r="7" spans="1:13" ht="34.5" customHeight="1">
      <c r="A7" s="941" t="s">
        <v>128</v>
      </c>
      <c r="B7" s="942"/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44">
        <v>0</v>
      </c>
      <c r="J7" s="139"/>
      <c r="K7" s="139"/>
      <c r="L7" s="139"/>
      <c r="M7" s="139"/>
    </row>
    <row r="8" spans="1:13" ht="34.5" customHeight="1">
      <c r="A8" s="939" t="s">
        <v>129</v>
      </c>
      <c r="B8" s="940"/>
      <c r="C8" s="133">
        <v>0</v>
      </c>
      <c r="D8" s="133">
        <v>0</v>
      </c>
      <c r="E8" s="133">
        <v>0</v>
      </c>
      <c r="F8" s="133">
        <v>0</v>
      </c>
      <c r="G8" s="133">
        <v>0</v>
      </c>
      <c r="H8" s="133">
        <v>0</v>
      </c>
      <c r="I8" s="134">
        <v>0</v>
      </c>
      <c r="J8" s="139"/>
      <c r="K8" s="139"/>
      <c r="L8" s="139"/>
      <c r="M8" s="139"/>
    </row>
    <row r="9" spans="1:13" ht="34.5" customHeight="1">
      <c r="A9" s="939" t="s">
        <v>130</v>
      </c>
      <c r="B9" s="940"/>
      <c r="C9" s="133">
        <v>0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143">
        <v>0</v>
      </c>
      <c r="J9" s="139"/>
      <c r="K9" s="139"/>
      <c r="L9" s="139"/>
      <c r="M9" s="139"/>
    </row>
    <row r="10" spans="1:13" ht="34.5" customHeight="1">
      <c r="A10" s="939" t="s">
        <v>131</v>
      </c>
      <c r="B10" s="940"/>
      <c r="C10" s="133">
        <v>2</v>
      </c>
      <c r="D10" s="133">
        <v>112168</v>
      </c>
      <c r="E10" s="133">
        <v>691714</v>
      </c>
      <c r="F10" s="133">
        <v>0</v>
      </c>
      <c r="G10" s="133">
        <v>0</v>
      </c>
      <c r="H10" s="133">
        <v>0</v>
      </c>
      <c r="I10" s="143">
        <v>803884</v>
      </c>
      <c r="J10" s="139"/>
      <c r="K10" s="139"/>
      <c r="L10" s="139"/>
      <c r="M10" s="139"/>
    </row>
    <row r="11" spans="1:13" ht="34.5" customHeight="1">
      <c r="A11" s="939" t="s">
        <v>132</v>
      </c>
      <c r="B11" s="940"/>
      <c r="C11" s="133">
        <v>7396</v>
      </c>
      <c r="D11" s="133">
        <v>2190</v>
      </c>
      <c r="E11" s="133">
        <v>5384</v>
      </c>
      <c r="F11" s="133">
        <v>0</v>
      </c>
      <c r="G11" s="133">
        <v>198</v>
      </c>
      <c r="H11" s="133">
        <v>1252</v>
      </c>
      <c r="I11" s="143">
        <v>16420</v>
      </c>
      <c r="J11" s="139"/>
      <c r="K11" s="139"/>
      <c r="L11" s="139"/>
      <c r="M11" s="139"/>
    </row>
    <row r="12" spans="1:13" ht="34.5" customHeight="1">
      <c r="A12" s="939" t="s">
        <v>133</v>
      </c>
      <c r="B12" s="940"/>
      <c r="C12" s="133">
        <v>0</v>
      </c>
      <c r="D12" s="133">
        <v>3</v>
      </c>
      <c r="E12" s="133">
        <v>48</v>
      </c>
      <c r="F12" s="133">
        <v>0</v>
      </c>
      <c r="G12" s="133">
        <v>1111</v>
      </c>
      <c r="H12" s="133">
        <v>104024</v>
      </c>
      <c r="I12" s="143">
        <v>105186</v>
      </c>
      <c r="J12" s="139"/>
      <c r="K12" s="139"/>
      <c r="L12" s="139"/>
      <c r="M12" s="139"/>
    </row>
    <row r="13" spans="1:13" ht="34.5" customHeight="1">
      <c r="A13" s="939" t="s">
        <v>134</v>
      </c>
      <c r="B13" s="940"/>
      <c r="C13" s="133">
        <v>0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43">
        <v>0</v>
      </c>
      <c r="J13" s="139"/>
      <c r="K13" s="139"/>
      <c r="L13" s="139"/>
      <c r="M13" s="139"/>
    </row>
    <row r="14" spans="1:13" ht="34.5" customHeight="1">
      <c r="A14" s="939" t="s">
        <v>135</v>
      </c>
      <c r="B14" s="940"/>
      <c r="C14" s="133">
        <v>0</v>
      </c>
      <c r="D14" s="133">
        <v>21073</v>
      </c>
      <c r="E14" s="133">
        <v>119413</v>
      </c>
      <c r="F14" s="133">
        <v>0</v>
      </c>
      <c r="G14" s="133">
        <v>0</v>
      </c>
      <c r="H14" s="133">
        <v>0</v>
      </c>
      <c r="I14" s="143">
        <v>140486</v>
      </c>
      <c r="J14" s="139"/>
      <c r="K14" s="139"/>
      <c r="L14" s="139"/>
      <c r="M14" s="139"/>
    </row>
    <row r="15" spans="1:13" ht="34.5" customHeight="1">
      <c r="A15" s="939" t="s">
        <v>136</v>
      </c>
      <c r="B15" s="940"/>
      <c r="C15" s="133">
        <v>8887</v>
      </c>
      <c r="D15" s="133">
        <v>717</v>
      </c>
      <c r="E15" s="133">
        <v>4059</v>
      </c>
      <c r="F15" s="133">
        <v>0</v>
      </c>
      <c r="G15" s="133">
        <v>0</v>
      </c>
      <c r="H15" s="133">
        <v>0</v>
      </c>
      <c r="I15" s="143">
        <v>13663</v>
      </c>
      <c r="J15" s="139"/>
      <c r="K15" s="139"/>
      <c r="L15" s="139"/>
      <c r="M15" s="139"/>
    </row>
    <row r="16" spans="1:13" ht="34.5" customHeight="1">
      <c r="A16" s="939" t="s">
        <v>137</v>
      </c>
      <c r="B16" s="940"/>
      <c r="C16" s="133">
        <v>0</v>
      </c>
      <c r="D16" s="133">
        <v>254</v>
      </c>
      <c r="E16" s="133">
        <v>1442</v>
      </c>
      <c r="F16" s="133">
        <v>0</v>
      </c>
      <c r="G16" s="133">
        <v>0</v>
      </c>
      <c r="H16" s="133">
        <v>0</v>
      </c>
      <c r="I16" s="143">
        <v>1696</v>
      </c>
      <c r="J16" s="139"/>
      <c r="K16" s="139"/>
      <c r="L16" s="139"/>
      <c r="M16" s="139"/>
    </row>
    <row r="17" spans="1:13" ht="34.5" customHeight="1">
      <c r="A17" s="939" t="s">
        <v>138</v>
      </c>
      <c r="B17" s="940"/>
      <c r="C17" s="133">
        <v>53191</v>
      </c>
      <c r="D17" s="133">
        <v>29126</v>
      </c>
      <c r="E17" s="133">
        <v>35489</v>
      </c>
      <c r="F17" s="133">
        <v>0</v>
      </c>
      <c r="G17" s="133">
        <v>884</v>
      </c>
      <c r="H17" s="133">
        <v>421</v>
      </c>
      <c r="I17" s="143">
        <v>119111</v>
      </c>
      <c r="J17" s="139"/>
      <c r="K17" s="139"/>
      <c r="L17" s="139"/>
      <c r="M17" s="139"/>
    </row>
    <row r="18" spans="1:13" ht="34.5" customHeight="1">
      <c r="A18" s="939" t="s">
        <v>139</v>
      </c>
      <c r="B18" s="940"/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43">
        <v>0</v>
      </c>
      <c r="J18" s="139"/>
      <c r="K18" s="139"/>
      <c r="L18" s="139"/>
      <c r="M18" s="139"/>
    </row>
    <row r="19" spans="1:13" ht="34.5" customHeight="1" thickBot="1">
      <c r="A19" s="941" t="s">
        <v>173</v>
      </c>
      <c r="B19" s="942"/>
      <c r="C19" s="131">
        <v>12774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43">
        <v>12774</v>
      </c>
      <c r="J19" s="139"/>
      <c r="K19" s="139"/>
      <c r="L19" s="139"/>
      <c r="M19" s="139"/>
    </row>
    <row r="20" spans="1:13" s="43" customFormat="1" ht="34.5" customHeight="1" thickBot="1">
      <c r="A20" s="943" t="s">
        <v>141</v>
      </c>
      <c r="B20" s="944"/>
      <c r="C20" s="135">
        <v>82250</v>
      </c>
      <c r="D20" s="135">
        <v>165531</v>
      </c>
      <c r="E20" s="135">
        <v>857549</v>
      </c>
      <c r="F20" s="135">
        <v>0</v>
      </c>
      <c r="G20" s="135">
        <v>2193</v>
      </c>
      <c r="H20" s="135">
        <v>105697</v>
      </c>
      <c r="I20" s="136">
        <v>1213220</v>
      </c>
      <c r="J20" s="140"/>
      <c r="K20" s="140"/>
      <c r="L20" s="140"/>
      <c r="M20" s="140"/>
    </row>
  </sheetData>
  <sheetProtection/>
  <mergeCells count="17">
    <mergeCell ref="A18:B18"/>
    <mergeCell ref="A20:B20"/>
    <mergeCell ref="A14:B14"/>
    <mergeCell ref="A15:B15"/>
    <mergeCell ref="A16:B16"/>
    <mergeCell ref="A17:B17"/>
    <mergeCell ref="A19:B19"/>
    <mergeCell ref="A10:B10"/>
    <mergeCell ref="A11:B11"/>
    <mergeCell ref="A12:B12"/>
    <mergeCell ref="A13:B13"/>
    <mergeCell ref="A4:I4"/>
    <mergeCell ref="A5:B5"/>
    <mergeCell ref="A8:B8"/>
    <mergeCell ref="A9:B9"/>
    <mergeCell ref="A6:B6"/>
    <mergeCell ref="A7:B7"/>
  </mergeCells>
  <printOptions horizontalCentered="1"/>
  <pageMargins left="0.7874015748031497" right="0.7874015748031497" top="0.984251968503937" bottom="0.984251968503937" header="0.7086614173228347" footer="0.31496062992125984"/>
  <pageSetup blackAndWhite="1" fitToHeight="1" fitToWidth="1" horizontalDpi="600" verticalDpi="600" orientation="landscape" paperSize="9" scale="72" r:id="rId1"/>
  <headerFooter alignWithMargins="0">
    <oddHeader>&amp;L&amp;"Arial CE,Tučné"&amp;12Kapitola: 314 - Ministerstvo vnitra&amp;C
&amp;"Arial CE,Tučné"&amp;14Přehled výdajů programového financování v jednotlivých programech&amp;R&amp;"Arial CE,Tučné"&amp;12Tabulka č.  13/2
&amp;"Arial CE,Obyčejné"&amp;10List. č. 3/5</oddHeader>
    <oddFooter>&amp;C&amp;11&amp;P+155&amp;10
&amp;12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workbookViewId="0" topLeftCell="D1">
      <selection activeCell="H13" sqref="H13"/>
    </sheetView>
  </sheetViews>
  <sheetFormatPr defaultColWidth="9.00390625" defaultRowHeight="12.75"/>
  <cols>
    <col min="1" max="1" width="8.125" style="114" customWidth="1"/>
    <col min="2" max="2" width="40.125" style="114" customWidth="1"/>
    <col min="3" max="3" width="11.75390625" style="114" customWidth="1"/>
    <col min="4" max="4" width="15.625" style="114" customWidth="1"/>
    <col min="5" max="6" width="11.75390625" style="114" customWidth="1"/>
    <col min="7" max="7" width="16.25390625" style="114" customWidth="1"/>
    <col min="8" max="8" width="16.00390625" style="114" customWidth="1"/>
    <col min="9" max="9" width="15.875" style="114" customWidth="1"/>
    <col min="10" max="10" width="16.125" style="114" customWidth="1"/>
    <col min="11" max="13" width="11.75390625" style="114" customWidth="1"/>
    <col min="14" max="14" width="10.75390625" style="114" customWidth="1"/>
    <col min="15" max="16384" width="9.125" style="114" customWidth="1"/>
  </cols>
  <sheetData>
    <row r="1" ht="12" customHeight="1"/>
    <row r="2" ht="12" customHeight="1">
      <c r="A2" s="128"/>
    </row>
    <row r="3" spans="1:13" ht="12.75" thickBot="1">
      <c r="A3" s="137"/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29" t="s">
        <v>92</v>
      </c>
    </row>
    <row r="4" spans="1:13" s="43" customFormat="1" ht="17.25" customHeight="1" thickBot="1">
      <c r="A4" s="943" t="s">
        <v>146</v>
      </c>
      <c r="B4" s="952"/>
      <c r="C4" s="952"/>
      <c r="D4" s="952"/>
      <c r="E4" s="952"/>
      <c r="F4" s="952"/>
      <c r="G4" s="952"/>
      <c r="H4" s="953"/>
      <c r="I4" s="953"/>
      <c r="J4" s="953"/>
      <c r="K4" s="953"/>
      <c r="L4" s="953"/>
      <c r="M4" s="954"/>
    </row>
    <row r="5" spans="1:13" ht="60.75" thickBot="1">
      <c r="A5" s="950" t="s">
        <v>123</v>
      </c>
      <c r="B5" s="951"/>
      <c r="C5" s="141" t="s">
        <v>124</v>
      </c>
      <c r="D5" s="141" t="s">
        <v>154</v>
      </c>
      <c r="E5" s="141" t="s">
        <v>125</v>
      </c>
      <c r="F5" s="141" t="s">
        <v>126</v>
      </c>
      <c r="G5" s="141" t="s">
        <v>143</v>
      </c>
      <c r="H5" s="141" t="s">
        <v>162</v>
      </c>
      <c r="I5" s="141" t="s">
        <v>147</v>
      </c>
      <c r="J5" s="141" t="s">
        <v>170</v>
      </c>
      <c r="K5" s="141" t="s">
        <v>144</v>
      </c>
      <c r="L5" s="141" t="s">
        <v>145</v>
      </c>
      <c r="M5" s="142" t="s">
        <v>121</v>
      </c>
    </row>
    <row r="6" spans="1:13" ht="34.5" customHeight="1">
      <c r="A6" s="945" t="s">
        <v>127</v>
      </c>
      <c r="B6" s="946"/>
      <c r="C6" s="178">
        <v>36255</v>
      </c>
      <c r="D6" s="178">
        <v>0</v>
      </c>
      <c r="E6" s="178">
        <v>0</v>
      </c>
      <c r="F6" s="178">
        <v>0</v>
      </c>
      <c r="G6" s="178">
        <v>0</v>
      </c>
      <c r="H6" s="178">
        <v>0</v>
      </c>
      <c r="I6" s="178">
        <v>0</v>
      </c>
      <c r="J6" s="178">
        <v>0</v>
      </c>
      <c r="K6" s="178">
        <v>0</v>
      </c>
      <c r="L6" s="178">
        <v>0</v>
      </c>
      <c r="M6" s="179">
        <v>36255</v>
      </c>
    </row>
    <row r="7" spans="1:13" ht="34.5" customHeight="1">
      <c r="A7" s="941" t="s">
        <v>128</v>
      </c>
      <c r="B7" s="942"/>
      <c r="C7" s="147">
        <v>8731</v>
      </c>
      <c r="D7" s="147">
        <v>0</v>
      </c>
      <c r="E7" s="147">
        <v>0</v>
      </c>
      <c r="F7" s="147">
        <v>0</v>
      </c>
      <c r="G7" s="147">
        <v>0</v>
      </c>
      <c r="H7" s="147">
        <v>0</v>
      </c>
      <c r="I7" s="147">
        <v>0</v>
      </c>
      <c r="J7" s="147">
        <v>0</v>
      </c>
      <c r="K7" s="147">
        <v>0</v>
      </c>
      <c r="L7" s="147">
        <v>0</v>
      </c>
      <c r="M7" s="148">
        <v>8731</v>
      </c>
    </row>
    <row r="8" spans="1:13" ht="34.5" customHeight="1">
      <c r="A8" s="939" t="s">
        <v>129</v>
      </c>
      <c r="B8" s="940"/>
      <c r="C8" s="145">
        <v>3875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9">
        <v>3875</v>
      </c>
    </row>
    <row r="9" spans="1:13" ht="34.5" customHeight="1">
      <c r="A9" s="939" t="s">
        <v>130</v>
      </c>
      <c r="B9" s="940"/>
      <c r="C9" s="145">
        <v>18314</v>
      </c>
      <c r="D9" s="145">
        <v>0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6">
        <v>18314</v>
      </c>
    </row>
    <row r="10" spans="1:13" ht="34.5" customHeight="1">
      <c r="A10" s="939" t="s">
        <v>131</v>
      </c>
      <c r="B10" s="940"/>
      <c r="C10" s="145">
        <v>50031</v>
      </c>
      <c r="D10" s="145">
        <v>787</v>
      </c>
      <c r="E10" s="145">
        <v>54528</v>
      </c>
      <c r="F10" s="145">
        <v>0</v>
      </c>
      <c r="G10" s="145">
        <v>2</v>
      </c>
      <c r="H10" s="145">
        <v>112168</v>
      </c>
      <c r="I10" s="145">
        <v>691714</v>
      </c>
      <c r="J10" s="145">
        <v>0</v>
      </c>
      <c r="K10" s="145">
        <v>0</v>
      </c>
      <c r="L10" s="145">
        <v>0</v>
      </c>
      <c r="M10" s="146">
        <v>909230</v>
      </c>
    </row>
    <row r="11" spans="1:13" ht="34.5" customHeight="1">
      <c r="A11" s="939" t="s">
        <v>132</v>
      </c>
      <c r="B11" s="940"/>
      <c r="C11" s="145">
        <v>299481</v>
      </c>
      <c r="D11" s="145">
        <v>18</v>
      </c>
      <c r="E11" s="145">
        <v>40</v>
      </c>
      <c r="F11" s="145">
        <v>102</v>
      </c>
      <c r="G11" s="145">
        <v>7396</v>
      </c>
      <c r="H11" s="145">
        <v>2190</v>
      </c>
      <c r="I11" s="145">
        <v>5384</v>
      </c>
      <c r="J11" s="145">
        <v>0</v>
      </c>
      <c r="K11" s="145">
        <v>198</v>
      </c>
      <c r="L11" s="145">
        <v>1252</v>
      </c>
      <c r="M11" s="146">
        <v>316061</v>
      </c>
    </row>
    <row r="12" spans="1:13" ht="34.5" customHeight="1">
      <c r="A12" s="939" t="s">
        <v>133</v>
      </c>
      <c r="B12" s="940"/>
      <c r="C12" s="145">
        <v>216987</v>
      </c>
      <c r="D12" s="145">
        <v>642</v>
      </c>
      <c r="E12" s="145">
        <v>2668</v>
      </c>
      <c r="F12" s="145">
        <v>0</v>
      </c>
      <c r="G12" s="145">
        <v>0</v>
      </c>
      <c r="H12" s="145">
        <v>3</v>
      </c>
      <c r="I12" s="145">
        <v>48</v>
      </c>
      <c r="J12" s="145">
        <v>0</v>
      </c>
      <c r="K12" s="145">
        <v>1111</v>
      </c>
      <c r="L12" s="145">
        <v>104024</v>
      </c>
      <c r="M12" s="146">
        <v>325483</v>
      </c>
    </row>
    <row r="13" spans="1:13" ht="34.5" customHeight="1">
      <c r="A13" s="939" t="s">
        <v>134</v>
      </c>
      <c r="B13" s="940"/>
      <c r="C13" s="145">
        <v>56028</v>
      </c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6">
        <v>56028</v>
      </c>
    </row>
    <row r="14" spans="1:13" ht="34.5" customHeight="1">
      <c r="A14" s="939" t="s">
        <v>135</v>
      </c>
      <c r="B14" s="940"/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21073</v>
      </c>
      <c r="I14" s="145">
        <v>119413</v>
      </c>
      <c r="J14" s="145">
        <v>0</v>
      </c>
      <c r="K14" s="145">
        <v>0</v>
      </c>
      <c r="L14" s="145">
        <v>0</v>
      </c>
      <c r="M14" s="146">
        <v>140486</v>
      </c>
    </row>
    <row r="15" spans="1:13" ht="34.5" customHeight="1">
      <c r="A15" s="939" t="s">
        <v>136</v>
      </c>
      <c r="B15" s="940"/>
      <c r="C15" s="145">
        <v>945</v>
      </c>
      <c r="D15" s="145">
        <v>0</v>
      </c>
      <c r="E15" s="145">
        <v>0</v>
      </c>
      <c r="F15" s="145">
        <v>0</v>
      </c>
      <c r="G15" s="145">
        <v>8887</v>
      </c>
      <c r="H15" s="145">
        <v>717</v>
      </c>
      <c r="I15" s="145">
        <v>4059</v>
      </c>
      <c r="J15" s="145">
        <v>0</v>
      </c>
      <c r="K15" s="145">
        <v>0</v>
      </c>
      <c r="L15" s="145">
        <v>0</v>
      </c>
      <c r="M15" s="146">
        <v>14608</v>
      </c>
    </row>
    <row r="16" spans="1:13" ht="34.5" customHeight="1">
      <c r="A16" s="939" t="s">
        <v>137</v>
      </c>
      <c r="B16" s="940"/>
      <c r="C16" s="145">
        <v>24342</v>
      </c>
      <c r="D16" s="145">
        <v>0</v>
      </c>
      <c r="E16" s="145">
        <v>0</v>
      </c>
      <c r="F16" s="145">
        <v>0</v>
      </c>
      <c r="G16" s="145">
        <v>0</v>
      </c>
      <c r="H16" s="145">
        <v>254</v>
      </c>
      <c r="I16" s="145">
        <v>1442</v>
      </c>
      <c r="J16" s="145">
        <v>0</v>
      </c>
      <c r="K16" s="145">
        <v>0</v>
      </c>
      <c r="L16" s="145">
        <v>0</v>
      </c>
      <c r="M16" s="146">
        <v>26038</v>
      </c>
    </row>
    <row r="17" spans="1:13" ht="34.5" customHeight="1">
      <c r="A17" s="939" t="s">
        <v>138</v>
      </c>
      <c r="B17" s="940"/>
      <c r="C17" s="145">
        <v>417187</v>
      </c>
      <c r="D17" s="145">
        <v>0</v>
      </c>
      <c r="E17" s="145">
        <v>8871</v>
      </c>
      <c r="F17" s="145">
        <v>0</v>
      </c>
      <c r="G17" s="145">
        <v>53191</v>
      </c>
      <c r="H17" s="145">
        <v>29126</v>
      </c>
      <c r="I17" s="145">
        <v>35489</v>
      </c>
      <c r="J17" s="145">
        <v>0</v>
      </c>
      <c r="K17" s="145">
        <v>884</v>
      </c>
      <c r="L17" s="145">
        <v>421</v>
      </c>
      <c r="M17" s="146">
        <v>545169</v>
      </c>
    </row>
    <row r="18" spans="1:13" ht="34.5" customHeight="1">
      <c r="A18" s="939" t="s">
        <v>139</v>
      </c>
      <c r="B18" s="940"/>
      <c r="C18" s="145">
        <v>8500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6">
        <v>8500</v>
      </c>
    </row>
    <row r="19" spans="1:13" ht="34.5" customHeight="1" thickBot="1">
      <c r="A19" s="941" t="s">
        <v>140</v>
      </c>
      <c r="B19" s="942"/>
      <c r="C19" s="147">
        <v>12386</v>
      </c>
      <c r="D19" s="147">
        <v>0</v>
      </c>
      <c r="E19" s="147">
        <v>0</v>
      </c>
      <c r="F19" s="147">
        <v>0</v>
      </c>
      <c r="G19" s="147">
        <v>12774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6">
        <v>25160</v>
      </c>
    </row>
    <row r="20" spans="1:13" s="43" customFormat="1" ht="34.5" customHeight="1" thickBot="1">
      <c r="A20" s="943" t="s">
        <v>141</v>
      </c>
      <c r="B20" s="944"/>
      <c r="C20" s="150">
        <v>1153062</v>
      </c>
      <c r="D20" s="150">
        <v>1447</v>
      </c>
      <c r="E20" s="150">
        <v>66107</v>
      </c>
      <c r="F20" s="150">
        <v>102</v>
      </c>
      <c r="G20" s="150">
        <v>82250</v>
      </c>
      <c r="H20" s="150">
        <v>165531</v>
      </c>
      <c r="I20" s="150">
        <v>857549</v>
      </c>
      <c r="J20" s="150">
        <v>0</v>
      </c>
      <c r="K20" s="150">
        <v>2193</v>
      </c>
      <c r="L20" s="150">
        <v>105697</v>
      </c>
      <c r="M20" s="151">
        <v>2433938</v>
      </c>
    </row>
  </sheetData>
  <sheetProtection/>
  <mergeCells count="17">
    <mergeCell ref="A11:B11"/>
    <mergeCell ref="A6:B6"/>
    <mergeCell ref="A7:B7"/>
    <mergeCell ref="A4:M4"/>
    <mergeCell ref="A5:B5"/>
    <mergeCell ref="A8:B8"/>
    <mergeCell ref="A9:B9"/>
    <mergeCell ref="A10:B10"/>
    <mergeCell ref="A20:B20"/>
    <mergeCell ref="A14:B14"/>
    <mergeCell ref="A15:B15"/>
    <mergeCell ref="A16:B16"/>
    <mergeCell ref="A17:B17"/>
    <mergeCell ref="A12:B12"/>
    <mergeCell ref="A13:B13"/>
    <mergeCell ref="A18:B18"/>
    <mergeCell ref="A19:B19"/>
  </mergeCells>
  <printOptions horizontalCentered="1"/>
  <pageMargins left="0.7874015748031497" right="0.7874015748031497" top="0.984251968503937" bottom="0.984251968503937" header="0.7086614173228347" footer="0.31496062992125984"/>
  <pageSetup blackAndWhite="1" fitToHeight="1" fitToWidth="1" horizontalDpi="600" verticalDpi="600" orientation="landscape" paperSize="9" scale="66" r:id="rId1"/>
  <headerFooter alignWithMargins="0">
    <oddHeader>&amp;L&amp;"Arial CE,Tučné"&amp;12Kapitola: 314 - Ministerstvo vnitra&amp;C
&amp;"Arial CE,Tučné"&amp;14Přehled výdajů programového financování v jednotlivých programech&amp;R&amp;"Arial CE,Tučné"&amp;12Tabulka č.  13/2
&amp;"Arial CE,Obyčejné"&amp;10List. č. 4/5</oddHeader>
    <oddFooter>&amp;C&amp;12&amp;P+156&amp;11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8.125" style="114" customWidth="1"/>
    <col min="2" max="2" width="40.25390625" style="114" customWidth="1"/>
    <col min="3" max="7" width="20.375" style="114" customWidth="1"/>
    <col min="8" max="8" width="13.25390625" style="114" customWidth="1"/>
    <col min="9" max="9" width="11.75390625" style="114" customWidth="1"/>
    <col min="10" max="10" width="12.25390625" style="114" customWidth="1"/>
    <col min="11" max="13" width="11.75390625" style="114" customWidth="1"/>
    <col min="14" max="14" width="10.75390625" style="114" customWidth="1"/>
    <col min="15" max="16384" width="9.125" style="114" customWidth="1"/>
  </cols>
  <sheetData>
    <row r="1" ht="14.25" customHeight="1"/>
    <row r="2" ht="14.25" customHeight="1">
      <c r="A2" s="128"/>
    </row>
    <row r="3" spans="1:13" ht="12.75" thickBot="1">
      <c r="A3" s="137"/>
      <c r="B3" s="138"/>
      <c r="C3" s="139"/>
      <c r="D3" s="139"/>
      <c r="E3" s="139"/>
      <c r="F3" s="139"/>
      <c r="G3" s="129" t="s">
        <v>92</v>
      </c>
      <c r="H3" s="139"/>
      <c r="I3" s="139"/>
      <c r="J3" s="139"/>
      <c r="K3" s="139"/>
      <c r="L3" s="139"/>
      <c r="M3" s="139"/>
    </row>
    <row r="4" spans="1:13" s="43" customFormat="1" ht="17.25" customHeight="1" thickBot="1">
      <c r="A4" s="947" t="s">
        <v>148</v>
      </c>
      <c r="B4" s="948"/>
      <c r="C4" s="948"/>
      <c r="D4" s="948"/>
      <c r="E4" s="948"/>
      <c r="F4" s="948"/>
      <c r="G4" s="949"/>
      <c r="H4" s="140"/>
      <c r="I4" s="140"/>
      <c r="J4" s="140"/>
      <c r="K4" s="140"/>
      <c r="L4" s="140"/>
      <c r="M4" s="140"/>
    </row>
    <row r="5" spans="1:13" ht="36.75" thickBot="1">
      <c r="A5" s="950" t="s">
        <v>123</v>
      </c>
      <c r="B5" s="951"/>
      <c r="C5" s="141" t="s">
        <v>124</v>
      </c>
      <c r="D5" s="141" t="s">
        <v>154</v>
      </c>
      <c r="E5" s="141" t="s">
        <v>125</v>
      </c>
      <c r="F5" s="141" t="s">
        <v>171</v>
      </c>
      <c r="G5" s="142" t="s">
        <v>121</v>
      </c>
      <c r="H5" s="139"/>
      <c r="I5" s="139"/>
      <c r="J5" s="139"/>
      <c r="K5" s="139"/>
      <c r="L5" s="139"/>
      <c r="M5" s="139"/>
    </row>
    <row r="6" spans="1:13" ht="34.5" customHeight="1">
      <c r="A6" s="945" t="s">
        <v>127</v>
      </c>
      <c r="B6" s="946"/>
      <c r="C6" s="176">
        <v>5143</v>
      </c>
      <c r="D6" s="176">
        <v>0</v>
      </c>
      <c r="E6" s="176">
        <v>0</v>
      </c>
      <c r="F6" s="176">
        <v>0</v>
      </c>
      <c r="G6" s="177">
        <v>5143</v>
      </c>
      <c r="H6" s="139"/>
      <c r="I6" s="139"/>
      <c r="J6" s="139"/>
      <c r="K6" s="139"/>
      <c r="L6" s="139"/>
      <c r="M6" s="139"/>
    </row>
    <row r="7" spans="1:7" ht="34.5" customHeight="1">
      <c r="A7" s="941" t="s">
        <v>128</v>
      </c>
      <c r="B7" s="942"/>
      <c r="C7" s="131">
        <v>2863</v>
      </c>
      <c r="D7" s="131">
        <v>0</v>
      </c>
      <c r="E7" s="131">
        <v>0</v>
      </c>
      <c r="F7" s="131">
        <v>0</v>
      </c>
      <c r="G7" s="132">
        <v>2863</v>
      </c>
    </row>
    <row r="8" spans="1:13" ht="34.5" customHeight="1">
      <c r="A8" s="939" t="s">
        <v>129</v>
      </c>
      <c r="B8" s="940"/>
      <c r="C8" s="133">
        <v>9</v>
      </c>
      <c r="D8" s="133">
        <v>0</v>
      </c>
      <c r="E8" s="133">
        <v>0</v>
      </c>
      <c r="F8" s="133">
        <v>0</v>
      </c>
      <c r="G8" s="134">
        <v>9</v>
      </c>
      <c r="H8" s="139"/>
      <c r="I8" s="139"/>
      <c r="J8" s="139"/>
      <c r="K8" s="139"/>
      <c r="L8" s="139"/>
      <c r="M8" s="139"/>
    </row>
    <row r="9" spans="1:13" ht="34.5" customHeight="1">
      <c r="A9" s="939" t="s">
        <v>130</v>
      </c>
      <c r="B9" s="940"/>
      <c r="C9" s="133">
        <v>2906</v>
      </c>
      <c r="D9" s="133">
        <v>0</v>
      </c>
      <c r="E9" s="133">
        <v>0</v>
      </c>
      <c r="F9" s="133">
        <v>0</v>
      </c>
      <c r="G9" s="134">
        <v>2906</v>
      </c>
      <c r="H9" s="139"/>
      <c r="I9" s="139"/>
      <c r="J9" s="139"/>
      <c r="K9" s="139"/>
      <c r="L9" s="139"/>
      <c r="M9" s="139"/>
    </row>
    <row r="10" spans="1:13" ht="34.5" customHeight="1">
      <c r="A10" s="939" t="s">
        <v>131</v>
      </c>
      <c r="B10" s="940"/>
      <c r="C10" s="133">
        <v>35928</v>
      </c>
      <c r="D10" s="133">
        <v>132322</v>
      </c>
      <c r="E10" s="133">
        <v>909931</v>
      </c>
      <c r="F10" s="133">
        <v>0</v>
      </c>
      <c r="G10" s="134">
        <v>1078181</v>
      </c>
      <c r="H10" s="139"/>
      <c r="I10" s="139"/>
      <c r="J10" s="139"/>
      <c r="K10" s="139"/>
      <c r="L10" s="139"/>
      <c r="M10" s="139"/>
    </row>
    <row r="11" spans="1:13" ht="34.5" customHeight="1">
      <c r="A11" s="939" t="s">
        <v>132</v>
      </c>
      <c r="B11" s="940"/>
      <c r="C11" s="133">
        <v>84429</v>
      </c>
      <c r="D11" s="133">
        <v>9252</v>
      </c>
      <c r="E11" s="133">
        <v>50469</v>
      </c>
      <c r="F11" s="133">
        <v>47951</v>
      </c>
      <c r="G11" s="134">
        <v>192101</v>
      </c>
      <c r="H11" s="139"/>
      <c r="I11" s="139"/>
      <c r="J11" s="139"/>
      <c r="K11" s="139"/>
      <c r="L11" s="139"/>
      <c r="M11" s="139"/>
    </row>
    <row r="12" spans="1:13" ht="34.5" customHeight="1">
      <c r="A12" s="939" t="s">
        <v>133</v>
      </c>
      <c r="B12" s="940"/>
      <c r="C12" s="133">
        <v>29153</v>
      </c>
      <c r="D12" s="133">
        <v>2623</v>
      </c>
      <c r="E12" s="133">
        <v>19760</v>
      </c>
      <c r="F12" s="133">
        <v>0</v>
      </c>
      <c r="G12" s="134">
        <v>51536</v>
      </c>
      <c r="H12" s="139"/>
      <c r="I12" s="139"/>
      <c r="J12" s="139"/>
      <c r="K12" s="139"/>
      <c r="L12" s="139"/>
      <c r="M12" s="139"/>
    </row>
    <row r="13" spans="1:13" ht="34.5" customHeight="1">
      <c r="A13" s="939" t="s">
        <v>134</v>
      </c>
      <c r="B13" s="940"/>
      <c r="C13" s="133">
        <v>6</v>
      </c>
      <c r="D13" s="133">
        <v>0</v>
      </c>
      <c r="E13" s="133">
        <v>0</v>
      </c>
      <c r="F13" s="133">
        <v>0</v>
      </c>
      <c r="G13" s="134">
        <v>6</v>
      </c>
      <c r="H13" s="139"/>
      <c r="I13" s="139"/>
      <c r="J13" s="139"/>
      <c r="K13" s="139"/>
      <c r="L13" s="139"/>
      <c r="M13" s="139"/>
    </row>
    <row r="14" spans="1:13" ht="34.5" customHeight="1">
      <c r="A14" s="939" t="s">
        <v>135</v>
      </c>
      <c r="B14" s="940"/>
      <c r="C14" s="133">
        <v>6614</v>
      </c>
      <c r="D14" s="133">
        <v>0</v>
      </c>
      <c r="E14" s="133">
        <v>0</v>
      </c>
      <c r="F14" s="133">
        <v>0</v>
      </c>
      <c r="G14" s="134">
        <v>6614</v>
      </c>
      <c r="H14" s="139"/>
      <c r="I14" s="139"/>
      <c r="J14" s="139"/>
      <c r="K14" s="139"/>
      <c r="L14" s="139"/>
      <c r="M14" s="139"/>
    </row>
    <row r="15" spans="1:13" ht="34.5" customHeight="1">
      <c r="A15" s="939" t="s">
        <v>136</v>
      </c>
      <c r="B15" s="940"/>
      <c r="C15" s="133">
        <v>2102</v>
      </c>
      <c r="D15" s="133">
        <v>0</v>
      </c>
      <c r="E15" s="133">
        <v>0</v>
      </c>
      <c r="F15" s="133">
        <v>0</v>
      </c>
      <c r="G15" s="134">
        <v>2102</v>
      </c>
      <c r="H15" s="139"/>
      <c r="I15" s="139"/>
      <c r="J15" s="139"/>
      <c r="K15" s="139"/>
      <c r="L15" s="139"/>
      <c r="M15" s="139"/>
    </row>
    <row r="16" spans="1:7" ht="34.5" customHeight="1">
      <c r="A16" s="939" t="s">
        <v>137</v>
      </c>
      <c r="B16" s="940"/>
      <c r="C16" s="133">
        <v>8340</v>
      </c>
      <c r="D16" s="133">
        <v>0</v>
      </c>
      <c r="E16" s="133">
        <v>0</v>
      </c>
      <c r="F16" s="133">
        <v>0</v>
      </c>
      <c r="G16" s="134">
        <v>8340</v>
      </c>
    </row>
    <row r="17" spans="1:7" ht="34.5" customHeight="1">
      <c r="A17" s="939" t="s">
        <v>138</v>
      </c>
      <c r="B17" s="940"/>
      <c r="C17" s="133">
        <v>27899</v>
      </c>
      <c r="D17" s="133">
        <v>17563</v>
      </c>
      <c r="E17" s="133">
        <v>50687</v>
      </c>
      <c r="F17" s="133">
        <v>14480</v>
      </c>
      <c r="G17" s="134">
        <v>110629</v>
      </c>
    </row>
    <row r="18" spans="1:7" ht="34.5" customHeight="1">
      <c r="A18" s="939" t="s">
        <v>139</v>
      </c>
      <c r="B18" s="940"/>
      <c r="C18" s="133">
        <v>3</v>
      </c>
      <c r="D18" s="133">
        <v>0</v>
      </c>
      <c r="E18" s="133">
        <v>0</v>
      </c>
      <c r="F18" s="133">
        <v>0</v>
      </c>
      <c r="G18" s="134">
        <v>3</v>
      </c>
    </row>
    <row r="19" spans="1:7" ht="34.5" customHeight="1" thickBot="1">
      <c r="A19" s="941" t="s">
        <v>173</v>
      </c>
      <c r="B19" s="942"/>
      <c r="C19" s="131">
        <v>13198</v>
      </c>
      <c r="D19" s="131">
        <v>0</v>
      </c>
      <c r="E19" s="131">
        <v>0</v>
      </c>
      <c r="F19" s="131">
        <v>0</v>
      </c>
      <c r="G19" s="132">
        <v>13198</v>
      </c>
    </row>
    <row r="20" spans="1:7" s="43" customFormat="1" ht="34.5" customHeight="1" thickBot="1">
      <c r="A20" s="943" t="s">
        <v>141</v>
      </c>
      <c r="B20" s="944"/>
      <c r="C20" s="135">
        <v>218593</v>
      </c>
      <c r="D20" s="135">
        <v>161760</v>
      </c>
      <c r="E20" s="135">
        <v>1030847</v>
      </c>
      <c r="F20" s="135">
        <v>62431</v>
      </c>
      <c r="G20" s="136">
        <v>1473631</v>
      </c>
    </row>
    <row r="22" spans="1:10" s="208" customFormat="1" ht="15.75" customHeight="1">
      <c r="A22" s="208" t="s">
        <v>149</v>
      </c>
      <c r="B22" s="206"/>
      <c r="D22" s="208" t="s">
        <v>150</v>
      </c>
      <c r="F22" s="957" t="s">
        <v>167</v>
      </c>
      <c r="G22" s="957"/>
      <c r="J22" s="768"/>
    </row>
    <row r="24" ht="12" customHeight="1"/>
  </sheetData>
  <sheetProtection/>
  <mergeCells count="18">
    <mergeCell ref="F22:G22"/>
    <mergeCell ref="A18:B18"/>
    <mergeCell ref="A20:B20"/>
    <mergeCell ref="A14:B14"/>
    <mergeCell ref="A15:B15"/>
    <mergeCell ref="A16:B16"/>
    <mergeCell ref="A17:B17"/>
    <mergeCell ref="A19:B19"/>
    <mergeCell ref="A10:B10"/>
    <mergeCell ref="A11:B11"/>
    <mergeCell ref="A12:B12"/>
    <mergeCell ref="A13:B13"/>
    <mergeCell ref="A4:G4"/>
    <mergeCell ref="A5:B5"/>
    <mergeCell ref="A8:B8"/>
    <mergeCell ref="A9:B9"/>
    <mergeCell ref="A6:B6"/>
    <mergeCell ref="A7:B7"/>
  </mergeCells>
  <printOptions horizontalCentered="1"/>
  <pageMargins left="0.7874015748031497" right="0.7874015748031497" top="0.984251968503937" bottom="0.984251968503937" header="0.7086614173228347" footer="0.31496062992125984"/>
  <pageSetup blackAndWhite="1" fitToHeight="1" fitToWidth="1" horizontalDpi="600" verticalDpi="600" orientation="landscape" paperSize="9" scale="71" r:id="rId1"/>
  <headerFooter alignWithMargins="0">
    <oddHeader>&amp;L&amp;"Arial CE,Tučné"&amp;12Kapitola: 314 - Ministerstvo vnitra&amp;C
&amp;"Arial CE,Tučné"&amp;14Přehled výdajů programového financování v jednotlivých programech&amp;R&amp;"Arial CE,Tučné"&amp;12Tabulka č.  13/2
&amp;"Arial CE,Obyčejné"&amp;10List. č. 5/5</oddHeader>
    <oddFooter>&amp;C&amp;11&amp;P+157
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Koscova</cp:lastModifiedBy>
  <cp:lastPrinted>2012-02-29T09:18:51Z</cp:lastPrinted>
  <dcterms:created xsi:type="dcterms:W3CDTF">2005-01-31T11:59:30Z</dcterms:created>
  <dcterms:modified xsi:type="dcterms:W3CDTF">2012-03-26T13:02:34Z</dcterms:modified>
  <cp:category/>
  <cp:version/>
  <cp:contentType/>
  <cp:contentStatus/>
</cp:coreProperties>
</file>