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2120" windowHeight="8835" tabRatio="929" activeTab="3"/>
  </bookViews>
  <sheets>
    <sheet name="tab9-příjmy" sheetId="1" r:id="rId1"/>
    <sheet name="tab9-1-HZS" sheetId="2" r:id="rId2"/>
    <sheet name="tab10výdaje" sheetId="3" r:id="rId3"/>
    <sheet name="tab11důchody" sheetId="4" r:id="rId4"/>
    <sheet name="tab12 dávky" sheetId="5" r:id="rId5"/>
    <sheet name="tab13 OPF" sheetId="6" r:id="rId6"/>
    <sheet name="tab13-1 OPF" sheetId="7" r:id="rId7"/>
    <sheet name="tab13-2 OPF" sheetId="8" r:id="rId8"/>
    <sheet name="tab14pohl." sheetId="9" r:id="rId9"/>
    <sheet name="tab15-výd.čtvrtl." sheetId="10" r:id="rId10"/>
    <sheet name="Tab. 16 EU celk." sheetId="11" r:id="rId11"/>
    <sheet name="tab 17 HZS" sheetId="12" r:id="rId12"/>
    <sheet name="tab 18 škol." sheetId="13" r:id="rId13"/>
    <sheet name="tab 19 arch." sheetId="14" r:id="rId14"/>
    <sheet name="tab 20 celk.čerp." sheetId="15" r:id="rId15"/>
    <sheet name="org.schéma" sheetId="16" r:id="rId16"/>
  </sheets>
  <externalReferences>
    <externalReference r:id="rId19"/>
  </externalReferences>
  <definedNames>
    <definedName name="_xlnm.Print_Titles" localSheetId="6">'tab13-1 OPF'!$1:$6</definedName>
    <definedName name="_xlnm.Print_Titles" localSheetId="7">'tab13-2 OPF'!$1:$3</definedName>
  </definedNames>
  <calcPr calcMode="manual" fullCalcOnLoad="1"/>
</workbook>
</file>

<file path=xl/sharedStrings.xml><?xml version="1.0" encoding="utf-8"?>
<sst xmlns="http://schemas.openxmlformats.org/spreadsheetml/2006/main" count="5828" uniqueCount="2642">
  <si>
    <t>Montáž žaluzií v SOkA Karviná - 2. etapa</t>
  </si>
  <si>
    <t>Zřízení serverovny</t>
  </si>
  <si>
    <t>SOkA Liberec - přístřešky proti sněhu a připojení kamery na záznam</t>
  </si>
  <si>
    <t>Akustická clona</t>
  </si>
  <si>
    <t>Úpravy schodiště SOkA Lovosice</t>
  </si>
  <si>
    <t>Stavební úpravy SOA Děčín Zbrojnická</t>
  </si>
  <si>
    <t>Malá technická zhodnocení nemovitého majetku</t>
  </si>
  <si>
    <t>Rozšíření klimatizace v SOkA Beroun</t>
  </si>
  <si>
    <t>SOkA Jihlava - okenní žaluzie</t>
  </si>
  <si>
    <t>SOkA Žďár nad Sázavou - rekonstrukce výtahu</t>
  </si>
  <si>
    <t>Stavební úpravy SOkA Teplice</t>
  </si>
  <si>
    <t>MZA Brno - SOkA Blansko pob. Boskovice - odstranění vlhkosti</t>
  </si>
  <si>
    <t>Osobní automobil kombi</t>
  </si>
  <si>
    <t>Čtecí přístroj</t>
  </si>
  <si>
    <t>Reprografická technika</t>
  </si>
  <si>
    <t>Skenovací zařízení</t>
  </si>
  <si>
    <t>Dvoubřité nůžky</t>
  </si>
  <si>
    <t>SOA Litoměřice - středně kapacitní kopírky</t>
  </si>
  <si>
    <t>SOA Litoměřice - odvlhčovače depozitářů</t>
  </si>
  <si>
    <t>SOkA Kadaň - regály do depozita</t>
  </si>
  <si>
    <t xml:space="preserve"> SOA Litoměřice - osobní automobily</t>
  </si>
  <si>
    <t>Multifunkční zařízení</t>
  </si>
  <si>
    <t>Regály do depozitářů pro SOkA Praha-východ</t>
  </si>
  <si>
    <t xml:space="preserve">Osobní automobil pro SOkA Beroun </t>
  </si>
  <si>
    <t>Scanner pro SOkA Beroun a Mělník</t>
  </si>
  <si>
    <t>Kopírovací přístroje a trinokulární mikroskop</t>
  </si>
  <si>
    <t>Regály do depozitářů pro SOkA Kolín</t>
  </si>
  <si>
    <t>Kopírovací stroj na mikrofilmy</t>
  </si>
  <si>
    <t>Kopírovací stroj z mikrofilmů na kancel. papír</t>
  </si>
  <si>
    <t>Zařízení průmyslové televize-badatelna SOkA Strakonice</t>
  </si>
  <si>
    <t>Čtecí přístroje</t>
  </si>
  <si>
    <t>SOA Litoměřice - desinfekční box</t>
  </si>
  <si>
    <t>Malotraktor vč. příslušenství pro SOkA Zlín</t>
  </si>
  <si>
    <t>SOA Litoměřice - regály do depozita</t>
  </si>
  <si>
    <t>Garáž pro SOkA Jablonec nad Nisou</t>
  </si>
  <si>
    <t>SOkA Blansko - výměna skel vnějších křídel</t>
  </si>
  <si>
    <t>SOkA Vsetín - nová vstupní stěna</t>
  </si>
  <si>
    <t>SOkA Vsetín - regulace otopné soustavy</t>
  </si>
  <si>
    <t>SOkA Uherské Hradiště - regulace otopné soustavy</t>
  </si>
  <si>
    <t>SOkA Uherské Hradiště - zateplení objektu</t>
  </si>
  <si>
    <t>SOkA Žďár nad Sázavou - výměna oken</t>
  </si>
  <si>
    <t>SOkA Žďár nad Sázavou - Rekonstrukce osvětlení v budově</t>
  </si>
  <si>
    <t>SOkA Brno-venkov - výměna osvětlení</t>
  </si>
  <si>
    <t>SOkA Havlíčkův Brod - úprava stropní konstrukce</t>
  </si>
  <si>
    <t>SOkA Havlíčkův Brod - výměna výplní otvorů</t>
  </si>
  <si>
    <t>SOkA Havlíčkův Brod - výměna ohřívače TÚV a náhrada světelných zdrojů</t>
  </si>
  <si>
    <t>SOkA Znojmo - regulace otopné soustavy</t>
  </si>
  <si>
    <t>SOkA Znojmo - zateplení obvodových stěn</t>
  </si>
  <si>
    <t>Realizační opatření EA</t>
  </si>
  <si>
    <t>Zateplení vodorovných půdních konstrukcí v SOkA Tábor</t>
  </si>
  <si>
    <t>Úprava měření a regulace plynových kotlů v SOkA Tábor</t>
  </si>
  <si>
    <t>MZA Brno - SOkA Vsetín - výměna oken a zateplení zdiva</t>
  </si>
  <si>
    <t>CELKEM za program 214030</t>
  </si>
  <si>
    <t>Program elektronického zpracování informací, II. etapa</t>
  </si>
  <si>
    <t>Správa uprchlických zařízení MV</t>
  </si>
  <si>
    <t>Elektronický zabezpečovací systém AZ Bělá</t>
  </si>
  <si>
    <t>ZZC Bělá - rozvody pro slaboproudé systémy</t>
  </si>
  <si>
    <t>Tiskárna síťová velkokapacitní</t>
  </si>
  <si>
    <t>Barevná kopírka, síťová tiskárna, scanner, duplex, volitelný zásobník, HDD</t>
  </si>
  <si>
    <t>Dataprojektor</t>
  </si>
  <si>
    <t>Server</t>
  </si>
  <si>
    <t>Provozní výdaje ICT (spotřební materiály) a movitý majetek ICT</t>
  </si>
  <si>
    <t>Provozní výdaje ICT - pronájem za telekom. vedení a výkony spojů</t>
  </si>
  <si>
    <t>Provozní výdaje ICT - nákup ostatních služeb</t>
  </si>
  <si>
    <t>EUF2006-08 - Nákup audiovizuální techniky</t>
  </si>
  <si>
    <t>Obnova ICT a software SUZ MV</t>
  </si>
  <si>
    <t>EUF2006-01 - Dataprojektor</t>
  </si>
  <si>
    <t>Nákup aktivních prvků pro zabezpečovací systémy</t>
  </si>
  <si>
    <t>Ústředna EPS ZZC Bělá</t>
  </si>
  <si>
    <t>AZ Červený Újezd - rekonstrukce ČOV</t>
  </si>
  <si>
    <t>Kamerový systém, azylová zařízení Havířov, Bělá, Červený Újezd</t>
  </si>
  <si>
    <t>Přípojka vody ZZC Poštorná</t>
  </si>
  <si>
    <t>Vnitřní úpravy objektů ZZC Poštorná</t>
  </si>
  <si>
    <t>Úpravy správní budovy ZZC Bělá</t>
  </si>
  <si>
    <t>Úpravy budovy 10 - přísný režim ZZC Bělá</t>
  </si>
  <si>
    <t>Úpravy budovy 06 - pracoviště pro příjem cizinců ZZC Bělá</t>
  </si>
  <si>
    <t>ZZC Bělá - veřejné osvětlení</t>
  </si>
  <si>
    <t>Přípojka zemního plynu ZZC Poštorná</t>
  </si>
  <si>
    <t>ZZC Velké Přílepy - stavební úpravy a oplocení</t>
  </si>
  <si>
    <t>ZZC Bělá - Jezová - stavební úpravy - zabezpečení oken na ubytovnách</t>
  </si>
  <si>
    <t>Nákup pozemků pro ZZC Velké Přílepy</t>
  </si>
  <si>
    <t>Oplocení ZZC Červený Újezd</t>
  </si>
  <si>
    <t>Rekonstrukce kotelny vč. rozvodů PoS Zastávka</t>
  </si>
  <si>
    <t>Oprava a rekonstrukce splaškové kanalizace ZZC Bělá</t>
  </si>
  <si>
    <t>AZ Kostelec nad Orlicí - vysušení suterénů obj. č. 1 a 2</t>
  </si>
  <si>
    <t>AZ Kostelec nad Orlicí - úprava místnosti č.100 v objektu č.10</t>
  </si>
  <si>
    <t>AZ Kostelec nad Orlicí - přístřešek vstupu do obj.č.5-jídelny</t>
  </si>
  <si>
    <t>Vyšní Lhoty - demolice objektů č.18 a 21-pomocné sklady</t>
  </si>
  <si>
    <t>Služební dopravní prostředky na SUZ</t>
  </si>
  <si>
    <t>AZ Zastávka - kuchyňky pro samostatné vaření</t>
  </si>
  <si>
    <t>ZZC Poštorná - objekt pro volnočasové aktivity</t>
  </si>
  <si>
    <t>EUF2006-08 - Multifunkční hřiště v PoS Kostelec nad Orlicí</t>
  </si>
  <si>
    <t xml:space="preserve">EUF2006-08 - Dětské hřiště v PoS Zastávka </t>
  </si>
  <si>
    <t>EUF2006-01 - Úprava stropů IAS Havířov</t>
  </si>
  <si>
    <t>Vnitřní rozdělovací oplocení ZZC Bělá</t>
  </si>
  <si>
    <t>Náhradní zdroje elektrické energie pro ZZC Velké Přílepy a ZZC Poštorná</t>
  </si>
  <si>
    <t>Správní archiv PrS Vyšní Lhoty</t>
  </si>
  <si>
    <t>Zabezpečení okenních otvorů ZZC Poštorná</t>
  </si>
  <si>
    <t>Zařízení pro změkčení vody - PoS Kostelec nad Orlicí</t>
  </si>
  <si>
    <t>Nákup mycího stroje včetně příslušenství</t>
  </si>
  <si>
    <t>Ústí n/L, Stříbrnická čp. 3131/9 rekonstrukce objektu</t>
  </si>
  <si>
    <t>Střelničná - rozšíření zálohového napájení elektrické sítě objektu - II. etapa</t>
  </si>
  <si>
    <t>Střelničná - zhotovení vlastní plynové přípojky</t>
  </si>
  <si>
    <t>Netřeba-rekonstrukce hospodářské budovy</t>
  </si>
  <si>
    <t>Přípotoční - výměna oken a dveří - část budovy B a C</t>
  </si>
  <si>
    <t>P1000 Kladno, Kosmonautů 2117 - rekonstrukce 1. - 3. NP</t>
  </si>
  <si>
    <t>Bytová správa MV</t>
  </si>
  <si>
    <t>Rekonstrukce kotelny ZZC Poštorná</t>
  </si>
  <si>
    <t>CELKEM za program 214040</t>
  </si>
  <si>
    <t>HZS hl. m. Prahy</t>
  </si>
  <si>
    <t>HZS hl. m. Prahy celkem</t>
  </si>
  <si>
    <t>HZS Jihočeského kraje</t>
  </si>
  <si>
    <t>HZS Jihočeského kraje celkem</t>
  </si>
  <si>
    <t>HZS Jihomoravského kraje</t>
  </si>
  <si>
    <t>HZS Jihomoravského kraje celkem</t>
  </si>
  <si>
    <t>HZS Karlovarského kraje</t>
  </si>
  <si>
    <t>HZS Karlovarského kraje celkem</t>
  </si>
  <si>
    <t>HZS kraje Vysočina</t>
  </si>
  <si>
    <t>HZS kraje Vysočina celkem</t>
  </si>
  <si>
    <t>HZS Královéhradeckého kraje</t>
  </si>
  <si>
    <t>Raftový člun</t>
  </si>
  <si>
    <t>Termovizní kamera</t>
  </si>
  <si>
    <t>Malotraktor</t>
  </si>
  <si>
    <t>Vysokozdvižný motorový vozík</t>
  </si>
  <si>
    <t>Prosvětlovací pult</t>
  </si>
  <si>
    <t>Stacionární hlásič radiace</t>
  </si>
  <si>
    <t>IOO - Opravy a údržba movitého majetku</t>
  </si>
  <si>
    <t>OUPO BM - Opravy a údržba movitého majetku</t>
  </si>
  <si>
    <t>OUPO BO - Opravy a údržba movitého majetku</t>
  </si>
  <si>
    <t>OUPO CV - Opravy a údržba movitého majetku</t>
  </si>
  <si>
    <t>OUPO FM - Opravy a údržba movitého majetku</t>
  </si>
  <si>
    <t>OZ OL - Opravy a údržba movitého majetku</t>
  </si>
  <si>
    <t>TUPO - Opravy a údržba movitého majetku</t>
  </si>
  <si>
    <t>ZL OL - Opravy a údržba  moviteho majetku</t>
  </si>
  <si>
    <t>Mikrobus</t>
  </si>
  <si>
    <t>Velitelský automobil</t>
  </si>
  <si>
    <t>Užitkový automobil</t>
  </si>
  <si>
    <t>Kontejner valníkový</t>
  </si>
  <si>
    <t>Vysokotlaké mycí zařízení</t>
  </si>
  <si>
    <t>Elektrocentrála</t>
  </si>
  <si>
    <t>Kanálový zvedák</t>
  </si>
  <si>
    <t>Technické vybavení jednotky USAR</t>
  </si>
  <si>
    <t>Automobilový žebřík AZ 37</t>
  </si>
  <si>
    <t>CAS speciální technická</t>
  </si>
  <si>
    <t>Rekonstrukce CAS 32 T 815</t>
  </si>
  <si>
    <t>HZS Moravskoslezského kraje celkem</t>
  </si>
  <si>
    <t>HZS Olomouckého kraje</t>
  </si>
  <si>
    <t>HZS Olomouckého kraje celkem</t>
  </si>
  <si>
    <t>HZS Pardubického kraje</t>
  </si>
  <si>
    <t>HZS Pardubického kraje celkem</t>
  </si>
  <si>
    <t>HZS Plzeňského kraje</t>
  </si>
  <si>
    <t>HZS Plzeňského kraje celkem</t>
  </si>
  <si>
    <t>HZS Středočeského kraje</t>
  </si>
  <si>
    <t>HZS Středočeského kraje celkem</t>
  </si>
  <si>
    <t>HZS Ústeckého kraje</t>
  </si>
  <si>
    <t>HZS Ústeckého kraje celkem</t>
  </si>
  <si>
    <t>HZS Zlínského kraje</t>
  </si>
  <si>
    <t>HZS Zlínského kraje celkem</t>
  </si>
  <si>
    <t>HZS krajů celkem</t>
  </si>
  <si>
    <t>Národní archiv celkem</t>
  </si>
  <si>
    <t>Moravský zemský archiv v Brně celkem</t>
  </si>
  <si>
    <t>Státní oblastní archiv v Litoměřicích celkem</t>
  </si>
  <si>
    <t>Státní oblastní archiv v Plzni celkem</t>
  </si>
  <si>
    <t>Státní oblastní archiv v Praze celkem</t>
  </si>
  <si>
    <t>Státní oblastní archiv v Třeboni celkem</t>
  </si>
  <si>
    <t>Státní oblastní archiv v Zámrsku celkem</t>
  </si>
  <si>
    <t>Archivy celkem</t>
  </si>
  <si>
    <t>SPŠ Brno celkem</t>
  </si>
  <si>
    <t>SPŠ Holešov celkem</t>
  </si>
  <si>
    <t>SPŠ Jihlava celkem</t>
  </si>
  <si>
    <t>SPŠ Praha Ruzyně celkem</t>
  </si>
  <si>
    <t>VPŠ a SPŠ Praha celkem</t>
  </si>
  <si>
    <t>VPŠ Pardubice</t>
  </si>
  <si>
    <t>Střední policejní školství celkem</t>
  </si>
  <si>
    <t>Policejní akademie ČR celkem</t>
  </si>
  <si>
    <t>SOŠ a VOŠ PO Frýdek-Místek celkem</t>
  </si>
  <si>
    <t>Resortní školství celkem</t>
  </si>
  <si>
    <t>Muzeum Policie ČR</t>
  </si>
  <si>
    <t>Správa uprchlických zařízení MV celkem</t>
  </si>
  <si>
    <t>Organizační složky státu v působnosti MV celkem</t>
  </si>
  <si>
    <t>Institut pro místní správu Praha celkem</t>
  </si>
  <si>
    <t>Zařízení služeb pro MV</t>
  </si>
  <si>
    <t>Zařízení služeb pro MV celkem</t>
  </si>
  <si>
    <t>Bytová správa MV celkem</t>
  </si>
  <si>
    <t>Státní příspěvkové organizace v působnosti MV celkem</t>
  </si>
  <si>
    <t>Kapitola MV celkem bez přijatých transferů</t>
  </si>
  <si>
    <t>Transfery přijaté z kapitoly 333 MŠMT celkem</t>
  </si>
  <si>
    <t>Kapitola MV celkem včetně přijatých transferů</t>
  </si>
  <si>
    <t>Výdaje účelově určené na financovaní programů reprodukce majektu</t>
  </si>
  <si>
    <t>Ev. číslo</t>
  </si>
  <si>
    <t>Název akce</t>
  </si>
  <si>
    <t>Účastník programu</t>
  </si>
  <si>
    <t>Cisternová automobilová stříkačka</t>
  </si>
  <si>
    <t xml:space="preserve">CAS 24 (základní provedení) </t>
  </si>
  <si>
    <t>CAS základní</t>
  </si>
  <si>
    <t>Pořízení CAS</t>
  </si>
  <si>
    <t>Cisternová automobilová stříkačka pro plošné pokrytí</t>
  </si>
  <si>
    <t>CAS v základním provedení</t>
  </si>
  <si>
    <t>CELKEM za program 114230</t>
  </si>
  <si>
    <t>MVP Vybavení pracovišť MVP</t>
  </si>
  <si>
    <t>Centrum dopravních informací II. etapa</t>
  </si>
  <si>
    <t>CZ040702 RAI Podpora oddělení Dublinského střediska</t>
  </si>
  <si>
    <t>Mobilní dataterminály pro útvary PČR</t>
  </si>
  <si>
    <t>Mobilní část informačního systému pro trvalé datové mobilní spojení v rámci ZÚSS MV</t>
  </si>
  <si>
    <t>Pořízení koncových zařízení IT</t>
  </si>
  <si>
    <t>Pořízení koncových zařízení CT</t>
  </si>
  <si>
    <t>Spotřební materiály a movitý majetek do 3 tis.Kč pro ICT</t>
  </si>
  <si>
    <t>Opravy a údržba informačních a komunikačních technologií</t>
  </si>
  <si>
    <t>Systém pro zálohování a archivaci dat v lokálních sítích MV</t>
  </si>
  <si>
    <t>Trvalé datové mobilní spojení pro ZÚSS</t>
  </si>
  <si>
    <t>Praha 7 Letná - chráněné pracoviště</t>
  </si>
  <si>
    <t>Na Pankráci 72, objekt B - klimatizace</t>
  </si>
  <si>
    <t>Liberec -  Inspekce MV - rekonstrukce objektu</t>
  </si>
  <si>
    <t>Kanice - badatelna</t>
  </si>
  <si>
    <t>Praha 7 Letná - vestibul</t>
  </si>
  <si>
    <t>Praha 7 Letná - 5. patro</t>
  </si>
  <si>
    <t>Digitalizace objektu Letná</t>
  </si>
  <si>
    <t>Digitalizace objektu Kanice</t>
  </si>
  <si>
    <t>Digitalizace objektu Praha 4, Na Pankráci 72</t>
  </si>
  <si>
    <t>Digitalizace objektu Přípotoční</t>
  </si>
  <si>
    <t>Praha 4, Na Pankráci 72 - Zateplení II. etapa</t>
  </si>
  <si>
    <t>Stavební opravy a údržba objektů MV</t>
  </si>
  <si>
    <t>Ženijní technika</t>
  </si>
  <si>
    <t>Kancelářské stroje</t>
  </si>
  <si>
    <t>Pořízení software</t>
  </si>
  <si>
    <t>Pořízení výpočetní techniky</t>
  </si>
  <si>
    <t>Pořízení spojovací techniky</t>
  </si>
  <si>
    <t>Provozní výdaje na ICT- pronájem za telek. vedení a výkony spojů</t>
  </si>
  <si>
    <t>Provozní výdaje ICT (spotřební materiály) a na Movitý majetek ICT</t>
  </si>
  <si>
    <t>Nákup VT</t>
  </si>
  <si>
    <t>SPŠ Holešov</t>
  </si>
  <si>
    <t>Nákup spojovací a nástrahové techniky</t>
  </si>
  <si>
    <t>Opravy a údržba - ICT</t>
  </si>
  <si>
    <t>Provozní výdaje ICT - výkony spojů</t>
  </si>
  <si>
    <t xml:space="preserve">Příspěvek - stanice Karlovy Vary - rekonstrukce požárního vodovodu </t>
  </si>
  <si>
    <t>Cvičná věž ve výcvikové hale</t>
  </si>
  <si>
    <t xml:space="preserve">Živelná pohroma - oprava škod nemovitého majetku </t>
  </si>
  <si>
    <t>Multifunkční člun</t>
  </si>
  <si>
    <t>UTS-zabezpečení objektu KŘ</t>
  </si>
  <si>
    <t>Záchranná seskoková matrace</t>
  </si>
  <si>
    <t>Přetlakový plynotěsný protichemický oblek- 10 ks</t>
  </si>
  <si>
    <t>Výšková technika</t>
  </si>
  <si>
    <t>CAS v technickém provedení - 2 ks</t>
  </si>
  <si>
    <t>Nosič kontejneru s vybavením</t>
  </si>
  <si>
    <t>Kontejnerový nosič</t>
  </si>
  <si>
    <t>Plynový hasící automobil</t>
  </si>
  <si>
    <t>Rekonstrukce automobilového žebříku</t>
  </si>
  <si>
    <t>Dodávka technického automobilu chemického TACH 2</t>
  </si>
  <si>
    <t>Technické zhodnocení AZ 30</t>
  </si>
  <si>
    <t>Vysokotlaké hasící a řezací zařízení</t>
  </si>
  <si>
    <t>Kontejner nouzového přežití</t>
  </si>
  <si>
    <t>Osobní automobil terénní - 2ks</t>
  </si>
  <si>
    <t>Kopírovací zařízení</t>
  </si>
  <si>
    <t>Automobilní technika GŘ HZS ČR</t>
  </si>
  <si>
    <t>Technické zhodnocení vyprošťovacího  zařízení</t>
  </si>
  <si>
    <t>Hasicí zařízení</t>
  </si>
  <si>
    <t>Vyprošťovací zařízení</t>
  </si>
  <si>
    <t>Záchranářský člun</t>
  </si>
  <si>
    <t>Servery (Správa hl. m. Prahy)</t>
  </si>
  <si>
    <t>Telefonní ústředny - PČR S hl m</t>
  </si>
  <si>
    <t>Spojovací technika - PČR S hl m</t>
  </si>
  <si>
    <t>Software - PČR S Střčk</t>
  </si>
  <si>
    <t>Optomuxy</t>
  </si>
  <si>
    <t>Aktivní prvky LAN - PČR S Jčk</t>
  </si>
  <si>
    <t>Servery - PČR S Jčk</t>
  </si>
  <si>
    <t>Software - PČR S Jčk</t>
  </si>
  <si>
    <t>Obměna výpočetní techniky - software</t>
  </si>
  <si>
    <t>Obměna výpočetní techniky - software SCPP</t>
  </si>
  <si>
    <t>Telefonní ústředny - PČR S Sevčk</t>
  </si>
  <si>
    <t>Switche a servery - PČR S Sevčk</t>
  </si>
  <si>
    <t>Softwarové vybavení - PČR S Sevčk</t>
  </si>
  <si>
    <t>Pořízení SW - PČR S Včk</t>
  </si>
  <si>
    <t>Servery k počítačům technologickým, router</t>
  </si>
  <si>
    <t>Software - PČR S Smk</t>
  </si>
  <si>
    <t>Switche - HS PP ČR</t>
  </si>
  <si>
    <t>Software - HS PP ČR</t>
  </si>
  <si>
    <t>OMPS - národní jednotka Europolu II. - HS PP ČR</t>
  </si>
  <si>
    <t>KÚP-výpočetní technika-systém jakosti 1</t>
  </si>
  <si>
    <t xml:space="preserve">Zvýšení bezpečnosti a spolehlivosti databázového centra </t>
  </si>
  <si>
    <t>Vzdálená replikace datových polí - HS PP ČR</t>
  </si>
  <si>
    <t>SF-EU Informační systém pro trestní řízení - HS PP ČR</t>
  </si>
  <si>
    <t>Spojovací systém pro ÚRN - HS PP ČR</t>
  </si>
  <si>
    <t>CZ050402</t>
  </si>
  <si>
    <t>Aktivní síťové prvky (modulární, řada 5000) - HS PP ČR</t>
  </si>
  <si>
    <t>Dohledový síťový SW - HS PP ČR - CPP</t>
  </si>
  <si>
    <t>SF-EU  Monitoring bezpečnostních rizik</t>
  </si>
  <si>
    <t>P1000 Pořízení majetku ICT pro služebny PČR</t>
  </si>
  <si>
    <t>P1000 pořízení majetku ICT pro služebny PČR</t>
  </si>
  <si>
    <t>Realizace SISone4ALL</t>
  </si>
  <si>
    <t>Server k EKV</t>
  </si>
  <si>
    <t>Zajištění skládky nebezpečného chemického odpadu v obci Nalžovice</t>
  </si>
  <si>
    <t>Aktivní prvky</t>
  </si>
  <si>
    <t>Úpravy EVIC2 a VISION pro SISone4ALL</t>
  </si>
  <si>
    <t>Úpravy Cizineckého informačního systému pro systém SISone4ALL</t>
  </si>
  <si>
    <t>Propojení SISone4ALL a NS-VIS</t>
  </si>
  <si>
    <t>P1000 - Provozní výdaje ICT - Pronájem za telekomunikační vedení</t>
  </si>
  <si>
    <t>P 1000 - Změna operačního řízení - OS Plzeň - 1. etapa</t>
  </si>
  <si>
    <t>P 1000 - Komunikační rozhraní pro GPS</t>
  </si>
  <si>
    <t>Informační systém Blokace mobilních telefonů</t>
  </si>
  <si>
    <t>OŘP Praha- venkov, Zborovská 1505 - strukturovaná kabeláž</t>
  </si>
  <si>
    <t>Informační systém pro trestní řízení</t>
  </si>
  <si>
    <t>ICT - zahraniční mise policie</t>
  </si>
  <si>
    <t>Opravy a údržba movitého majetku - informační a  komunikační technologie</t>
  </si>
  <si>
    <t>Provozní výdaje na ICT -  kmitočtové spektrum</t>
  </si>
  <si>
    <t>Obnova a rozšíření výpočetní techniky a SW</t>
  </si>
  <si>
    <t>Státní oblastní archiv v Plzni</t>
  </si>
  <si>
    <t>Obnova komunikační techniky</t>
  </si>
  <si>
    <t>Opravy a údržba movitého majetku - informační a komunikační technologie</t>
  </si>
  <si>
    <t>Provozní výdaje na ICT - spotřební materiály a na movitý majetek ICT</t>
  </si>
  <si>
    <t>Pořízení ICT  2007</t>
  </si>
  <si>
    <t>Státní oblastní archiv v Praze</t>
  </si>
  <si>
    <t>Kamerový systém Dobřichovice</t>
  </si>
  <si>
    <t>Oprava a údržba - komunikační a informační technologie</t>
  </si>
  <si>
    <t>Provozní výdaje ICT</t>
  </si>
  <si>
    <t>Nákup pobočkové ústředny pro SOkA Č. Budějovice</t>
  </si>
  <si>
    <t>Státní oblastní archiv v Třeboni</t>
  </si>
  <si>
    <t>Vybavení SOA informační a komunikační technikou</t>
  </si>
  <si>
    <t>Opravy a údržba movitého majetku -  informační a komunikační technologie</t>
  </si>
  <si>
    <t>Provozní výdaje ICT - pronájem za telekomunikační vedení a výkony spojů</t>
  </si>
  <si>
    <t>Státní oblastní archiv v Zámrsku</t>
  </si>
  <si>
    <t>Opravy a údržba movitého majetku ICT-informační a komunikační technologie</t>
  </si>
  <si>
    <t>Provozní výdaje na ICT - pronájemza telekpmunikační vedení a výkony spojů</t>
  </si>
  <si>
    <t>Obnova a rozšíření výpočetní a komunikační techniky</t>
  </si>
  <si>
    <t>Opravy a údržba movitého majetku a služby ICT-informační  komunikační technologie.</t>
  </si>
  <si>
    <t>Provozní výdaje na ICT - pronájem za telekom. vedení a výkony spojů</t>
  </si>
  <si>
    <t>Projekt pracoviště dlouhodobého uchovávání elektronických dokumentů</t>
  </si>
  <si>
    <t>Výpočetní a audiovizuální technika</t>
  </si>
  <si>
    <t>SOANET Kamerový systém SOA</t>
  </si>
  <si>
    <t>SOkA Lovosice - kamerový systém badatelny</t>
  </si>
  <si>
    <t>MZA Brno, SOkA Blansko pob. Boskovice - EPS na PCO</t>
  </si>
  <si>
    <t>Datové úložiště</t>
  </si>
  <si>
    <t>SOkA-dovybavení a obnova VT</t>
  </si>
  <si>
    <t>SOA Litoměřice - doplnění systému EZS</t>
  </si>
  <si>
    <t>SOkA Hradec Králové - připojení na metropolitní síť města Hradec Králové</t>
  </si>
  <si>
    <t>Malá technická zhodnocení ICT</t>
  </si>
  <si>
    <t>Velkoformátový skener</t>
  </si>
  <si>
    <t>Zařízení pro aplikaci čárových kódů v MZA</t>
  </si>
  <si>
    <t>SOkA Zlín - digitální ústředna</t>
  </si>
  <si>
    <t>Telefonní ústředna</t>
  </si>
  <si>
    <t>IP Kamerový systém</t>
  </si>
  <si>
    <t>Skenery a elektronické zámky</t>
  </si>
  <si>
    <t>Výpočetní technika pro SOA Třeboň</t>
  </si>
  <si>
    <t>Moravský zemský archiv v Brně - výstavba účelových objektů</t>
  </si>
  <si>
    <t>Stavební úpravy SOkA v Lovosicích</t>
  </si>
  <si>
    <t>SOkA Vsetín - výměna oken</t>
  </si>
  <si>
    <t>SOkA Kroměříž - klimatizace: výměna výrobníku studené vody</t>
  </si>
  <si>
    <t>AKU tester</t>
  </si>
  <si>
    <t>Vysílač pro systém JSVV</t>
  </si>
  <si>
    <t>Server Oracle</t>
  </si>
  <si>
    <t>Upgrade a doplnění SW na SOPIS FM a BR</t>
  </si>
  <si>
    <t>Koncentrátor pro JSVV</t>
  </si>
  <si>
    <t>Koncentrátor</t>
  </si>
  <si>
    <t xml:space="preserve">Pořízení koncentrátoru </t>
  </si>
  <si>
    <t>Opravy a údržba koncových prvků JSVV</t>
  </si>
  <si>
    <t>Ptačí chřipka - ICT - pořízení majetku</t>
  </si>
  <si>
    <t>Ptačí chřipka - Provozní výdaje na ICT - pronájem za telekomunikační vedení a výkony spojů</t>
  </si>
  <si>
    <t xml:space="preserve">Průměrná vyplácená výše důchodu                  </t>
  </si>
  <si>
    <t>Počet                                        nově přiznaných důchodů v roce 2007</t>
  </si>
  <si>
    <t>z toho : počet nově přiznaných předčasných důchodů</t>
  </si>
  <si>
    <t>z toho:                     zapojení mimorozpočtových zdrojů</t>
  </si>
  <si>
    <t>v %</t>
  </si>
  <si>
    <t>k 31.12. 2007</t>
  </si>
  <si>
    <t>k 31.12.2006</t>
  </si>
  <si>
    <t xml:space="preserve">  v roce 2007 </t>
  </si>
  <si>
    <t xml:space="preserve"> v roce 2006</t>
  </si>
  <si>
    <t>6 = 3 - 2</t>
  </si>
  <si>
    <t>7 = 3 : 2</t>
  </si>
  <si>
    <t>9 = 3 : 8</t>
  </si>
  <si>
    <t>10</t>
  </si>
  <si>
    <t>11</t>
  </si>
  <si>
    <t>12</t>
  </si>
  <si>
    <t>13</t>
  </si>
  <si>
    <t>14</t>
  </si>
  <si>
    <t>15</t>
  </si>
  <si>
    <t xml:space="preserve"> Důchody celkem</t>
  </si>
  <si>
    <t>v tom :</t>
  </si>
  <si>
    <t>Důchody starobní</t>
  </si>
  <si>
    <t>Důchody plné invalidní</t>
  </si>
  <si>
    <t xml:space="preserve">Důchody částečně invalidní </t>
  </si>
  <si>
    <t>Důchody vdovské</t>
  </si>
  <si>
    <t>4a</t>
  </si>
  <si>
    <t xml:space="preserve"> sólo</t>
  </si>
  <si>
    <t>X</t>
  </si>
  <si>
    <t>4b</t>
  </si>
  <si>
    <t>v souběhu</t>
  </si>
  <si>
    <t>Důchody vdovecké</t>
  </si>
  <si>
    <t>5a</t>
  </si>
  <si>
    <t>5b</t>
  </si>
  <si>
    <t>Důchody sirotčí</t>
  </si>
  <si>
    <t>Tabulka č. 12</t>
  </si>
  <si>
    <t>GŘ HZS ČR</t>
  </si>
  <si>
    <t xml:space="preserve">Vypracoval: Ing. Šlár, tel. 974 849 665  </t>
  </si>
  <si>
    <t xml:space="preserve">                     Ing. Drahoňovská, tel. 974 849 265</t>
  </si>
  <si>
    <t xml:space="preserve">Kontroloval: Ing. Oliveriusová, tel. 974 849 324 </t>
  </si>
  <si>
    <t>Přehled o výdajích na financování programů reprodukce majetku v roce 2007 dle jednotlivých programů</t>
  </si>
  <si>
    <t>Název</t>
  </si>
  <si>
    <t xml:space="preserve">Schválený rozpočet            (R1)                 </t>
  </si>
  <si>
    <t xml:space="preserve">Upravený rozpočet          (R2)                   </t>
  </si>
  <si>
    <t xml:space="preserve">Zapojení mimoroz-počtových zdrojů dle zák. č. 218/2000 Sb. </t>
  </si>
  <si>
    <t xml:space="preserve">Čerpání v roce 2007                               (bez převodu do rezerv. fondu v roce 2007) </t>
  </si>
  <si>
    <t>Převedeno       do rezevního fondu v roce  2007</t>
  </si>
  <si>
    <t>Čerpání v roce 2007 celkem                                (vč. převodu do rezerv. fondu v roce 2007) (sl.5+6)</t>
  </si>
  <si>
    <t>Porovnání čerpání v roce 2007 ve vztahu k R2</t>
  </si>
  <si>
    <t xml:space="preserve">Porovnání čerpání v roce 2007 ve vztahu k celk. možnosti čerpání  </t>
  </si>
  <si>
    <t xml:space="preserve">Čerpání
v roce
2006              </t>
  </si>
  <si>
    <t>bez přev. do rez. fondu v roce 2007 (sl. 5-2)</t>
  </si>
  <si>
    <t>vč.přev.do rez.fondu v roce 2007 (sl.7-2)</t>
  </si>
  <si>
    <t>bez přev.do rez.fondu v roce 2007 (sl. 5-4)</t>
  </si>
  <si>
    <t>vč. přev.do rez.fondu v roce 2007 (sl. 7-4)</t>
  </si>
  <si>
    <t>P1000 - OOP Čtyři Dvory - Č.Budějovice, ul. M.Chlajna čp. 1510/45 - recepce</t>
  </si>
  <si>
    <t>P1000 - OOP Humpolec, ul. Žižkova čp.520 - recepce</t>
  </si>
  <si>
    <t>P1000 - OO Suché Vrbné - Č.Budějovice, Dobrovodská čp.2106 - recepce</t>
  </si>
  <si>
    <t>P1000 - OŘP Tábor, Soběslavská 2763 - recepce</t>
  </si>
  <si>
    <t>P1000 - OOP Český Krumlov, ul. Tovární 165 - recepce</t>
  </si>
  <si>
    <t>P1000 - OŘP Písek, Na Výstavišti 377 - recepce</t>
  </si>
  <si>
    <t>P1000 - OOP Hluboká nad Vltavou, T.G.Masaryka 49 - recepce</t>
  </si>
  <si>
    <t>Praha 7, Strojnická 27 - klimatizace místností + rozšíření EKV</t>
  </si>
  <si>
    <t>P1000 - MŘP Brno - město, Cejl 4/6 - recepce</t>
  </si>
  <si>
    <t>P1000 - OOP Brno, Malátova 3 - recepce</t>
  </si>
  <si>
    <t>P1000 - OOP Brno, Komárov, ul. Zvonařka - recepce</t>
  </si>
  <si>
    <t>P1000 - OOP Hodonín, ul. Velkomoravská č.o.14,16 - recepce</t>
  </si>
  <si>
    <t>P1000 - OŘP Zlín, ul. T.G. Masaryka čp.3218 - recepce</t>
  </si>
  <si>
    <t>Zajištění funkčnosti programového systému Redistribuční registr obyvatel</t>
  </si>
  <si>
    <t>CELKEM za program 214410</t>
  </si>
  <si>
    <t>214421P015</t>
  </si>
  <si>
    <t>Zajištění komunikační infrastruktury - Extranet ČR</t>
  </si>
  <si>
    <t>214421P023</t>
  </si>
  <si>
    <t xml:space="preserve">Centrální přístup na internet </t>
  </si>
  <si>
    <t>214421P024</t>
  </si>
  <si>
    <t>Centrální podpora uživatelů 2007</t>
  </si>
  <si>
    <t>214421P704</t>
  </si>
  <si>
    <t>Financování komunikačních služeb Úřadu vlády</t>
  </si>
  <si>
    <t>214421P706</t>
  </si>
  <si>
    <t>Financování komunikačních služeb MZV 2007</t>
  </si>
  <si>
    <t>214421P709</t>
  </si>
  <si>
    <t>Financování komunikačních služeb KVOP 2007</t>
  </si>
  <si>
    <t>214421P712</t>
  </si>
  <si>
    <t>Financování komunikačních služeb MF 2007</t>
  </si>
  <si>
    <t>214421P713</t>
  </si>
  <si>
    <t>Financování komunikačních služeb MPSV 2007</t>
  </si>
  <si>
    <t>214421P715</t>
  </si>
  <si>
    <t>Financování komunikačních služeb MŽP 2007</t>
  </si>
  <si>
    <t>214421P722</t>
  </si>
  <si>
    <t>Financování komunikačních služeb MPO 2007</t>
  </si>
  <si>
    <t>214421P727</t>
  </si>
  <si>
    <t>Financování komunikačních služeb MD 2007</t>
  </si>
  <si>
    <t>Kapitola : 314 - Ministerstvo vnitra</t>
  </si>
  <si>
    <t>Tabulka č. 16</t>
  </si>
  <si>
    <t>MV</t>
  </si>
  <si>
    <t xml:space="preserve">Název  ukazatele </t>
  </si>
  <si>
    <t>Státní rozpočet 2007</t>
  </si>
  <si>
    <t>Skutečnost 2007</t>
  </si>
  <si>
    <t>% plnění</t>
  </si>
  <si>
    <t>schválený</t>
  </si>
  <si>
    <t>po změnách</t>
  </si>
  <si>
    <t>spolufinan-cování ze SR</t>
  </si>
  <si>
    <t>kryto příjmem z rozp.EU/EHP</t>
  </si>
  <si>
    <t>10=7:4</t>
  </si>
  <si>
    <t>11=8:5</t>
  </si>
  <si>
    <t>12=9:6</t>
  </si>
  <si>
    <t xml:space="preserve">Výdaje na programy spolufinancované </t>
  </si>
  <si>
    <t>z prostředků EU progr. období 2004 - 2006 celkem</t>
  </si>
  <si>
    <t xml:space="preserve">   v tom:</t>
  </si>
  <si>
    <t>Transition Facility (TF) - Přechodový nástroj</t>
  </si>
  <si>
    <t>Strukturální fondy (SF) - INTERREG IIIA</t>
  </si>
  <si>
    <t>Komunitární programy - FIREFIGHT</t>
  </si>
  <si>
    <t>Komunitární programy - COUNTERACT</t>
  </si>
  <si>
    <t>Komunitární programy - Evropský uprchlický fond</t>
  </si>
  <si>
    <t>z prostředků EU progr. období 2007-2013 celkem</t>
  </si>
  <si>
    <t xml:space="preserve">v tom: </t>
  </si>
  <si>
    <t xml:space="preserve">Strukturální fondy (SF) - Integrovaný operační </t>
  </si>
  <si>
    <t xml:space="preserve">   program (IOP) 8 různých projektů v rámci OP</t>
  </si>
  <si>
    <t xml:space="preserve">   Komunitární programy  Evropský uprchlický fond </t>
  </si>
  <si>
    <t>Výdaje na společné projekty, které jsou z části</t>
  </si>
  <si>
    <t>financovány z prostředků ostatních zahraničních</t>
  </si>
  <si>
    <t>Plánice - cisternová automobilová stříkačka</t>
  </si>
  <si>
    <t>Radnice - cisternová automobilová stříkačka</t>
  </si>
  <si>
    <t>Stráž nad Nisou - pořízení CAS</t>
  </si>
  <si>
    <t xml:space="preserve">Ústí nad Labem - Neštěmice - cisternová automobilová stříkačka </t>
  </si>
  <si>
    <t>Mosty u Jablůnkova - pořízení CAS  pro jednotku JPO II JSDH</t>
  </si>
  <si>
    <t>Nýdek - pořízení CAS pro jednotku JPO III JSDH</t>
  </si>
  <si>
    <t>Paskov - pořízení CAS pro jednotku JPO II JSDH</t>
  </si>
  <si>
    <t>Hošťálková - nákup cisternové automobilové stříkačky</t>
  </si>
  <si>
    <t>Porovnání čerpání 2007/2006     v %       (sloupec 5:12)</t>
  </si>
  <si>
    <t>bez převodu do RF v roce 2007 (sl. 5-2)</t>
  </si>
  <si>
    <t>vč. převodu do RF v roce 2007 (sl. 7-4)</t>
  </si>
  <si>
    <t>Čerpání  výdajů kapitoly MV za rok 2007</t>
  </si>
  <si>
    <t>Příloha č. 4</t>
  </si>
  <si>
    <t>z toho:</t>
  </si>
  <si>
    <t>OSS,SPO</t>
  </si>
  <si>
    <t>Příjmy</t>
  </si>
  <si>
    <t>Nedaňové</t>
  </si>
  <si>
    <t>Výdaje</t>
  </si>
  <si>
    <t xml:space="preserve">Výzkum </t>
  </si>
  <si>
    <t>Běžné výdaje</t>
  </si>
  <si>
    <t>Platy zaměst.</t>
  </si>
  <si>
    <t>Platy</t>
  </si>
  <si>
    <t>Ostatní</t>
  </si>
  <si>
    <t>Povinné</t>
  </si>
  <si>
    <t>Důchody</t>
  </si>
  <si>
    <t xml:space="preserve">Ostatní </t>
  </si>
  <si>
    <t>Neinv.</t>
  </si>
  <si>
    <t>Příspěvky</t>
  </si>
  <si>
    <t>a kapitálové</t>
  </si>
  <si>
    <t>z pojistného</t>
  </si>
  <si>
    <t>pojistné na</t>
  </si>
  <si>
    <t>a vývoj</t>
  </si>
  <si>
    <t>kapitálové</t>
  </si>
  <si>
    <t>neinvestiční</t>
  </si>
  <si>
    <t>na fin.progr.</t>
  </si>
  <si>
    <t>NIV</t>
  </si>
  <si>
    <t>a OPPP</t>
  </si>
  <si>
    <t>zaměstnanců</t>
  </si>
  <si>
    <t>platby za</t>
  </si>
  <si>
    <t>pojistné</t>
  </si>
  <si>
    <t>soc. dávky</t>
  </si>
  <si>
    <t>Dávky</t>
  </si>
  <si>
    <t>Zvýšení důch.</t>
  </si>
  <si>
    <t>běžné</t>
  </si>
  <si>
    <t>dotace obč.</t>
  </si>
  <si>
    <t>na provoz</t>
  </si>
  <si>
    <t>dotace</t>
  </si>
  <si>
    <t>provozní</t>
  </si>
  <si>
    <t>Platby spoj.</t>
  </si>
  <si>
    <t xml:space="preserve">Počty </t>
  </si>
  <si>
    <t>příjmy</t>
  </si>
  <si>
    <t>důch. poj.</t>
  </si>
  <si>
    <t>vč. převodu do RF</t>
  </si>
  <si>
    <t>bez převodu do RF</t>
  </si>
  <si>
    <t>výdaje</t>
  </si>
  <si>
    <t>reprodukce</t>
  </si>
  <si>
    <t>vázané k IP</t>
  </si>
  <si>
    <t>prov. práci</t>
  </si>
  <si>
    <t>plac. zaměst.</t>
  </si>
  <si>
    <t>dávky</t>
  </si>
  <si>
    <t>odchodné</t>
  </si>
  <si>
    <t>nem.poj.</t>
  </si>
  <si>
    <t>pro bezmoc.</t>
  </si>
  <si>
    <t>sdružením</t>
  </si>
  <si>
    <t>PO</t>
  </si>
  <si>
    <t>obcím</t>
  </si>
  <si>
    <t>s prov. obj.</t>
  </si>
  <si>
    <t>prov. výdaje</t>
  </si>
  <si>
    <t>S hl. m. Prahy</t>
  </si>
  <si>
    <t>S Středočeského kraje</t>
  </si>
  <si>
    <t>S Jihočeského kraje</t>
  </si>
  <si>
    <t>S Západočeského kraje</t>
  </si>
  <si>
    <t>S Severočeského kraje</t>
  </si>
  <si>
    <t>S Východočeského kraje</t>
  </si>
  <si>
    <t>S Jihomoravského kraje</t>
  </si>
  <si>
    <t>S Severomoravského kraje</t>
  </si>
  <si>
    <t>ORCN PP Svojšice</t>
  </si>
  <si>
    <t>navýšení 2003 - ošatné</t>
  </si>
  <si>
    <t>OEZ pro MV - vlastní ministerstvo</t>
  </si>
  <si>
    <t>OEZ pro MV a OS MV celkem</t>
  </si>
  <si>
    <t xml:space="preserve">HZS krajů </t>
  </si>
  <si>
    <t>HZS ČR celkem</t>
  </si>
  <si>
    <t>ms archivy celkem</t>
  </si>
  <si>
    <t>ms střední polic. školství</t>
  </si>
  <si>
    <t>ms polic. školství celkem</t>
  </si>
  <si>
    <t>res.školství a Muzeum P ČR celkem</t>
  </si>
  <si>
    <t>ms OSS kapitoly MV celkem</t>
  </si>
  <si>
    <t>Institut pro místní správu MV</t>
  </si>
  <si>
    <t>Lázeňské léčebné ústavy MV</t>
  </si>
  <si>
    <t>ms SPO MV celkem</t>
  </si>
  <si>
    <t>Rezerva MV</t>
  </si>
  <si>
    <t>nerozepsané fin. prostředky</t>
  </si>
  <si>
    <t>Kapitola MV celkem</t>
  </si>
  <si>
    <t>Tabulka č. 10</t>
  </si>
  <si>
    <t>Radarový měřič rychlosti</t>
  </si>
  <si>
    <t>Městský kamerový dohlížecí systém Blansko - etapa VIII.</t>
  </si>
  <si>
    <t>Kamerový systém-rozšíření o dvě kamery</t>
  </si>
  <si>
    <t>Výstavba kamerového systému obce Zlonice</t>
  </si>
  <si>
    <t>Městský kamerový systém ve Vimperku II. etapa</t>
  </si>
  <si>
    <t>Kamerový bod - pohledová kamera</t>
  </si>
  <si>
    <t>Městský kamerový a informační systém III. etapa</t>
  </si>
  <si>
    <t>Propojení MKDS mezi MP a OO PČR v Kralupech nad Vltavou</t>
  </si>
  <si>
    <t>Druhá etapa výstavby MKDS</t>
  </si>
  <si>
    <t>Zabezpečení lokalit ohrožených vandalstvím a krádežemi na vozidlech</t>
  </si>
  <si>
    <t>Kamera u nádraží ČD</t>
  </si>
  <si>
    <t>Výstavba kamerového bodu - Všehlušická 1669</t>
  </si>
  <si>
    <t>Zvýšení dopravní bezpečnosti v obcích</t>
  </si>
  <si>
    <t>Měřič rychlosti</t>
  </si>
  <si>
    <t>Informační panely pro okamžité měření rychlosti v Jablůnce</t>
  </si>
  <si>
    <t>Bezpečnostní řešení pro účastníky silničního provozu před základní školou</t>
  </si>
  <si>
    <t>Mobilní kamera na vozidlo</t>
  </si>
  <si>
    <t>Volný čas - náctiletých - skatepark</t>
  </si>
  <si>
    <t>Městský kamerový dohlížecí systém Česká Třebová, III. Etapa</t>
  </si>
  <si>
    <t>Skate hřiště Třešť</t>
  </si>
  <si>
    <t>MKDS pro Město Litomyšl</t>
  </si>
  <si>
    <t>Rozšíření bikeparku o skateboardové prvky</t>
  </si>
  <si>
    <t>Projekt rozšíření MKDS Klášterec nad Ohří 2007 - II. etapa</t>
  </si>
  <si>
    <t>Městský kamerový dohlížecí systém - etapa II</t>
  </si>
  <si>
    <t>MKDS III etapa</t>
  </si>
  <si>
    <t>Městský kamerový dohlížecí systém Český Brod II. Etapa</t>
  </si>
  <si>
    <t>ICP Hodonín, ul. Koupelní 1 - stavební úpravy</t>
  </si>
  <si>
    <t>ETŘ na OŘP Olomouc</t>
  </si>
  <si>
    <t>Samopaly H&amp;K včetně příslušenství</t>
  </si>
  <si>
    <t>Noktovizory</t>
  </si>
  <si>
    <t>Odstřelovačské pušky</t>
  </si>
  <si>
    <t>Soustruh - přestavba NC</t>
  </si>
  <si>
    <t>Brno,Rybářská - rekonstrukce objektu - technologie výdejny jídel</t>
  </si>
  <si>
    <t>Zásahové žebříky</t>
  </si>
  <si>
    <t>P 80 Rušičky sítí s příslušenstvím</t>
  </si>
  <si>
    <t>Dílenské zařízení</t>
  </si>
  <si>
    <t>Autokláv</t>
  </si>
  <si>
    <t>Centrifuga laboratorní</t>
  </si>
  <si>
    <t>Laboratorní váhy</t>
  </si>
  <si>
    <t>Stroje kopírovací</t>
  </si>
  <si>
    <t>Boroskop balistický</t>
  </si>
  <si>
    <t>Elektrokardiografy</t>
  </si>
  <si>
    <t>Rentgen zubní</t>
  </si>
  <si>
    <t>Přístroj na měření odporu spouště</t>
  </si>
  <si>
    <t>Tvrdoměr</t>
  </si>
  <si>
    <t>Lapač střel</t>
  </si>
  <si>
    <t>Endoskop balistický</t>
  </si>
  <si>
    <t>Zařízení na výrobu ultračisté vody</t>
  </si>
  <si>
    <t>Předvážky digitální</t>
  </si>
  <si>
    <t>Termostat digitální</t>
  </si>
  <si>
    <t>Myčka osobních automobilů</t>
  </si>
  <si>
    <t>Stůl měřící pro zbraně</t>
  </si>
  <si>
    <t>Travní traktor</t>
  </si>
  <si>
    <t>Box laminární</t>
  </si>
  <si>
    <t>Inkubátor DNA</t>
  </si>
  <si>
    <t>Kuchyňské zařízení</t>
  </si>
  <si>
    <t>Elektrokardiograf</t>
  </si>
  <si>
    <t>Přístroj magnetoterapeutický</t>
  </si>
  <si>
    <t>Stroj úklidový elektrický</t>
  </si>
  <si>
    <t>Jednotky klimatizační</t>
  </si>
  <si>
    <t>Sněhová fréza - CPP</t>
  </si>
  <si>
    <t>Garáže mobilní</t>
  </si>
  <si>
    <t>Automatický měřící systém pro rychlost střel</t>
  </si>
  <si>
    <t>Čistič koberců</t>
  </si>
  <si>
    <t>Lešení HAKI</t>
  </si>
  <si>
    <t>Přístroje na měření odporu spouště</t>
  </si>
  <si>
    <t>Čističe koberců</t>
  </si>
  <si>
    <t>Promývačka ULTRAWASCH</t>
  </si>
  <si>
    <t>Termoblok</t>
  </si>
  <si>
    <t>Laminární box</t>
  </si>
  <si>
    <t>Chlazená centrifuga</t>
  </si>
  <si>
    <t>Termocykler</t>
  </si>
  <si>
    <t>Kompresor elektrický mobilní</t>
  </si>
  <si>
    <t xml:space="preserve">Centrifuga chlazená </t>
  </si>
  <si>
    <t>Stroj na montáž a demontáž pneu</t>
  </si>
  <si>
    <t>Emisní přístroje</t>
  </si>
  <si>
    <t>Kotle plynové varné</t>
  </si>
  <si>
    <t>Jednoodrazový ATR nástavec</t>
  </si>
  <si>
    <t>Dílenská zařízení</t>
  </si>
  <si>
    <t>Myčka kol</t>
  </si>
  <si>
    <t>Diagnostický přístroj</t>
  </si>
  <si>
    <t>Lázeň vířivá na horní a dolní končetiny</t>
  </si>
  <si>
    <t>Ergometr s počítačem</t>
  </si>
  <si>
    <t>Daktylofot</t>
  </si>
  <si>
    <t>Objektiv pro dig.fotoaparát Canon EOS-13-35/2,8 L USM</t>
  </si>
  <si>
    <t>Sekačka komunální Stiga-park Pro 16 4WD HONDA 16 HP</t>
  </si>
  <si>
    <t>Linka mycí</t>
  </si>
  <si>
    <t>Pila formátovací</t>
  </si>
  <si>
    <t>Váha laboratorní</t>
  </si>
  <si>
    <t>Bezkontaktní měření střel</t>
  </si>
  <si>
    <t>Přídavné zařízení k čelní sněhové radlici</t>
  </si>
  <si>
    <t>Zdravotnické zařízení</t>
  </si>
  <si>
    <t>Stereomikroskop - CPP</t>
  </si>
  <si>
    <t>Rekonstrukce radaru</t>
  </si>
  <si>
    <t>KÚP - doplnění přístrojů a zařízení v laboratořích</t>
  </si>
  <si>
    <t>Upgrade vybavení minilabu Agfa</t>
  </si>
  <si>
    <t>Žací stroj Husgvarna Rider 11C</t>
  </si>
  <si>
    <t>Hlasové a datové služby</t>
  </si>
  <si>
    <t>OŘ PČR Havlíčkův Brod - strukturovaná kabeláž</t>
  </si>
  <si>
    <t>PČR Správa Východočeského kraje</t>
  </si>
  <si>
    <t>Oprava a údržba movitého majetku ICT</t>
  </si>
  <si>
    <t>PČR Správa hl. m. Prahy</t>
  </si>
  <si>
    <t xml:space="preserve">Spotřební materiály + movitý majetek ICT </t>
  </si>
  <si>
    <t>Provozní výdaje na ICT - výkony spojů a nájemní okruhy</t>
  </si>
  <si>
    <t>Koncová zařízení CT</t>
  </si>
  <si>
    <t>Spojovací technika</t>
  </si>
  <si>
    <t>Jednotka kontroly vstupu N-1000</t>
  </si>
  <si>
    <t>Čekací systém na vydávání pořadových lístků - CPP</t>
  </si>
  <si>
    <t>PČR Správa Středočeského kraje</t>
  </si>
  <si>
    <t>Komunikační technika</t>
  </si>
  <si>
    <t>Spotřební materiály + movitý majetek ICT</t>
  </si>
  <si>
    <t>Výkony spojů a pronájem za telekomunikační vedení</t>
  </si>
  <si>
    <t>Nástrahová a zabezpečovací technika</t>
  </si>
  <si>
    <t>Spotřební materiál pro nástrahovou a zabezpečovací techniku</t>
  </si>
  <si>
    <t>Opravy a údržba nástrahové a zabezpečovací techniky</t>
  </si>
  <si>
    <t>Pronájem za telekomunikační vedení a výkony spojů</t>
  </si>
  <si>
    <t>Školení ICT</t>
  </si>
  <si>
    <t>Audio a videotechnika</t>
  </si>
  <si>
    <t>Měřící přístroj</t>
  </si>
  <si>
    <t>Telekomunikační technika</t>
  </si>
  <si>
    <t>Záložní zdroje UPS</t>
  </si>
  <si>
    <t>Notebooky s ochranou disku proti otřesu - CPP</t>
  </si>
  <si>
    <t>Interaktivní plátno - CPP</t>
  </si>
  <si>
    <t>PČR Správa Západočeského kraje</t>
  </si>
  <si>
    <t>Výkony spojů</t>
  </si>
  <si>
    <t>Spotřební materiály  + movitý majetek ICT</t>
  </si>
  <si>
    <t>Obměna komunikační techniky</t>
  </si>
  <si>
    <t>Obměna výpočetní techniky</t>
  </si>
  <si>
    <t>Notebook s ochranou disku proti otřesu - CPP</t>
  </si>
  <si>
    <t>Interaktivní plátna - CPP</t>
  </si>
  <si>
    <t>PČR Správa Severočeského kraje</t>
  </si>
  <si>
    <t>Zabezpečovací technika</t>
  </si>
  <si>
    <t>Technika SCO</t>
  </si>
  <si>
    <t>Videotechnika</t>
  </si>
  <si>
    <t>Oprava a údržba nástrahové a zabezpečovací techniky</t>
  </si>
  <si>
    <t>Koncová zařízení ICT - INV</t>
  </si>
  <si>
    <t>Koncová zařízení ICT - NIV</t>
  </si>
  <si>
    <t>Výkony spojů ICT</t>
  </si>
  <si>
    <t>Výslechová místnost</t>
  </si>
  <si>
    <t>Zařízení NZT</t>
  </si>
  <si>
    <t xml:space="preserve">Spotřební materiály a movitý majetek NZT </t>
  </si>
  <si>
    <t>Provozní výdaje na NZT - Výkony spojů</t>
  </si>
  <si>
    <t>Oprava a údržba movitého majetku ICT - ÚZČ</t>
  </si>
  <si>
    <t>Čtečka dokladů s biometrickými prvky</t>
  </si>
  <si>
    <t>Systémový kabel k zařízení CORAL plus (35 m) - CPP</t>
  </si>
  <si>
    <t>PC pro Internet</t>
  </si>
  <si>
    <t>Náhlavní soupravy MATRA G2</t>
  </si>
  <si>
    <t>PTV technika</t>
  </si>
  <si>
    <t>Měřící přístroje</t>
  </si>
  <si>
    <t>Megafony</t>
  </si>
  <si>
    <t>Servery - SCPP</t>
  </si>
  <si>
    <t>PČR Správa Severomoravského kraje</t>
  </si>
  <si>
    <t>Výkony spojů a pronájmy za telekomunikační vedení ostatní</t>
  </si>
  <si>
    <t>Audio a video technika</t>
  </si>
  <si>
    <t>Průmyslová televize</t>
  </si>
  <si>
    <t>Pájecí souprava</t>
  </si>
  <si>
    <t>Telefonní ústředny, přístroje</t>
  </si>
  <si>
    <t>Telefaxy</t>
  </si>
  <si>
    <t>Modem Patton</t>
  </si>
  <si>
    <t>Přepínače DKVM</t>
  </si>
  <si>
    <t>Notebook třídy D - SCPP</t>
  </si>
  <si>
    <t>Laserové barevné multifunkční zařízení - CPP</t>
  </si>
  <si>
    <t>Informační technika</t>
  </si>
  <si>
    <t>Opravy a údržba ICT</t>
  </si>
  <si>
    <t>Spotřební materiály ICT</t>
  </si>
  <si>
    <t>Spotřební materiály - ÚZČ</t>
  </si>
  <si>
    <t>KÚP - výpočetní technika - systém jakosti 2</t>
  </si>
  <si>
    <t>Opravy a údržba movitého majetku - informační technologie</t>
  </si>
  <si>
    <t>Odposlech telekomunikací a internetu - ÚZČ</t>
  </si>
  <si>
    <t>CZ050402 Odposlech telekomunikací a internetu II. - ÚZČ</t>
  </si>
  <si>
    <t>Prostředky technického sledování - ÚZČ</t>
  </si>
  <si>
    <t>CZ050402-TF2005-PC Desktop pro vyšetřovatele ÚOKFK SKPV</t>
  </si>
  <si>
    <t>Aktivní síťové prvky (modulární, řada 5000)</t>
  </si>
  <si>
    <t>CZ0005 EHP/Norsko - Výpočetní technika pro NC SIRENE</t>
  </si>
  <si>
    <t>Přímé telekomunikační propojení PP s KS</t>
  </si>
  <si>
    <t>HZS Královéhradeckého kraje celkem</t>
  </si>
  <si>
    <t>HZS Libereckého kraje</t>
  </si>
  <si>
    <t>HZS Libereckého kraje celkem</t>
  </si>
  <si>
    <t>HZS Moravskoslezského kraje</t>
  </si>
  <si>
    <t>Upgrade plynového chromatografu s hmotnostním detektorem</t>
  </si>
  <si>
    <t>P1000 - Multifunkční kopírovací zařízení - projektová kancelář</t>
  </si>
  <si>
    <t>Přívěs pod loď</t>
  </si>
  <si>
    <t>Zařízení pro Real-time PCR</t>
  </si>
  <si>
    <t>Parní sterilizátor</t>
  </si>
  <si>
    <t>Spektrometr fluorescenční</t>
  </si>
  <si>
    <t>Plynový chromatograf - technické zhodnocení</t>
  </si>
  <si>
    <t>Kopírovací technika</t>
  </si>
  <si>
    <t>Defibrilátory</t>
  </si>
  <si>
    <t>Sterilizátor horkovzdušný</t>
  </si>
  <si>
    <t>Mikrobusy silniční</t>
  </si>
  <si>
    <t>OA silniční nad 2500 ccm repre LONG</t>
  </si>
  <si>
    <t>OA terénní nad 2500 ccm</t>
  </si>
  <si>
    <t>AO silniční nad 2500 ccm doprovodné - policejní</t>
  </si>
  <si>
    <t>OA silniční od 2001 do 2500 ccm - standard</t>
  </si>
  <si>
    <t>Vrtulníky lehké hmotnostní kategorie pro zajištění leteckých činností v IZS</t>
  </si>
  <si>
    <t>Oprava a údržba leteckého majetku</t>
  </si>
  <si>
    <t>České Budějovice, Planá - výstavba zázemí pro IZS</t>
  </si>
  <si>
    <t>Vrtulník střední hmotnostní kategorie v zásahové a záchranné verzi</t>
  </si>
  <si>
    <t>Ostrava-Zábřeh - výstavba zázemí pro IZS</t>
  </si>
  <si>
    <t>Modifikace vrtulníku EC-135 T2</t>
  </si>
  <si>
    <t>Modifikace vrtulníku Bell-412 OK-BYP</t>
  </si>
  <si>
    <t>Podvěs pro vrtulník Bell-412 a testovací zařízení</t>
  </si>
  <si>
    <t>Dílenské zařízení pro leteckou službu</t>
  </si>
  <si>
    <t>Prostředky pro záchranu na vodě</t>
  </si>
  <si>
    <t>Praha 9, Vinoř - zámek - plynofikace</t>
  </si>
  <si>
    <t>OŘ PČR Písek - myčka vozidel + ČOV</t>
  </si>
  <si>
    <t>FKSP - Jankov DT - zvýšení výkonu provzdušňování ČOV</t>
  </si>
  <si>
    <t>OOP Ústí nad Labem , Lovecká 435/10 - plynofikace objektu</t>
  </si>
  <si>
    <t>OOP Teplice , Husitská 708/5 - plynofikace objektu</t>
  </si>
  <si>
    <t>SZčk Plzeň, Podmostní 4 - odstranění škod po povodni</t>
  </si>
  <si>
    <t xml:space="preserve">z toho: </t>
  </si>
  <si>
    <t>Prominutí dluhu</t>
  </si>
  <si>
    <t>Zastřešení atria ve vezdělávacím středisku Benešov</t>
  </si>
  <si>
    <t>Praha 7, Stromovka - letní šatny</t>
  </si>
  <si>
    <t>Praha 7, Stromovka – závora u vjezdových vrat</t>
  </si>
  <si>
    <t>Praha 7, Stromovka - vodovodní přípojka k tenisovým kurtům</t>
  </si>
  <si>
    <t>Praha 7, Stromovka - regulace pro kotelnu letních šaten</t>
  </si>
  <si>
    <t>Praha 7, Stromovka - žaluzie do víceúčelové haly</t>
  </si>
  <si>
    <t>Realizace závěrů z energetického auditu</t>
  </si>
  <si>
    <t>Zateplení vnějšího pláště objektu J</t>
  </si>
  <si>
    <t>Úprava systému ústředního topení bloku C</t>
  </si>
  <si>
    <t>Odstranění závad EA - II.etapa</t>
  </si>
  <si>
    <t>Zónová regulace</t>
  </si>
  <si>
    <t xml:space="preserve">Instalace termostatických ventilů </t>
  </si>
  <si>
    <t>Výměna vnějších oken v objektu J</t>
  </si>
  <si>
    <t>CELKEM za program 214020</t>
  </si>
  <si>
    <t>Moravský zemský archiv v Brně</t>
  </si>
  <si>
    <t>Oprava a údržba movitého majetku - informační a komunikační technologie</t>
  </si>
  <si>
    <t>MZA - intranet</t>
  </si>
  <si>
    <t>Dovybavení  IT</t>
  </si>
  <si>
    <t>SOkA Jihlava - server</t>
  </si>
  <si>
    <t>Síť ARCHIV - HW,SW</t>
  </si>
  <si>
    <t>Síť Archiv - zabezpečení perimetru</t>
  </si>
  <si>
    <t>Datový sklad</t>
  </si>
  <si>
    <t>Kamerový systém badatelna - M. Horákové</t>
  </si>
  <si>
    <t>Opravy a údržba movitého majetku a služby ICT-informační a komunikační technologie</t>
  </si>
  <si>
    <t>Rozvoj ICT v Národním archivu</t>
  </si>
  <si>
    <t>Provozní výdaje na ICT-spotřební materiály a na movitý majetek ICT</t>
  </si>
  <si>
    <t>Vybudování EZS - pobočka Most</t>
  </si>
  <si>
    <t>Státní oblastní archiv v Litoměřicích</t>
  </si>
  <si>
    <t>SOA Litoměřice - rekonstrukce tlf ústředen</t>
  </si>
  <si>
    <t>Přehled  výdajů na společné projekty (programy), které byly v roce 2007 z části  financovány z prostředků EU - EHP/NORSKO (bez převodu do RF)</t>
  </si>
  <si>
    <t>Nákup komponent pro systém Pegas</t>
  </si>
  <si>
    <t>Nákup multilicence SW TP Diag</t>
  </si>
  <si>
    <t>Regionální uzly dohledu - III. etapa</t>
  </si>
  <si>
    <t>Opravy a údržba dohledového systému</t>
  </si>
  <si>
    <t>Výukové operační středisko Pardubice</t>
  </si>
  <si>
    <t>Videokonference pro ministra vnitra</t>
  </si>
  <si>
    <t>MVP - Zajištění technické infrastruktury CIS</t>
  </si>
  <si>
    <t>MVP - HW a SW rozšíření serverového jádra CIS</t>
  </si>
  <si>
    <t>Centrum dopravních informací - III. etapa</t>
  </si>
  <si>
    <t>Rozvoj kontrolního systému rezortu MV - etapa 2005</t>
  </si>
  <si>
    <t>HW a SW podpora technologie sálového serveru (SUN)</t>
  </si>
  <si>
    <t>Zajištění SW podpory databázového prostředí (Informix)</t>
  </si>
  <si>
    <t>SIS - Zprovoznění kanceláře SIRENE</t>
  </si>
  <si>
    <t>Plošný antivirový systém pro MV ČR</t>
  </si>
  <si>
    <t>Poskytování a využívání informací</t>
  </si>
  <si>
    <t>Technická podpora pro UPS</t>
  </si>
  <si>
    <t>IISSDE - podpora komunikačních prvků CVS</t>
  </si>
  <si>
    <t>Elektronická spisová služba MV ČR</t>
  </si>
  <si>
    <t>Pronájem licence SUN JAVA</t>
  </si>
  <si>
    <t>IISSDE - podpora serverů SUN v území</t>
  </si>
  <si>
    <t>Opravy a údržba informačních technologií IISSDE</t>
  </si>
  <si>
    <t>Platby za externí zdroje informací</t>
  </si>
  <si>
    <t>Údržba a aktualizace SW - centrální úroveň</t>
  </si>
  <si>
    <t>Údržba TOVEK</t>
  </si>
  <si>
    <t>Opravy a údržba AFIS, EURODAC</t>
  </si>
  <si>
    <t>Systém podpory řízení investičních projektů v oblasti IT a typové registrace počítačových programů</t>
  </si>
  <si>
    <t>Nákup SW produktů - centrální úroveň</t>
  </si>
  <si>
    <t>Rozvoj kontrolního systému resortu - etapa 2007</t>
  </si>
  <si>
    <t>Servis pro zálohovací zařízení AFIS</t>
  </si>
  <si>
    <t>Opravy a údržba kryptografických prostředků</t>
  </si>
  <si>
    <t>SF-EU Zabezpečení centrálního výpočetního střediska pro zpracování osobních údajů - IOP</t>
  </si>
  <si>
    <t>Dokončení centrální Web aplikace správních evidencí</t>
  </si>
  <si>
    <t>Ekonomický informační systém MV</t>
  </si>
  <si>
    <t>Ostatní ekonomické informační systémy</t>
  </si>
  <si>
    <t>Rozšíření a doplnění páteřní sítě</t>
  </si>
  <si>
    <t>Radioreléové spoje</t>
  </si>
  <si>
    <t>Pronájem přenosového prostředí pro biometriku</t>
  </si>
  <si>
    <t>CELKEM za program 214910</t>
  </si>
  <si>
    <t>OŘ PČR Strakonice - přístavba provozně správního objektu</t>
  </si>
  <si>
    <t>CELKEM za program 314210</t>
  </si>
  <si>
    <t>CELKEM za kapitolu 314 bez přijatých transferů</t>
  </si>
  <si>
    <t>Transfery přijaté z kapitoly 333 MŠMT</t>
  </si>
  <si>
    <t>CELKEM za kapitolu 314 včetně přijatých transferů</t>
  </si>
  <si>
    <t>Přehled čerpání výdajů v roce 2007 dle jednotlivých čtvrtletích</t>
  </si>
  <si>
    <t xml:space="preserve">    Čerpání </t>
  </si>
  <si>
    <t>z toho</t>
  </si>
  <si>
    <t>celkem</t>
  </si>
  <si>
    <t>I. čtvrtletí</t>
  </si>
  <si>
    <t>II. čtvrtletí</t>
  </si>
  <si>
    <t>III. čtvrtletí</t>
  </si>
  <si>
    <t>IV. čtvrtletí</t>
  </si>
  <si>
    <t>OSS, SPO</t>
  </si>
  <si>
    <t xml:space="preserve">% </t>
  </si>
  <si>
    <t>%</t>
  </si>
  <si>
    <t xml:space="preserve">Policie ČR </t>
  </si>
  <si>
    <t>AXB</t>
  </si>
  <si>
    <t>OEZ pro MV</t>
  </si>
  <si>
    <t>Odbor archiv BS MV</t>
  </si>
  <si>
    <t xml:space="preserve">ms OEZ pro MV a OS MV </t>
  </si>
  <si>
    <t xml:space="preserve">GŘ HZS </t>
  </si>
  <si>
    <t>HZS krajů</t>
  </si>
  <si>
    <t xml:space="preserve">ms HZS ČR </t>
  </si>
  <si>
    <t>ms archivy</t>
  </si>
  <si>
    <t xml:space="preserve">ms resortní školství a Muzeum P ČR </t>
  </si>
  <si>
    <t>SUZ MV</t>
  </si>
  <si>
    <t>Tiskárna MV</t>
  </si>
  <si>
    <t>Zdravotnické přístroje</t>
  </si>
  <si>
    <t>Stavebně ubytovací zařízení</t>
  </si>
  <si>
    <t>Opravy a údržba movitého majetku</t>
  </si>
  <si>
    <t>Budování kapacit v oblasti migračního managementu - Irák</t>
  </si>
  <si>
    <t>ZRS - Stabilizace potenciálních nelegálních migrantů formou podpory vzniku pracovních příležitostí v Moldavsku</t>
  </si>
  <si>
    <t>ZRS - Prevence nelegální migrace z Arménie do ČR</t>
  </si>
  <si>
    <t>ZRS - Provoz chráněné dílny v Grozném</t>
  </si>
  <si>
    <t>ZRS - Prevence neregulérní migrace z Ukrajiny do ČR</t>
  </si>
  <si>
    <t xml:space="preserve">EUF2006-32 - Skatepark - využití volného času mladých žadatelů o azyl </t>
  </si>
  <si>
    <t>EUF2006-37 - Právní poradenství žadatelům o mezinárodní ochranu</t>
  </si>
  <si>
    <t>CELKEM za program 214010</t>
  </si>
  <si>
    <t>Vybavení PA ČR výpočetní technikou</t>
  </si>
  <si>
    <t>OUPO CV Pořízení majetku ICT</t>
  </si>
  <si>
    <t>OUPO CV Spotřební materiály</t>
  </si>
  <si>
    <t>OUPO CV Opravy a údržba movitého majetku -  komunikační a informační technologie</t>
  </si>
  <si>
    <t>OUPO FM Opravy a údržba movitého majetku -   informační a komunikační technologie</t>
  </si>
  <si>
    <t>OUPO FM Pronájem za telekomunikační vedení a výkony spojů</t>
  </si>
  <si>
    <t>OUPO FM Provozní výdaje ICT - spotřební materiál a movitý majetek ICT</t>
  </si>
  <si>
    <t>OUPO FM Provozní výdaje ICT - školení</t>
  </si>
  <si>
    <t>R2 - upravený rozpočet</t>
  </si>
  <si>
    <t>R1 - schválený rozpočet</t>
  </si>
  <si>
    <t>Legenda:</t>
  </si>
  <si>
    <t>ARCHIVNICTVÍ  CELKEM</t>
  </si>
  <si>
    <t>nerozepsané prostředky</t>
  </si>
  <si>
    <t>Zemský archiv Opava</t>
  </si>
  <si>
    <t>Moravský zemský archiv Brno</t>
  </si>
  <si>
    <t>Státní oblastní archiv Zámrsk</t>
  </si>
  <si>
    <t>Státní oblastní archiv Litoměřice</t>
  </si>
  <si>
    <t>Státní oblastní archiv Plzeň</t>
  </si>
  <si>
    <t>Státní oblastní archiv Třeboň</t>
  </si>
  <si>
    <t>Státní oblastní archiv Praha</t>
  </si>
  <si>
    <t>Povinné pojistné</t>
  </si>
  <si>
    <t xml:space="preserve">Výdaje za oblast archivnictví v roce 2007 </t>
  </si>
  <si>
    <t>Zpracovala: Ing. Bočanová, tel. 974 849 815</t>
  </si>
  <si>
    <t>Národní archiv</t>
  </si>
  <si>
    <t>Datum: 15. 2. 2008</t>
  </si>
  <si>
    <t>Přehled o čerpání rozpočtu Ministerstva vnitra v letech 2003 až 2007 včetně schváleného rozpočtu na rok 2008</t>
  </si>
  <si>
    <t>U k a z a t e l</t>
  </si>
  <si>
    <t>skutečnost  1993</t>
  </si>
  <si>
    <t>skutečnost  1994</t>
  </si>
  <si>
    <t>skutečnost  1995</t>
  </si>
  <si>
    <t>skutečnost  1996</t>
  </si>
  <si>
    <t>skutečnost  1997</t>
  </si>
  <si>
    <t>skutečnost  1998</t>
  </si>
  <si>
    <t>skutečnost  1999</t>
  </si>
  <si>
    <t>skutečnost   2000</t>
  </si>
  <si>
    <t>skutečnost  2001</t>
  </si>
  <si>
    <t>skutečnost  2002</t>
  </si>
  <si>
    <t>skutečnost      2003</t>
  </si>
  <si>
    <t>skutečnost      2004</t>
  </si>
  <si>
    <t>skutečnost      2005</t>
  </si>
  <si>
    <t>skutečnost   2006</t>
  </si>
  <si>
    <t>skutečnost   2007</t>
  </si>
  <si>
    <t>schválený rozpočet 2008</t>
  </si>
  <si>
    <t>Příjmy celkem</t>
  </si>
  <si>
    <t>v tom :  -  příjmy z pojistného a přísp. na státní politiku zaměstn.</t>
  </si>
  <si>
    <t xml:space="preserve">                z toho: pojistné na důchodové pojištění</t>
  </si>
  <si>
    <t xml:space="preserve">             -  nedaňové příjmy</t>
  </si>
  <si>
    <t>Výdaje celkem *)</t>
  </si>
  <si>
    <t>v tom: - výdaje na financ.progr. vč. niv souvisejících (PF)</t>
  </si>
  <si>
    <r>
      <t xml:space="preserve">            - výzkum a vývoj </t>
    </r>
    <r>
      <rPr>
        <b/>
        <vertAlign val="superscript"/>
        <sz val="11"/>
        <rFont val="Arial CE"/>
        <family val="0"/>
      </rPr>
      <t>*)</t>
    </r>
  </si>
  <si>
    <t xml:space="preserve">            - převod do rezervního fondu</t>
  </si>
  <si>
    <t>x</t>
  </si>
  <si>
    <t xml:space="preserve">            - běžné výdaje celkem</t>
  </si>
  <si>
    <t>v tom:</t>
  </si>
  <si>
    <t>Podíl mandatorních výdajů na běžných výdajích celkem (v%)</t>
  </si>
  <si>
    <t>Podíl ostatních výdajů na běžných výdajích celkem  (v%)</t>
  </si>
  <si>
    <t>OBV na pracovníka a rok  (v tis.Kč)</t>
  </si>
  <si>
    <t>Výdaje na PF + OBV</t>
  </si>
  <si>
    <t>Výdaje na PF + OBV na prac. a rok (v tis.Kč)</t>
  </si>
  <si>
    <t>HDP v běžných cenách</t>
  </si>
  <si>
    <t>Podíl celkových výdajů MV na HDP</t>
  </si>
  <si>
    <t>Od 1.7.2004 byla zřízena Finanční policie delimitací z Ministerstva financí - 255 pracovních míst.</t>
  </si>
  <si>
    <t>Podle metodiky MF byly pro rok 2005 z OBV vyvedeny prostředky ve výši 2 207 000 tis.Kč do programového financování a současně tyto byly podle pokynu MF kráceny o 450 000 tis.Kč.</t>
  </si>
  <si>
    <t>Olomouc CPS, Schweitzerova 91 - realizace opatření z EA</t>
  </si>
  <si>
    <t>UZ Mimoň - opatření z EA</t>
  </si>
  <si>
    <t xml:space="preserve">Olomouc ZL-areál Velvary-opatření z EA </t>
  </si>
  <si>
    <t>Olomouc ZL - opatření  z EA (výměna oken)</t>
  </si>
  <si>
    <t>Lázně Bohdaneč IOO - opatření z EA - 1.etapa</t>
  </si>
  <si>
    <t>Energetický audit stanice HZS Nymburk</t>
  </si>
  <si>
    <t>Energetický audit stanice HZS Mladá Boleslav</t>
  </si>
  <si>
    <t>Energetický audit stanice HZS Kladno</t>
  </si>
  <si>
    <t>Realizace opatření EA PS Strakonice</t>
  </si>
  <si>
    <t>Realizace opatření EA HZS Jčk krajské ředitelství</t>
  </si>
  <si>
    <t>CS Sokolov, Chelčického 1560 - odstranění závad dle EA - výměna oken, dvěří</t>
  </si>
  <si>
    <t>Karlovy Vary CPS, Sokolovská 108A - odstranění závad dle EA - rekonstrukce kotelny</t>
  </si>
  <si>
    <t>CZS Děčín - opatření dle EA</t>
  </si>
  <si>
    <t xml:space="preserve">Liberec , areál stanice - opatření z EA - plynofikace </t>
  </si>
  <si>
    <t>Opatření z EA - Účelové zařízení Malšovice</t>
  </si>
  <si>
    <t>Opatření z EA - CPS Hradec Králové</t>
  </si>
  <si>
    <t>EA PS Polička</t>
  </si>
  <si>
    <t>EA PS Králíky</t>
  </si>
  <si>
    <t>EA PS Přelouč - audit stavebního projektu</t>
  </si>
  <si>
    <t xml:space="preserve">Blansko PS - opatření z EA </t>
  </si>
  <si>
    <t xml:space="preserve">Tišnov ŠS - opatření z EA - 1. etapa vybudování kotelny </t>
  </si>
  <si>
    <t>Šumperk sklad - odstranění závad dle EA</t>
  </si>
  <si>
    <t>Krnov HS - energetický audit</t>
  </si>
  <si>
    <t>Opatření EA PS Nový Jičín</t>
  </si>
  <si>
    <t>Výměna kovových oken a oprava kovových vrat budovy A</t>
  </si>
  <si>
    <t>Svitavy PS - výměna ventilů ústředního vytápění</t>
  </si>
  <si>
    <t>CELKEM za program 214210</t>
  </si>
  <si>
    <t>Výstavba informačního systému krizového řízení</t>
  </si>
  <si>
    <t>Stavební úprava prostoru pro ISKŘ a zvláštní spojení</t>
  </si>
  <si>
    <t>CELKEM za program 214220</t>
  </si>
  <si>
    <t>Výpočetní technika pro IISSDE</t>
  </si>
  <si>
    <t>Změny aplikačního programového vybavení dopravně správních evidencí na základě požadavků MD</t>
  </si>
  <si>
    <t>Testování bezpečnosti systémů e-pasů s biometrií</t>
  </si>
  <si>
    <t>PKI – správa provozu klíčového hospodářství</t>
  </si>
  <si>
    <t>Připojení obcí na nový systém EO</t>
  </si>
  <si>
    <t>Komunikace systému CDBP se systémem ZP</t>
  </si>
  <si>
    <t>Upgrade programového vybavení registru vozidel</t>
  </si>
  <si>
    <t>Bezpečnostní směrnice</t>
  </si>
  <si>
    <t>Připojení externích subjektů k evidenci obyvatel</t>
  </si>
  <si>
    <t>PKI - konzultace problematiky správy provozu klíčového hospodářství v režimu Extended Access Control</t>
  </si>
  <si>
    <t>Studie metodologie procesního řízení výkonu státní správy v přenesené působnosti</t>
  </si>
  <si>
    <t>Úpravy procesních postupů výkonu státní správy v přenesené působnosti</t>
  </si>
  <si>
    <t>Úpravy procesních postupů výkonu státní správy v přenesené působnosti</t>
  </si>
  <si>
    <t>Rozvoj a zabezpečení provozu systémů e-PUSA a KEVIS</t>
  </si>
  <si>
    <t>Analytické studie projektového řízení a vývoje informačních systémů krajů</t>
  </si>
  <si>
    <t>Technická podpora a uživatelské služby nástrojů procesních analýz</t>
  </si>
  <si>
    <t>Počet</t>
  </si>
  <si>
    <t>Suma v Kč</t>
  </si>
  <si>
    <t>Živelná pohroma - škody - pořízení  RDST</t>
  </si>
  <si>
    <t>Živelná pohroma - oprava škod movitého majetku ICT</t>
  </si>
  <si>
    <t>Roudnice nad Labem PS - stavební úpravy objektu bývalé vodárny</t>
  </si>
  <si>
    <t>Žatec č.p. 768 - rekonstrukce PS</t>
  </si>
  <si>
    <t>Jílové u Prahy  - rekonstrukce stanice HZS</t>
  </si>
  <si>
    <t>Kolín, Ovčáry - stanice HZS č.32 - stavební část</t>
  </si>
  <si>
    <t>Rekonstrukce technického pracoviště - 1.etapa</t>
  </si>
  <si>
    <t>Praha 4 , Na Lysině 4/263 - rekonstrukce objektu účelového zařízení</t>
  </si>
  <si>
    <t>Stříbro PS - výstavba stanice</t>
  </si>
  <si>
    <t>OUPO Brno, Trnkova 85 - přístavba ubytovny B - severní křídlo</t>
  </si>
  <si>
    <t>České Budějovice HZS - rekonstrukce výjezdových garáží s nástavbou provozních místností pro výkon služby</t>
  </si>
  <si>
    <t>Mělník HZS - rekonstrukce garážových vrat</t>
  </si>
  <si>
    <t>Luhačovice stanice IZS - stavební úpravy</t>
  </si>
  <si>
    <t>FKSP - Rekreační chata Lísek č.17 - stavební úpravy</t>
  </si>
  <si>
    <t>Trhové Sviny PS - dodávka a montáž sekčních vrat</t>
  </si>
  <si>
    <t>Valašské Klobouky PS - výcvikové středisko</t>
  </si>
  <si>
    <t>Jihlava KŘ - rozšíření klimatizační soustavy technologické místnosti</t>
  </si>
  <si>
    <t>OZ Olomouc - výstavba garáže na výjezdové vozidlo</t>
  </si>
  <si>
    <t>IOO - Opravy a údržba nemovitého majetku</t>
  </si>
  <si>
    <t>OUPO BO - Opravy a údržba nemovitého majetku</t>
  </si>
  <si>
    <t>OUPO CV - Opravy a údržba nemovitého majetku</t>
  </si>
  <si>
    <t>OUPO FM Opravy a údržba nemovitého majetku</t>
  </si>
  <si>
    <t>TUPO Opravy a údržba nemovitého majetku</t>
  </si>
  <si>
    <t>ZL OL  Opravy a údržba nemovitého majetku</t>
  </si>
  <si>
    <t>Půdní vestavba Legerova</t>
  </si>
  <si>
    <t>a</t>
  </si>
  <si>
    <t>b</t>
  </si>
  <si>
    <t>CELKEM</t>
  </si>
  <si>
    <t>Investiční program resp. podprogram</t>
  </si>
  <si>
    <r>
      <t xml:space="preserve">2/ </t>
    </r>
    <r>
      <rPr>
        <sz val="10"/>
        <rFont val="Arial CE"/>
        <family val="2"/>
      </rPr>
      <t xml:space="preserve"> Územní pracoviště  OSS MV </t>
    </r>
  </si>
  <si>
    <t>správcem kapitoly a jím zřízenými OSS a příspěvkovými organizacemi</t>
  </si>
  <si>
    <t xml:space="preserve">Národní archiv
</t>
  </si>
  <si>
    <t xml:space="preserve">Složky MV </t>
  </si>
  <si>
    <t xml:space="preserve">    </t>
  </si>
  <si>
    <t>se stavem k 31. 12. 2007</t>
  </si>
  <si>
    <t>VPŠ a SPŠ MV  PRAHA</t>
  </si>
  <si>
    <t>VPŠ MV PARDUBICE</t>
  </si>
  <si>
    <r>
      <t xml:space="preserve">3/ </t>
    </r>
    <r>
      <rPr>
        <sz val="10"/>
        <rFont val="Arial CE"/>
        <family val="2"/>
      </rPr>
      <t>Příspěvková organizace odměňující své zaměstnance dle z. č. 262/2006 Sb.</t>
    </r>
  </si>
  <si>
    <t>v tis. Kč</t>
  </si>
  <si>
    <t>R1</t>
  </si>
  <si>
    <t>R2</t>
  </si>
  <si>
    <t>Policejní školství celkem</t>
  </si>
  <si>
    <t>Policejní akademie ČR</t>
  </si>
  <si>
    <r>
      <t xml:space="preserve">           - platy zaměstnanců a OPPP </t>
    </r>
    <r>
      <rPr>
        <vertAlign val="superscript"/>
        <sz val="11"/>
        <rFont val="Arial CE"/>
        <family val="0"/>
      </rPr>
      <t>*)</t>
    </r>
  </si>
  <si>
    <t xml:space="preserve">           - pojistné a FKSP</t>
  </si>
  <si>
    <t xml:space="preserve">           - dávky sociálního zabezpečení</t>
  </si>
  <si>
    <t xml:space="preserve">           - příspěvek na provoz PO</t>
  </si>
  <si>
    <t xml:space="preserve">           - dotace nestátním neziskovým organizacím</t>
  </si>
  <si>
    <t xml:space="preserve">           - ostatní běžné výdaje (OBV)</t>
  </si>
  <si>
    <t xml:space="preserve">Počet pracovníků OSS MV celkem </t>
  </si>
  <si>
    <t xml:space="preserve">         v tom: - policisté </t>
  </si>
  <si>
    <t xml:space="preserve">                    - občanští zaměstnanci</t>
  </si>
  <si>
    <t>Průměrná měsíční mzda pracovníků OSS MV celkem</t>
  </si>
  <si>
    <t xml:space="preserve">          z toho: -  policistů (hasičů)</t>
  </si>
  <si>
    <t xml:space="preserve">                      - občanských zaměstnanců</t>
  </si>
  <si>
    <t>Informativní údaje</t>
  </si>
  <si>
    <t>Vypracoval: Ing. Voříšek, tel. 974 849 228</t>
  </si>
  <si>
    <t>Kontroloval: Ing. Jásenský, tel. 974 849 809</t>
  </si>
  <si>
    <t>Vypracovala: Ing. Šoltová, tel. 974 849 811</t>
  </si>
  <si>
    <t>Kontroloval: Ing. Hudera, tel. 974 849 802</t>
  </si>
  <si>
    <t>Pro účely tohoto přehledu jsou za mandatorní výdaje považovány platy zaměstnanců a OPPP, pojistné a FKSP a dávky sociálního zabezpečení.</t>
  </si>
  <si>
    <t xml:space="preserve">Datum: 15. 2. 2008 </t>
  </si>
  <si>
    <t>Údaje o HDP vycházejí z podkladů MF (Státní závěrečné účty za jednotlivá léta a Návrh rozpočtu na rok 2008)</t>
  </si>
  <si>
    <t>*) ve skutečnosti jsou mzdové prostředky v oblasti výzkumu a vývoje zahrnuty v ukazateli "výzkum a vývoj" a současně "platy zaměstnanců a OPPP" =&gt; výdaje celkem neodpovídají součtu výdajů na financování programů vč. niv. souvisejících, výzkumu a vývoje, převod do rezervního fondu a ostatní běžné výdaje</t>
  </si>
  <si>
    <t>Kapitola: 314 - Ministerstvo vnitra</t>
  </si>
  <si>
    <t>Sociální dávky celkem</t>
  </si>
  <si>
    <t>Mzdové prostředky</t>
  </si>
  <si>
    <t>Zákonné odvody</t>
  </si>
  <si>
    <t>FKSP</t>
  </si>
  <si>
    <t>Ostatní běžné výdaje</t>
  </si>
  <si>
    <t>Výdaje na financování programů</t>
  </si>
  <si>
    <t>Výzkum a vývoj</t>
  </si>
  <si>
    <t>Převod</t>
  </si>
  <si>
    <t>VÝDAJE  CELKEM</t>
  </si>
  <si>
    <t>OSS</t>
  </si>
  <si>
    <t>čerpání</t>
  </si>
  <si>
    <t>do RF</t>
  </si>
  <si>
    <t>VPŠ a SPŠ MV Praha</t>
  </si>
  <si>
    <t>SPŠ MV Brno</t>
  </si>
  <si>
    <t>SPŠ MV Holešov</t>
  </si>
  <si>
    <t>SPŠ MV Jihlava</t>
  </si>
  <si>
    <t>VPŠ MV Pardubice</t>
  </si>
  <si>
    <t>SPŠ MV Ruzyně</t>
  </si>
  <si>
    <t>Muzeum PČR</t>
  </si>
  <si>
    <t>Výdajová oblast celkem</t>
  </si>
  <si>
    <t>Nerozepsané prostředky</t>
  </si>
  <si>
    <t>Tabulka č. 20</t>
  </si>
  <si>
    <t xml:space="preserve">           Tabulka č. 19</t>
  </si>
  <si>
    <t>Tabulka č. 18</t>
  </si>
  <si>
    <t>Přehled o stavu pohledávek k 31.12. 2007</t>
  </si>
  <si>
    <t>Stav pohledávek  k 31.12.2007</t>
  </si>
  <si>
    <t>Povolování splátek a odkladu placení</t>
  </si>
  <si>
    <t>P1000 - OOP Otrokovice, ul. Nám.3. května - recepce</t>
  </si>
  <si>
    <t>P1000 - OOP Rožnov pod Radhoštěm, ul. 5.května 599 - recepce</t>
  </si>
  <si>
    <t>P1000 - MŘP Plzeň, Klatovská čp.56 - recepce</t>
  </si>
  <si>
    <t>P1000 - OŘP DI Domažlice, Hruškova čp.152 - recepce</t>
  </si>
  <si>
    <t>Rekonstrukce opěrné zdi</t>
  </si>
  <si>
    <t>Klimatizace restaurátorské dílny</t>
  </si>
  <si>
    <t>Výměna ionizačních hlásičů v SOkA Olomouc</t>
  </si>
  <si>
    <t>Rekonstrukce střechy na Larischově vile Krnov)</t>
  </si>
  <si>
    <t>Údržba objetků Karnoly Krnov</t>
  </si>
  <si>
    <t>Rekonstrukce střechy v SOkA Nový Jičín</t>
  </si>
  <si>
    <t>Dálkové topení v SOkA Mělník, Na Podhoří</t>
  </si>
  <si>
    <t>Dělící příčky - Lysá nad Labem č. p. 6</t>
  </si>
  <si>
    <t>Rolety - Lysá nad Labem, Zámecká 6/13</t>
  </si>
  <si>
    <t>Boskovice PS - rekonstrukce brány</t>
  </si>
  <si>
    <t>Šumperk CPS - klimatizační zařízení technologie</t>
  </si>
  <si>
    <t>Jeseník PS - Klimatizační zařízení technologie</t>
  </si>
  <si>
    <t>Uherské Hradiště - zpevněné plochy</t>
  </si>
  <si>
    <t>Vsetín - rekonstrukce střechy stanice - havarijní stav</t>
  </si>
  <si>
    <t>Rekonstrukce hlavního vstupu budovy A</t>
  </si>
  <si>
    <t>SF-EU - prevence a řešení rizik, bezpečnost</t>
  </si>
  <si>
    <t>Rozšíření kabelového rozvodu technologické místnosti</t>
  </si>
  <si>
    <t xml:space="preserve">FKSP - Opravy a údržba nemovitého majetku HZS Jčk </t>
  </si>
  <si>
    <t xml:space="preserve">FKSP - Rokytnice nad Jizerou RS - zpracování studie </t>
  </si>
  <si>
    <t>KYRILL - Opravy a údržba nemovitého majetku</t>
  </si>
  <si>
    <t xml:space="preserve">FKSP - Opravy a údržba nemovitého majetku - objekty RS </t>
  </si>
  <si>
    <t xml:space="preserve">FKSP - Karlov rekreační objekt č.e.92 - rekonstrukce </t>
  </si>
  <si>
    <t>Frenštát pod Radhoštěm , chemická laboratoř - plynovodní přípojka, rekonstrukce kotelny a rozvodů</t>
  </si>
  <si>
    <t>OUPO F-M - šatna a sušárna OOPP objektu H1</t>
  </si>
  <si>
    <t xml:space="preserve">Příspěvek - Havlíčkův Brod PS - oplocení areálu Humpolecká 3606 </t>
  </si>
  <si>
    <t>Uničov PS - výstavba hřiště, dráhy a oplocení</t>
  </si>
  <si>
    <t>FKSP - Opravy a údržba nemovitého majetku HZS Olk</t>
  </si>
  <si>
    <t>Osvětlení přechodů pro chodce</t>
  </si>
  <si>
    <t>MKDS - Střekov</t>
  </si>
  <si>
    <t>Ukazatel okamžité rychlosti se statistikou</t>
  </si>
  <si>
    <t>ZPOMAL - umístění ukazatele okamžité rychlosti vozidel</t>
  </si>
  <si>
    <t>Rozšíření a propojení MKDS mezi městskou policií a Policií ČR</t>
  </si>
  <si>
    <t>Městský kamerový dohlížecí systém Zábřeh</t>
  </si>
  <si>
    <t>Bezpečně do školy, domů i za volantem</t>
  </si>
  <si>
    <t>Rozšíření MKDS ve městě Brně</t>
  </si>
  <si>
    <t>CELKEM za program 214050</t>
  </si>
  <si>
    <t>Pořízení a obnova, provozování ICT v roce 2007</t>
  </si>
  <si>
    <t>Pořízení ICT</t>
  </si>
  <si>
    <t>Reprodukce majetku ve správě Ministerstva informatiky ČR</t>
  </si>
  <si>
    <t>Pořízení a obnova vozového parku</t>
  </si>
  <si>
    <t>CELKEM za program 214080</t>
  </si>
  <si>
    <t>Praha 6, Ruzyně škola -požární zabezpečení objektu, EPS</t>
  </si>
  <si>
    <t>Hospodářská správa PP ČR</t>
  </si>
  <si>
    <t>Informační systém kontroly vozidel</t>
  </si>
  <si>
    <t>Národní vízový informační systém ČR</t>
  </si>
  <si>
    <t>Národní schengenský informační systém ČR</t>
  </si>
  <si>
    <t>Aktivní prvky LAN</t>
  </si>
  <si>
    <t>PČR Správa Jihomoravského kraje</t>
  </si>
  <si>
    <t>Telefonní ústředny</t>
  </si>
  <si>
    <t>Servery SCPP</t>
  </si>
  <si>
    <t>Switche a servery</t>
  </si>
  <si>
    <t>Telefonní ústředny digitální</t>
  </si>
  <si>
    <t>Servery</t>
  </si>
  <si>
    <t>Soubory zařízení CT</t>
  </si>
  <si>
    <t>Switche</t>
  </si>
  <si>
    <t>Integrovaný systém ochrany movitého kulturního dědictví</t>
  </si>
  <si>
    <t>Servisní zařízení pro zabezpečovací techniku</t>
  </si>
  <si>
    <t>Programové vybavení</t>
  </si>
  <si>
    <t>Servery a switche</t>
  </si>
  <si>
    <t>Telefonní ústředna s příslušenstvím</t>
  </si>
  <si>
    <t>Digitalizace KU 374 Klatovy</t>
  </si>
  <si>
    <t>Oznamování přestupků v blokovém řízení II</t>
  </si>
  <si>
    <t>Brno, Rybářská - rekonstrukce objektu - EKV, strukturovaná kabeláž, EZS</t>
  </si>
  <si>
    <t>Montážní soupravy k radiostanicím Matra</t>
  </si>
  <si>
    <t>Policejní prezídium ČR</t>
  </si>
  <si>
    <t>Praha 5, Zbraslav , objekt B - rekonstrukce EPS</t>
  </si>
  <si>
    <t>Výpočetní technika pro základní útvary</t>
  </si>
  <si>
    <t>Mobilní záznamová souprava</t>
  </si>
  <si>
    <t>Praha 1, Senovážné nám. 10 - strukturovaná kabeláž pro ÚOKFK SKPV</t>
  </si>
  <si>
    <t>Praha 1, Perštýn 11 - strukturovaná kabeláž</t>
  </si>
  <si>
    <t>Praha 6, Pelleova 21 - strukturovaná kabeláž</t>
  </si>
  <si>
    <t>OO PČR Brno - Bystrc 129 - nová výstavba - EZS, strukturovaná kabeláž</t>
  </si>
  <si>
    <t>Tablety pro bodový systém</t>
  </si>
  <si>
    <t>OO PČR Brno, ul. Příční - EKV, strukturovaná kabeláž</t>
  </si>
  <si>
    <t>Webový klient řídícího a komunikačního systému Dispečer - Maják 158</t>
  </si>
  <si>
    <t>P1000 Recepce Brno, Veveří - slaboproudé rozvody, EZS, EKV</t>
  </si>
  <si>
    <t>Operační systémy a klientské licence</t>
  </si>
  <si>
    <t>CZ040703 - ICT majetek-TF</t>
  </si>
  <si>
    <t>Elektronická komunikace s Rejstříkem trestů</t>
  </si>
  <si>
    <t xml:space="preserve">Celková možnost 
čerpání po zapojení mimorozpočto-  vých zdrojů
(sl. 2+3)        </t>
  </si>
  <si>
    <r>
      <t xml:space="preserve">4/ </t>
    </r>
    <r>
      <rPr>
        <sz val="10"/>
        <rFont val="Arial CE"/>
        <family val="0"/>
      </rPr>
      <t>Vč. územního pracoviště "Odbor archiv bezpečnostních složek MV"</t>
    </r>
  </si>
  <si>
    <t>Rozvoj a obnova materiálně-technické základny systému řízení MV</t>
  </si>
  <si>
    <t>Rozvoj a obnova materiálně-technické základny školství, vzdělávání a tělovýchovy</t>
  </si>
  <si>
    <t>Rozvoj a obnova materiálně-technické základny státních archivů</t>
  </si>
  <si>
    <t>Rozvoj a obnova materiálně-technické základny organizací služeb rezortu MV</t>
  </si>
  <si>
    <t>214080</t>
  </si>
  <si>
    <t>Rozvoj a obnova materiálně-technické základny Policie ČR</t>
  </si>
  <si>
    <t xml:space="preserve">Rozvoj a obnova materiálně-technické základny hasičského záchranného sboru </t>
  </si>
  <si>
    <t>214220</t>
  </si>
  <si>
    <t>Výstavba a rozvoj informačního systému krizového řízení</t>
  </si>
  <si>
    <t>Podpora rozvoje a obnovy materiálně-technické základny veřejné správy</t>
  </si>
  <si>
    <t>214420</t>
  </si>
  <si>
    <t>214510</t>
  </si>
  <si>
    <t>Rozvoj a obnova systému vládního utajeného spojení</t>
  </si>
  <si>
    <t>214910</t>
  </si>
  <si>
    <t xml:space="preserve">Výstavba informačních a komunikačních systémů a sítí MV </t>
  </si>
  <si>
    <t>Výstavba a obnova budov a staveb policejních útvarů</t>
  </si>
  <si>
    <t>Celkem</t>
  </si>
  <si>
    <t>Transfer přijatý z jiných kapitol</t>
  </si>
  <si>
    <t>Transfer předaný do jiných kapitol</t>
  </si>
  <si>
    <t>Celkem (včetně transferů)</t>
  </si>
  <si>
    <t>Datum: 14. 2. 2006</t>
  </si>
  <si>
    <t>Tabulka č. 13</t>
  </si>
  <si>
    <t>Vypracoval : Štěpánek, tel. 974 849 205</t>
  </si>
  <si>
    <t>Kontroloval: Ing. Šolta, tel. 974 849 818</t>
  </si>
  <si>
    <t>Výdaje účelově určené na financování programů reprodukce majetku - po organizačních součástech kapitoly MV</t>
  </si>
  <si>
    <t>Organizační součást kapitoly MV</t>
  </si>
  <si>
    <t>Program</t>
  </si>
  <si>
    <t>Čerpání celkem</t>
  </si>
  <si>
    <t>Převod do RF</t>
  </si>
  <si>
    <t>Policejní prezídium ČR celkem</t>
  </si>
  <si>
    <t>Hospodářská správa PP celkem</t>
  </si>
  <si>
    <t>PČR Správa hl. m. Prahy celkem</t>
  </si>
  <si>
    <t>PČR Správa Jihočeského kraje</t>
  </si>
  <si>
    <t>PČR Správa Jihočeského kraje celkem</t>
  </si>
  <si>
    <t>PČR Správa Jihomoravského kraje celkem</t>
  </si>
  <si>
    <t>PČR Správa Severočeského kraje celkem</t>
  </si>
  <si>
    <t>PČR Správa Severomoravského kraje celkem</t>
  </si>
  <si>
    <t>PČR Správa Středočeského kraje celkem</t>
  </si>
  <si>
    <t>PČR Správa Východočeského kraje celkem</t>
  </si>
  <si>
    <t>PČR Správa Západočeského kraje celkem</t>
  </si>
  <si>
    <t>Policie ČR celkem</t>
  </si>
  <si>
    <t>OSS MV</t>
  </si>
  <si>
    <t>OSS MV celkem</t>
  </si>
  <si>
    <t>Odbor sportu MV celkem</t>
  </si>
  <si>
    <t>GŘ HZS ČR celkem</t>
  </si>
  <si>
    <t>Organizační složka státu MV celkem</t>
  </si>
  <si>
    <t xml:space="preserve">FKSP - Opravy a údržba nemovitého majetku  - 3 rekreační objekty </t>
  </si>
  <si>
    <t>Rekonstrukce provozního zázemí polygonu Boreček</t>
  </si>
  <si>
    <t xml:space="preserve">Jeseník PS - EKV - jednotný krajský systém vstupu </t>
  </si>
  <si>
    <t xml:space="preserve">ÚO Sever (CPS Šumperk a PS Zábřeh) - EKV - jednotný krajský systém vstupu </t>
  </si>
  <si>
    <t xml:space="preserve">ÚO Přerov (CPS Přerov, PS Lipník,  PS Hranice, PS Kojetín) - EKV - jednotný krajský systém vstupu </t>
  </si>
  <si>
    <t>Vrátnice  u příjezdové komunikace</t>
  </si>
  <si>
    <t xml:space="preserve">Příspěvek - Opava HS - oprava rozvodů ÚT </t>
  </si>
  <si>
    <t>Jeseník PS, U Bělidla - klimatizace</t>
  </si>
  <si>
    <t>Rozšíření halové garáže, výstavba skladů a příjezdové komunikace</t>
  </si>
  <si>
    <t xml:space="preserve">FKSP - Opravy a údržba nemovitého majetku  - výměna žaluzií </t>
  </si>
  <si>
    <t>Dobruška PS - náhradní zdroj elektrické energie</t>
  </si>
  <si>
    <t xml:space="preserve">Příspěvek - Hrušovany nad Jevišovkou PS - zateplení střechy hlavní budovy </t>
  </si>
  <si>
    <t>Bruntál HS - klimatizace</t>
  </si>
  <si>
    <t>Roučmídův mlýn ŠRZ - oplocení části areálu</t>
  </si>
  <si>
    <t>PVS - 2. etapa rozvoje- Provoz virtuálního serveru Bezpečně Online - 2007</t>
  </si>
  <si>
    <t>PVS- 2 etapa - Vyhotovení studie proveditelnosti projektu TEDEX</t>
  </si>
  <si>
    <t>214423R002</t>
  </si>
  <si>
    <t xml:space="preserve">Portál veřejné správy - informační a transakční část 2007 </t>
  </si>
  <si>
    <t>214425P002</t>
  </si>
  <si>
    <t>Připojení knihoven 2006-2007</t>
  </si>
  <si>
    <t>CELKEM za program 214420</t>
  </si>
  <si>
    <t>IS VEGA - D</t>
  </si>
  <si>
    <t>CELKEM za program 214510</t>
  </si>
  <si>
    <t>MVP - Centrální tarifikace</t>
  </si>
  <si>
    <t>Rozšíření sítě UPON do stanice Kobylisy a Ládví pražského metra</t>
  </si>
  <si>
    <t>Doplnění ATM technologií</t>
  </si>
  <si>
    <t>Digitalizace KU 572 Chrudim</t>
  </si>
  <si>
    <t>Digitalizace KU 877  Mladá Boleslav</t>
  </si>
  <si>
    <t>Digitalizace KU 882 Praha - západ</t>
  </si>
  <si>
    <t>Servis mikrovlnných spojů resortu MV pro radiokomunikační systém PEGAS</t>
  </si>
  <si>
    <t>Pozáruční servis komunikačních systémů v resortu MV</t>
  </si>
  <si>
    <t>Přenos IP multicastu s obsahem jednání obou komor parlamentu</t>
  </si>
  <si>
    <t>Zajištění optimálního výkonu systému zpracování dat Omnitracker</t>
  </si>
  <si>
    <t>Dovybavení komunikačních uzlů - II. etapa</t>
  </si>
  <si>
    <t>Audit internetového uzlu MV</t>
  </si>
  <si>
    <t>Servis a opravy Dispečer</t>
  </si>
  <si>
    <t>Pozáruční servis přenosových zařízení</t>
  </si>
  <si>
    <t>Provoz internetového uzlu</t>
  </si>
  <si>
    <t>Zabezpečení provozuschopnosti mikrovlnných spojů</t>
  </si>
  <si>
    <t>Pronájem telekomunikačního vedení</t>
  </si>
  <si>
    <t>Servis a opravy přenosových zařízení</t>
  </si>
  <si>
    <t>Opravy a údržba vlastní kabelové sítě</t>
  </si>
  <si>
    <t>Opravy a údržba - bezpečnost sítí</t>
  </si>
  <si>
    <t>Školení specialistů</t>
  </si>
  <si>
    <t>Upgrade hlasové sítě 2007</t>
  </si>
  <si>
    <t>Výstavba PBX Prostějov</t>
  </si>
  <si>
    <t>Výstavba optických tras 2007</t>
  </si>
  <si>
    <t>Optické multiplexy 2007</t>
  </si>
  <si>
    <t>Napojení OŘ PČR RRL spojem</t>
  </si>
  <si>
    <t>Náhradní díly pro PBX</t>
  </si>
  <si>
    <t>SF-EU Širokopásmové sítě pro běžnou i krizovou komunikaci státní správy, měst a obcí - IOP</t>
  </si>
  <si>
    <t>Vysílání internetového Radio Vnitro</t>
  </si>
  <si>
    <t>Pronájem optických vláken typu Single Mode</t>
  </si>
  <si>
    <t>Datové služby</t>
  </si>
  <si>
    <t>Hlasové služby</t>
  </si>
  <si>
    <t>SISone4all Připojení letišť</t>
  </si>
  <si>
    <t>SISone4all Připojení hraničních přechodů</t>
  </si>
  <si>
    <t>Centrální místo služeb - I. etapa - 2007</t>
  </si>
  <si>
    <t>Studie realizovatelnosti WiMAX</t>
  </si>
  <si>
    <t>MW spoj pro Pegas</t>
  </si>
  <si>
    <t>Komunikační napojení centra Schwandorf</t>
  </si>
  <si>
    <t>MVP - Mobilní IP - II. etapa</t>
  </si>
  <si>
    <t>Implementace QoS, bezpečnost</t>
  </si>
  <si>
    <t>Obměna routerů</t>
  </si>
  <si>
    <t>SIS - Propojení na SISNET</t>
  </si>
  <si>
    <t>Rozšíření datové sítě</t>
  </si>
  <si>
    <t>Upgrade přenosu datagramů páteřní sítě</t>
  </si>
  <si>
    <t>SISone4all Zabezpečená datová komunikace</t>
  </si>
  <si>
    <t>SISone4all Bezpečnost datových sítí</t>
  </si>
  <si>
    <t>Opravy a údržba radiokomunikačního systému PEGAS</t>
  </si>
  <si>
    <t>Rozšíření infrastruktury Pegas</t>
  </si>
  <si>
    <t>Radiokomunikační systém Pegas - bezpečnostní projekt</t>
  </si>
  <si>
    <t>Školení Pegas</t>
  </si>
  <si>
    <t>Obměna infrastruktury PEGAS</t>
  </si>
  <si>
    <t>Spotřební materiály pro PEGAS</t>
  </si>
  <si>
    <t>Bezpečnostní projekt PEGAS II</t>
  </si>
  <si>
    <t>Platby za povolení k provozování radiokomunikačních zařízení MV</t>
  </si>
  <si>
    <t>SF-EU Obměna a doplnění rediokomunikačního systému složek PEGAS - IOP</t>
  </si>
  <si>
    <t>Optimalizace infrastruktury PEGAS</t>
  </si>
  <si>
    <t>Provozní optimalizace sítě Pegas</t>
  </si>
  <si>
    <t>Pegas - implementace systémové verze 35.07 a rozšíření pokrytí</t>
  </si>
  <si>
    <t>Obměna technologie výukového pracoviště Pegas</t>
  </si>
  <si>
    <t>Koncová zařízení Pegas pro SCPP</t>
  </si>
  <si>
    <t>Rozšíření uzlu AVL sítě PEGAS</t>
  </si>
  <si>
    <t xml:space="preserve">P1000 - Výpočetní technika pro recepce </t>
  </si>
  <si>
    <t xml:space="preserve">FKSP - Televizní příjmače </t>
  </si>
  <si>
    <t>Software</t>
  </si>
  <si>
    <t>FKSP - Opravy a údržba CT</t>
  </si>
  <si>
    <t>PEU - Záznamová technika</t>
  </si>
  <si>
    <t>Brno, Obilný trh - rozšíření strukturované kabeláže</t>
  </si>
  <si>
    <t>Náhradní díly a příslušenství pro radiový systém PEGAS</t>
  </si>
  <si>
    <t>Oprava a údržba radiového systému VKV Simplex</t>
  </si>
  <si>
    <t xml:space="preserve">Pořízení SW </t>
  </si>
  <si>
    <t>DAR-Obměna ICT</t>
  </si>
  <si>
    <t>OŘP Benešov, K Pazderně 906 - strukturovaná kabeláž</t>
  </si>
  <si>
    <t>PČR SKPV Kolín, Politických vězňů 109/20 - strukturovaná kabeláž</t>
  </si>
  <si>
    <t>OŘP Rakovník, Poštovní ul. 241 - strukturovaná kabeláž</t>
  </si>
  <si>
    <t>Mobilní telefony</t>
  </si>
  <si>
    <t>SCPP - Mobilní telefony a GPS</t>
  </si>
  <si>
    <t>Jehličková tiskárna</t>
  </si>
  <si>
    <t>PK-Speciální výslechové místnosti</t>
  </si>
  <si>
    <t>Provozní výdaje ICT - spotřební materiál, software</t>
  </si>
  <si>
    <t>Provozní výdaje ICT (spotřební mateiály) a na Movitý majetek ICT</t>
  </si>
  <si>
    <t>SPŠ Jihlava</t>
  </si>
  <si>
    <t>Oprava a údržba movitého majetku - Informační a komunikační technologie</t>
  </si>
  <si>
    <t>Provozní výdaje na ICT - pronájem za telekomunikační vedení a výkony spojů</t>
  </si>
  <si>
    <t>Koncová zařízení ICT</t>
  </si>
  <si>
    <t>Prov.výdaje na ICT-pronájem za tel.ved.a výk.spojů</t>
  </si>
  <si>
    <t>Prov.výdaje ICT (spotř.mat.) a na Movitý majetek ICT</t>
  </si>
  <si>
    <t>SQL server 2005 per procesor</t>
  </si>
  <si>
    <t>VPŠ a SPŠ Praha</t>
  </si>
  <si>
    <t>AuditPro</t>
  </si>
  <si>
    <t>Modernizace TÚ PBX Ericsson MD 110</t>
  </si>
  <si>
    <t>Výpočetní technika (PC grafický)</t>
  </si>
  <si>
    <t>Interaktivní tabule</t>
  </si>
  <si>
    <t>Audiovizuální a telekomunikační technika</t>
  </si>
  <si>
    <t>Koncová zařízení IT</t>
  </si>
  <si>
    <t>Software IT</t>
  </si>
  <si>
    <t>Nákup služeb IT</t>
  </si>
  <si>
    <t>Výpočetní technika</t>
  </si>
  <si>
    <t>SPŠ Praha Ruzyně</t>
  </si>
  <si>
    <t>Komunikační (spojovací) technika</t>
  </si>
  <si>
    <t>Provozní výdaje ICT(spotřební materiály) a na movitý majetek ICT</t>
  </si>
  <si>
    <t>Kamkordér mini DV,DVD,3CCD</t>
  </si>
  <si>
    <t>Notebook</t>
  </si>
  <si>
    <t>Videorekordér mini DV a DV</t>
  </si>
  <si>
    <t>Digitální přenos obrazu</t>
  </si>
  <si>
    <t>Videorekordér  diskový s HDD a zobrazovačem</t>
  </si>
  <si>
    <t>Videowalkman mini DV</t>
  </si>
  <si>
    <t>Opravy a údržba movitého majetku - ICT</t>
  </si>
  <si>
    <t>Provozní výdaje na ICT (pron.tel.ved. a výk.spojů)</t>
  </si>
  <si>
    <t>Provozní výdaje ICT - školení</t>
  </si>
  <si>
    <t>Rekonstrukce průmyslové televize</t>
  </si>
  <si>
    <t>Oprava a údržba movitého majetku -  ICT</t>
  </si>
  <si>
    <t>Provozní výdaje ICT (spotřební materiály) a na Mov.majetek ICT</t>
  </si>
  <si>
    <t>Odbor sportu MV</t>
  </si>
  <si>
    <t>ICT technika</t>
  </si>
  <si>
    <t>Nákup televizorů</t>
  </si>
  <si>
    <t>Snímač čárového kódu</t>
  </si>
  <si>
    <t>Projektor multimediální</t>
  </si>
  <si>
    <t>Pořízení programového vybavení</t>
  </si>
  <si>
    <t>Systém kamerového snímání</t>
  </si>
  <si>
    <t>Datová síť ve 2. NP budovy školy</t>
  </si>
  <si>
    <t>Nákup software</t>
  </si>
  <si>
    <t>Ústředna rozhlasová</t>
  </si>
  <si>
    <t>Kartový stravovací systém</t>
  </si>
  <si>
    <t>Dovybavení učebny pro výuku kriminální zpravodajské analýzy</t>
  </si>
  <si>
    <t>Obměna výpočetní techniky - část č. 1</t>
  </si>
  <si>
    <t>Obměna výpočetní techniky - část č. 2</t>
  </si>
  <si>
    <t>Tabulka č. 15</t>
  </si>
  <si>
    <t>Vypracovala: Ing. Meluzinová, tel. 974 849 662</t>
  </si>
  <si>
    <t>Balková - výstavba výcvikového střediska služebních psů a rekonstrukce víceúčelového sálu</t>
  </si>
  <si>
    <t>OO PČR Stříbro - změna topného media</t>
  </si>
  <si>
    <t>OŘ PČR Jindřichův Hradec, Miřinovského 567 - úpravy části objektupo Okresním soudu - II. etapa</t>
  </si>
  <si>
    <t>FKSP - ÚZ  PČR S Včk Kounov čp. 1 - vybudování sauny</t>
  </si>
  <si>
    <t>OŘ PČR Kutná Hora - stavební oprava ohradní kamenné zdi</t>
  </si>
  <si>
    <t xml:space="preserve">Ústí nad Labem, Lidické nám. 899/9 - zateplení objektu včetně fasádních úprav a úprav pochůzkové části </t>
  </si>
  <si>
    <t>OOP Turnov, Žižkova 1871 - stavební úpravy objektu</t>
  </si>
  <si>
    <t>OO PČR 3 Hradec Králové, ul. Pod Strání - novostavba</t>
  </si>
  <si>
    <t>OO PČR Bruntál, Sladovnická 1471 - Program mobility pro všechny</t>
  </si>
  <si>
    <t>Praha 1, Senovážné nám. 10- stavební úpravy pro ÚOKFK SKPV</t>
  </si>
  <si>
    <t>Praha 6, Ruzyně - hangár D - částečná rekonstrukce</t>
  </si>
  <si>
    <t>Praha 6, Pelleova 21 - stavební úpravy pro pyrotechniky</t>
  </si>
  <si>
    <t>Praha 5, Zbraslav - vybudování sociálního zařízení v obj. 01.3 a 01.5</t>
  </si>
  <si>
    <t>P1000 - OO PČR Rakovník, Husovo nám. 116 - recepce</t>
  </si>
  <si>
    <t>P1000 - OO PČR České Budějovice, ul. 28.října - recepce</t>
  </si>
  <si>
    <t>P1000 - OOP Karlovy Vary - město - recepce</t>
  </si>
  <si>
    <t>OO PČR Brno, ul. Příční - stavební úpravy - model EFQM</t>
  </si>
  <si>
    <t>P1000 - OO PČR Ostrava - Zábřeh II. Dr.Martínka čp.1408 - stavební úpravy objektu - model EFQM</t>
  </si>
  <si>
    <t>OŘ PČR Bruntál, Partyzánská 74 - Program mobility pro všechny</t>
  </si>
  <si>
    <t>OOP ČR Pelhřimov - rekonstrukce</t>
  </si>
  <si>
    <t>OOP Pardubice 2, Polabiny, Bělehradská 28 - stavební úpravy objektu</t>
  </si>
  <si>
    <t>OOP Pardubice 3, Dubina, J. Zajíce 946 - stavební úpravy objektu</t>
  </si>
  <si>
    <t>Areál MV ČR Hřešihlavy - stavební úpravy</t>
  </si>
  <si>
    <t>OO PČR České Budějovice, ul. 28.října - rekonstrukce osobního výtahu</t>
  </si>
  <si>
    <t>Výstavba zděné garáže pro sanitní automobil ZÚ PČR SJčk České Budějovice</t>
  </si>
  <si>
    <t>P1000  - OŘP Jihlava, ul. Vrchlického 46 - recepce</t>
  </si>
  <si>
    <t>P1000 Stavební úpravy Recepce OO PČR Mariánské Lázně</t>
  </si>
  <si>
    <t>P1000 OOP Brno, ul. Veveří 482 - recepce</t>
  </si>
  <si>
    <t>St.připravenost pro instalaci pístových zvedáků v obj. autodílen PČR SJčk, Č.Budějovice, Nerudova</t>
  </si>
  <si>
    <t>Praha 8, Ďáblická 510 - obnova stávající čerpací stanice PHM</t>
  </si>
  <si>
    <t>Praha 4, Kongresová 2 - obnova stávající čerpací stanice PHM</t>
  </si>
  <si>
    <t>Praha 6, Aviatická - parkovací systém</t>
  </si>
  <si>
    <t>Praha 5 , areál Zbraslav -  stavební úpravy v obj. 01.2 a 01.4</t>
  </si>
  <si>
    <t>Tuchoměřice - výkup pozemku par. č. 813</t>
  </si>
  <si>
    <t>SZK PČR, OKTE - stavební úpravy</t>
  </si>
  <si>
    <t>MŘ PČR Plzeň - rekonstrukce 1.NP PORS</t>
  </si>
  <si>
    <t>OŘ PČR Havlíčkův Brod - rekonstrukce elektroinstalace</t>
  </si>
  <si>
    <t>OŘP Svitavy, Purkyňova 1907 - rekonstrukce a modernizace objektu</t>
  </si>
  <si>
    <t>Rekonstrukce střelnice ve Vrahovicích</t>
  </si>
  <si>
    <t>SF-EU Otevřený typ recepcí</t>
  </si>
  <si>
    <t>SF-EU Projektová příprava výstavby IOS PČR Č.Budějovice</t>
  </si>
  <si>
    <t>Výstavba OŘP Liberec - zastavovací a objemová studie</t>
  </si>
  <si>
    <t>SF-EU Projektová příprava výstavba IOS PČR Ústí nad Labem</t>
  </si>
  <si>
    <t>SF-EU Projektová příprava výstavby IOS PČR Hradec Králové</t>
  </si>
  <si>
    <t>SF-EU Projektová příprava výstavby IOS PČR Pardubice</t>
  </si>
  <si>
    <t>SF-EU Projektová příprava výstavby IOS PČR Zlín</t>
  </si>
  <si>
    <t>SF-EU Projektová příprava výstavba IOS PČR Brno</t>
  </si>
  <si>
    <t>SF-EU Projektová příprava výstavby IOS PČR Olomouc</t>
  </si>
  <si>
    <t>P1000 Reprodukce nemovitého majetku služeben PČR</t>
  </si>
  <si>
    <t>Hradec Králové, Věkoše - výkup objektu truhlárny</t>
  </si>
  <si>
    <t>Školní policejní středisko Domažlice - stavební úpravy</t>
  </si>
  <si>
    <t>P1000 - Praha 1, Benediktská 692/1 - stavební úpravy</t>
  </si>
  <si>
    <t>SPŠ  MV BRNO</t>
  </si>
  <si>
    <t>Á</t>
  </si>
  <si>
    <t>Státní oblastní archiv
v Třeboni</t>
  </si>
  <si>
    <t>Jihočeský kraj</t>
  </si>
  <si>
    <t>Generální ředitelství HZS  ČR</t>
  </si>
  <si>
    <t>SPŠ MV  HOLEŠOV</t>
  </si>
  <si>
    <t>Státní oblastní archiv
v Plzni</t>
  </si>
  <si>
    <t>Upgrade telefonní ústředny</t>
  </si>
  <si>
    <t>Spotřební materiály a movitý majetek ICT</t>
  </si>
  <si>
    <t>Reprodukce a obnova majektu ICT</t>
  </si>
  <si>
    <t>Upgrade Alcatel</t>
  </si>
  <si>
    <t>Rozšíření LAN</t>
  </si>
  <si>
    <t>Strukturovaná kabeláž na PS Most</t>
  </si>
  <si>
    <t>Servery pro ÚO</t>
  </si>
  <si>
    <t>Technologické PC pro ÚO</t>
  </si>
  <si>
    <t>Technologie na ovládání požárních stanic</t>
  </si>
  <si>
    <t>Rozšíření UPS na KOPIS</t>
  </si>
  <si>
    <t>UPS pro OPIS CV</t>
  </si>
  <si>
    <t>Kamerový systém pro PS</t>
  </si>
  <si>
    <t>Navigace do výjezdových vozidel</t>
  </si>
  <si>
    <t>Zařízení pro monitorování a zabezpečení sítí</t>
  </si>
  <si>
    <t>Agregace akcí</t>
  </si>
  <si>
    <t>Žatec ÚO čp. 768 - rekonstrukce PS - strukturovaná kabeláž</t>
  </si>
  <si>
    <t>Dovybavení OPIS Česká Lípa</t>
  </si>
  <si>
    <t>Propojení OPIS x Pegas Jablonec nad Nisou</t>
  </si>
  <si>
    <t>Pořízení terminálu RCT</t>
  </si>
  <si>
    <t>Pořízení elektronických sirén pro JSVV</t>
  </si>
  <si>
    <t>Pořízení drobného dlouhodobého majetku</t>
  </si>
  <si>
    <t>Upgrade technologií KOPIS</t>
  </si>
  <si>
    <t>Elektronické zpracování dokumentů</t>
  </si>
  <si>
    <t>Aplikační servery</t>
  </si>
  <si>
    <t>Optická trasa</t>
  </si>
  <si>
    <t>Kamerový zabezpečovací systém</t>
  </si>
  <si>
    <t>Integrace technologií telefonní ústředny</t>
  </si>
  <si>
    <t>Navigace GPS</t>
  </si>
  <si>
    <t>Poštovní server</t>
  </si>
  <si>
    <t>Systém svolávání jednotek PO</t>
  </si>
  <si>
    <t>Pořízení softwarového vybavení</t>
  </si>
  <si>
    <t>Pořízení komunikační techniky</t>
  </si>
  <si>
    <t>Pořízení a obnova majetku</t>
  </si>
  <si>
    <t>Integrace PEGAS do technologií KOPIS</t>
  </si>
  <si>
    <t>Upgrade IT na KOPIS</t>
  </si>
  <si>
    <t>Pořízení radiostanic</t>
  </si>
  <si>
    <t xml:space="preserve">Nákup elektronických sirén  a budování sirén pro svolání JPO </t>
  </si>
  <si>
    <t>Budování sirén pro svolávání JPO</t>
  </si>
  <si>
    <t>Software pro elektronickou podatelnu, oběh a archivaci dokumentů</t>
  </si>
  <si>
    <t>Pořízení elektronických sirén a zařízení pro svolání JPO</t>
  </si>
  <si>
    <t>Pořízení a upgrade IT na KOPIS  včetně prvků  pro bezpečnostní politiku sítě</t>
  </si>
  <si>
    <t>Upgrade IT KOPIS a IS HZS MSK</t>
  </si>
  <si>
    <t>Bezpečnostní politika IT - pořízení aktivních prvků sítě</t>
  </si>
  <si>
    <t>Bezpečnostní politika IT - upgrade antivirového systému</t>
  </si>
  <si>
    <t>Bezpečnostní politika IT - pořízení serverů pro KŘ a ÚO</t>
  </si>
  <si>
    <t>Upgrade IT na  krajském OPIS</t>
  </si>
  <si>
    <t>Bezpečnostní politika IT</t>
  </si>
  <si>
    <t>Elektronická siréna</t>
  </si>
  <si>
    <t>Upgrade databázového serveru ORACLE</t>
  </si>
  <si>
    <t>Server Domino - záložní</t>
  </si>
  <si>
    <t>Přístupový systém na požární stanici</t>
  </si>
  <si>
    <t>SOŠ a VOŠ PO Frýdek-Místek</t>
  </si>
  <si>
    <t xml:space="preserve">Provozní výdaje ICT - spotřební materiál a movitý majetek ICT        </t>
  </si>
  <si>
    <t>Stříbro PS - EZS</t>
  </si>
  <si>
    <t>Stříbro PS - strukturovaná kabeláž</t>
  </si>
  <si>
    <t>ICT - Pořízení majetku</t>
  </si>
  <si>
    <t>OZ OL - Pořízení majetku</t>
  </si>
  <si>
    <t>Provozní výdaje ICT - spotřební materiál a movitý majetek ICT</t>
  </si>
  <si>
    <t>SW - Jednotný systém dopravních informací</t>
  </si>
  <si>
    <t>Pořízení přijímačů MSKP</t>
  </si>
  <si>
    <t>Pořízení koncentrátorů MSKP</t>
  </si>
  <si>
    <t>Rozšíření aplikací VEMA na platformu V3</t>
  </si>
  <si>
    <t xml:space="preserve">Optická trasa </t>
  </si>
  <si>
    <t xml:space="preserve">Optické propojení HZS LK a PČR </t>
  </si>
  <si>
    <t xml:space="preserve">Optické propojení HZS MSK a PČR </t>
  </si>
  <si>
    <t>Rozšíření využitelnosti PBX Kloknerova</t>
  </si>
  <si>
    <t>Provoz TCTV 112</t>
  </si>
  <si>
    <t>Telefonní pobočková ústředna</t>
  </si>
  <si>
    <t>Upgrade SW - Spark verze 1.2</t>
  </si>
  <si>
    <t>KYRILL - Provozní výdaje ICT</t>
  </si>
  <si>
    <t>Praha 6, Pelleova 21 - zajištění sálů SIS a VIS (nástěnné klimatizace)</t>
  </si>
  <si>
    <t>FKSP - Jankov DT - výstavba kuchyně s jídelnou + trafostanice</t>
  </si>
  <si>
    <t>FKSP - Paběnice - úprava místnosti č.107 na společnou kuchyň</t>
  </si>
  <si>
    <t>FKSP - Opravy a údržba nemovitého majetku</t>
  </si>
  <si>
    <t>P1000 - PČR S Stčk - Projektové dokumentace -  recepce</t>
  </si>
  <si>
    <t>P1000 - PČR S Jmk - projektové dokumentace - recepce</t>
  </si>
  <si>
    <t>P1000 Náklady na projekty a vybudování recepcí</t>
  </si>
  <si>
    <t>Praha 7, Strojnická 27 - školící a jednací centrum SIRENE</t>
  </si>
  <si>
    <t>P1000 - OOP Ostrava 1, ul. Masná 3 - recepce - I.typ</t>
  </si>
  <si>
    <t>P1000 - OOP Frýdek-Místek, Hlavní třída 110 - recepce - I.typ</t>
  </si>
  <si>
    <t>P1000 - OOP Olomouc 2, Heyrovského 470 - recepce - II.typ</t>
  </si>
  <si>
    <t>P1000 - OOP Nový Jičín, Vančurova 704 - recepce - I.typ</t>
  </si>
  <si>
    <t>P1000 - OOP Hlučín, Dr.Ed.Beneše 217 - recepce - II. typ</t>
  </si>
  <si>
    <t>P1000 - OOP Havířov 1, Sv.Čecha 539 - recepce - II. typ</t>
  </si>
  <si>
    <t>P1000 - OOP Krnov, Albrechtice 857 - recepce - II. typ</t>
  </si>
  <si>
    <t>P1000 - OOP Zábřeh na Moravě, Postřelmovská 7 - recepce - II. typ</t>
  </si>
  <si>
    <t>P1000  - OOP Uničov, Gen.Svobody 1214 - recepce - III. typ</t>
  </si>
  <si>
    <t>P1000 - OŘP Ústí nad Labem, Horova 5/1704 - recepce</t>
  </si>
  <si>
    <t>P1000 - OOP Litoměřice, Stránského 811/1 - recepce</t>
  </si>
  <si>
    <t>P1000 - OOP Jablonec nad Nisou, 5. května 4258/60 - recepce</t>
  </si>
  <si>
    <t>P1000 - OOP Děčín, Tržní 165/7 - recepce</t>
  </si>
  <si>
    <t>P1000 - OOP Lovosice, Žižkova 469/8 - recepce</t>
  </si>
  <si>
    <t>P1000 - Praha 4, Durychova 40/671 - recepce</t>
  </si>
  <si>
    <t>P1000 - Praha 3, Koněvova 103/2743 - recepce</t>
  </si>
  <si>
    <t>P1000 - Praha 8, Lodžská 5/750 - recepce</t>
  </si>
  <si>
    <t>OOP Řevnice - kanalizační přípojka</t>
  </si>
  <si>
    <t>Nepomuk - cisternová automobilová stříkačka</t>
  </si>
  <si>
    <t>BYTOVÁ SPRÁVA  MV</t>
  </si>
  <si>
    <t>R</t>
  </si>
  <si>
    <t xml:space="preserve">P ČR Správa  Západočeského kraje </t>
  </si>
  <si>
    <t>Y</t>
  </si>
  <si>
    <t>kraj Vysočina</t>
  </si>
  <si>
    <t>SPRÁVA UPRCH. ZAŘÍZENÍ MV</t>
  </si>
  <si>
    <t>TISKÁRNA   MV</t>
  </si>
  <si>
    <t xml:space="preserve">P ČR Správa Severočeského kraje </t>
  </si>
  <si>
    <t>Organizační schéma kapitoly 314 - Ministerstva vnitra s vyjádřením kompetenčního uspořádání mezi</t>
  </si>
  <si>
    <t xml:space="preserve"> MINISTERSTVO</t>
  </si>
  <si>
    <t xml:space="preserve"> VNITRA  ČR</t>
  </si>
  <si>
    <t>ORGANIZAČNÍ</t>
  </si>
  <si>
    <t>1/</t>
  </si>
  <si>
    <t>ORGANIZAČNÍ SLOŽKY</t>
  </si>
  <si>
    <t>OSTATNÍ ORGANIZAČNÍ</t>
  </si>
  <si>
    <t>STÁTNÍ</t>
  </si>
  <si>
    <t>SLOŽKA STÁTU  MV</t>
  </si>
  <si>
    <t>STÁTU - ARCHIVY</t>
  </si>
  <si>
    <t>STÁTU - HZS krajů</t>
  </si>
  <si>
    <t xml:space="preserve"> SLOŽKY STÁTU</t>
  </si>
  <si>
    <t>PŘÍSPĚVKOVÉ  ORGANIZACE</t>
  </si>
  <si>
    <t xml:space="preserve">Jednotlivá územní pracoviště OSS MV
</t>
  </si>
  <si>
    <t>2/</t>
  </si>
  <si>
    <t>S</t>
  </si>
  <si>
    <t xml:space="preserve"> Praha hl.m.</t>
  </si>
  <si>
    <t>Ústřední orgán státní správy</t>
  </si>
  <si>
    <t>T</t>
  </si>
  <si>
    <t>Státní oblastní archiv
v Praze</t>
  </si>
  <si>
    <t>Středočeský kraj</t>
  </si>
  <si>
    <t>Jihomoravský kraj</t>
  </si>
  <si>
    <t xml:space="preserve">INSTITUT pro MS Praha  </t>
  </si>
  <si>
    <t>V</t>
  </si>
  <si>
    <t xml:space="preserve">P ČR Správa Východočeského kraje </t>
  </si>
  <si>
    <t>Zlínský kraj</t>
  </si>
  <si>
    <t>I</t>
  </si>
  <si>
    <t>A</t>
  </si>
  <si>
    <t>P ČR Správa Jihomoravského kraje</t>
  </si>
  <si>
    <t>C</t>
  </si>
  <si>
    <t>Olomoucký kraj</t>
  </si>
  <si>
    <t xml:space="preserve">P ČR Správa Severomoravského kraje </t>
  </si>
  <si>
    <t>E</t>
  </si>
  <si>
    <t>Moravskoslezský kraj</t>
  </si>
  <si>
    <t>ORCN Svojšice</t>
  </si>
  <si>
    <t>Poznámka:</t>
  </si>
  <si>
    <r>
      <t>1/</t>
    </r>
    <r>
      <rPr>
        <sz val="10"/>
        <rFont val="Arial CE"/>
        <family val="2"/>
      </rPr>
      <t xml:space="preserve">  Hospodaří jako organizační složka státu MV</t>
    </r>
  </si>
  <si>
    <t>Přehled o  ostatních dávkách, dávkách nemocenského pojištění a  výdajích na zvýšení důchodů pro bezmocnost v roce 2007</t>
  </si>
  <si>
    <t xml:space="preserve"> </t>
  </si>
  <si>
    <t xml:space="preserve">Schválený rozpočet            (R1)               </t>
  </si>
  <si>
    <t xml:space="preserve">Celková možnost čerpání                    (sl. 2+3)          </t>
  </si>
  <si>
    <t>Čerpání v roce 2007                                (bez převodu do RF v roce 2007)</t>
  </si>
  <si>
    <t>Převedeno do RF v roce 2007</t>
  </si>
  <si>
    <t>Čerpání v roce 2007 celkem                                (vč. převodu do RF v roce 2007) (sl.5+6)</t>
  </si>
  <si>
    <t>Porovnání čerpání v roce 2007 ve vztahu k celkové možnosti čerpání</t>
  </si>
  <si>
    <t xml:space="preserve">Čerpání v roce 2006             </t>
  </si>
  <si>
    <t>Počet
příjemců  dávky k 31.12. 2007</t>
  </si>
  <si>
    <t>Počet
příjemců dávky k 31.12.2006</t>
  </si>
  <si>
    <t xml:space="preserve">Průměrná výše dávky v roce 2007       </t>
  </si>
  <si>
    <t xml:space="preserve">Průměrná výše dávky v roce 2006      </t>
  </si>
  <si>
    <t>bez převodu do RF v roce 2007                (sl. 5-4)</t>
  </si>
  <si>
    <t>16</t>
  </si>
  <si>
    <t>17</t>
  </si>
  <si>
    <t>Ostatní dávky celkem</t>
  </si>
  <si>
    <t>(účet s předčíslím 3025)</t>
  </si>
  <si>
    <t>Výsluhový příspěvek</t>
  </si>
  <si>
    <t>Platové vyrovnání</t>
  </si>
  <si>
    <t>Úmrtné</t>
  </si>
  <si>
    <t>Odchodné</t>
  </si>
  <si>
    <t>Dávky nemocenského pojištění a výdaje na zvýšení důchodů pro bezmocnost celkem</t>
  </si>
  <si>
    <t>(účet s předčíslím 027)</t>
  </si>
  <si>
    <t>Nemocenské</t>
  </si>
  <si>
    <t>Peněžitá pomoc v mateřství</t>
  </si>
  <si>
    <t>Příspěvek v těhot. a mateřství</t>
  </si>
  <si>
    <t>Zvýšení důchodu pro bezmoc.</t>
  </si>
  <si>
    <t>Dávky jinde nezařazené</t>
  </si>
  <si>
    <r>
      <t xml:space="preserve">Čerpání v roce 2007 </t>
    </r>
    <r>
      <rPr>
        <sz val="14"/>
        <rFont val="Arial"/>
        <family val="2"/>
      </rPr>
      <t xml:space="preserve"> </t>
    </r>
  </si>
  <si>
    <r>
      <t>Čerpání v roce   2006</t>
    </r>
    <r>
      <rPr>
        <sz val="14"/>
        <rFont val="Arial"/>
        <family val="2"/>
      </rPr>
      <t xml:space="preserve"> 
(vč.
mimorozpoč-tových zdrojů)           bez převodu do rezervního fondu              </t>
    </r>
  </si>
  <si>
    <r>
      <t xml:space="preserve">celkem </t>
    </r>
    <r>
      <rPr>
        <sz val="14"/>
        <rFont val="Arial"/>
        <family val="2"/>
      </rPr>
      <t>(vč.mimorozpočtových zdrojů bez převodu do rez. fondu v r.2007)</t>
    </r>
  </si>
  <si>
    <t>Výdaje HZS celkem a detail dle jednotlivých HZS krajů v roce 2007</t>
  </si>
  <si>
    <t xml:space="preserve"> Mzdové prostředky</t>
  </si>
  <si>
    <t>Výdaje na financov. programů</t>
  </si>
  <si>
    <t xml:space="preserve"> Výdaje CELKEM</t>
  </si>
  <si>
    <t xml:space="preserve">hl. m. Praha </t>
  </si>
  <si>
    <t>Rezerva</t>
  </si>
  <si>
    <t>Celkem HZS krajů</t>
  </si>
  <si>
    <t>Tabulka č. 17</t>
  </si>
  <si>
    <t>Vypracoval : Štěpánek, tel. 974849205</t>
  </si>
  <si>
    <t>Kontroloval: Ing. Šolta, tel. 974849818</t>
  </si>
  <si>
    <t>Bezlinková komunikace</t>
  </si>
  <si>
    <t>Váhy analytické SATORIUS</t>
  </si>
  <si>
    <t>Váhy analytické METTLER TOLEDO</t>
  </si>
  <si>
    <t>Výrobník ledu laboratorní</t>
  </si>
  <si>
    <t>Přilba potápěčská</t>
  </si>
  <si>
    <t>Rentgeny mobilní</t>
  </si>
  <si>
    <t>Přístroje pro noční vidění</t>
  </si>
  <si>
    <t>Elektrocentrály</t>
  </si>
  <si>
    <t>Garáž ocelová plovoucí pro celoroční plavidla</t>
  </si>
  <si>
    <t>Stereolupa</t>
  </si>
  <si>
    <t>Mikroskop komparační pro mechanoskopii</t>
  </si>
  <si>
    <t>Obleky ochranné pyrotechnické EOD</t>
  </si>
  <si>
    <t>Přístroje na kontrolu dokladů</t>
  </si>
  <si>
    <t>Štíty balistické ochranné</t>
  </si>
  <si>
    <t>Stomatologické soupravy</t>
  </si>
  <si>
    <t>Plynový chromatograf s hmotnostní detekcí</t>
  </si>
  <si>
    <t>Plynový chromatograf s plameno-ionozačním detektorem (GC-FID)</t>
  </si>
  <si>
    <t>Střelnice laserové</t>
  </si>
  <si>
    <t>Spektroskop IR</t>
  </si>
  <si>
    <t>Zařízení pro správu a archivaci fotografií</t>
  </si>
  <si>
    <t>Přístroje forenzní CRIMESCOPE (souprava)</t>
  </si>
  <si>
    <t>Motor lodní závěsný 110 PS</t>
  </si>
  <si>
    <t>Sekvenátor DNA</t>
  </si>
  <si>
    <t>Kvantifikátor DNA</t>
  </si>
  <si>
    <t>Přikrývka ochranná proti trhavinám</t>
  </si>
  <si>
    <t>Digitální fotoaparát Canon EOS 5Dbody</t>
  </si>
  <si>
    <t>KÚP - Digitální systém pro zpracování otisku prstů DCS-3</t>
  </si>
  <si>
    <t>Bezdrátový přenos  RTG obrazu k RTG</t>
  </si>
  <si>
    <t>Spektrometr atomový absorpční (LAB)</t>
  </si>
  <si>
    <t>Plynový chromatograf</t>
  </si>
  <si>
    <t>Systém pro stanovení vodní aktivity</t>
  </si>
  <si>
    <t>Vákuová vyvíjev.komora pro kyano.páry</t>
  </si>
  <si>
    <t>Přenosný systém pro kyano.páry</t>
  </si>
  <si>
    <t>Detektory kovů průchozí</t>
  </si>
  <si>
    <t>Člun gumový nafukovací</t>
  </si>
  <si>
    <t>Fotopřístroj digitální  - zrcadlovka</t>
  </si>
  <si>
    <t>Fotopřístroje digitální - zrcadlovky</t>
  </si>
  <si>
    <t>Radary</t>
  </si>
  <si>
    <t>Mikrobusy</t>
  </si>
  <si>
    <t>Financování komunikačnách služeb SSHR 2007</t>
  </si>
  <si>
    <t>214421R005</t>
  </si>
  <si>
    <t>Financování komunikačních služeb 2007</t>
  </si>
  <si>
    <t xml:space="preserve">Aplikace pro vytváření a ověřování elektronického podpisu </t>
  </si>
  <si>
    <t>Zajištění použití QC a QSC na čipových kartách u ISDP a IS o ISVS</t>
  </si>
  <si>
    <t>Tvorba metodického pokynu - Bezpečnost ISVS</t>
  </si>
  <si>
    <t>Pilotní projekt Czech point</t>
  </si>
  <si>
    <t>Propagace E govermentu</t>
  </si>
  <si>
    <t>Podpora využívání OSS ve VS</t>
  </si>
  <si>
    <t>Zajištění spuštění ostrého provozu Czech Point</t>
  </si>
  <si>
    <t>214422R004</t>
  </si>
  <si>
    <t>NPPG 2007</t>
  </si>
  <si>
    <t>PVS-2.etapa -  Jednotný systém dopravních komuikací (JSDI) na rok 2007</t>
  </si>
  <si>
    <t>PVS-2.etapa rozvoje-Zveřejňování platného znění předpisů ČR - 2007</t>
  </si>
  <si>
    <t>FKSP - Oprava a údržba movitého majetku</t>
  </si>
  <si>
    <t>Automobily osobní silniční od 1851 ccm do 2000 ccm</t>
  </si>
  <si>
    <t>PEU - Brokovnice pro pyrotechnického robota</t>
  </si>
  <si>
    <t>PEU - Kontejnery na uložení podezřelých předmětů</t>
  </si>
  <si>
    <t>PEU - detektory plynů a látek</t>
  </si>
  <si>
    <t>P1000 Pojízdná pracoviště</t>
  </si>
  <si>
    <t>PEU - Robot pyrotechnický</t>
  </si>
  <si>
    <t>PEU - Rentgenové přístroje</t>
  </si>
  <si>
    <t>KÚP - Videospektrální komparátor</t>
  </si>
  <si>
    <t>AO silniční Škoda Octavia Combi 1,8 TSI - OMPS</t>
  </si>
  <si>
    <t>FKSP - Opravy a údržba movitého majetku</t>
  </si>
  <si>
    <t>KÚP - Stereomikroskopy</t>
  </si>
  <si>
    <t>KÚP - Přístroj GC-MS MS</t>
  </si>
  <si>
    <t>KÚP - RTG spektrometr</t>
  </si>
  <si>
    <t>KÚP - Optický polarizační mikroskop</t>
  </si>
  <si>
    <t>KÚP - Vyvíjecí komora pro kyanoakrylátové páry</t>
  </si>
  <si>
    <t>KÚP - Vacuumbox</t>
  </si>
  <si>
    <t>KÚP - RTG přístroj pro technické expertízy</t>
  </si>
  <si>
    <t>KÚP - Průběžné vyvolávací zařízení pro ČB foto</t>
  </si>
  <si>
    <t>KÚP - Digitální stěna pro Hasselblad a Sinar vč. řídící stanice (PC)</t>
  </si>
  <si>
    <t>KÚP - Ateliérová osvětlovací souprava</t>
  </si>
  <si>
    <t>Nakladač</t>
  </si>
  <si>
    <t>Kontejner sociální</t>
  </si>
  <si>
    <t>DAR - defibrilátor manuální automatický</t>
  </si>
  <si>
    <t>DAR - Taktická souprava pro pálení pod vodou</t>
  </si>
  <si>
    <t>KÚP - Upgrade Lucia DI</t>
  </si>
  <si>
    <t>KÚP - Systém LUCIA</t>
  </si>
  <si>
    <t>KÚP - Zdroj světla různých vlnových délek</t>
  </si>
  <si>
    <t>KÚP - Polygraf (elektronický)</t>
  </si>
  <si>
    <t>KÚP - Boroskop</t>
  </si>
  <si>
    <t>Genetický analyzátor</t>
  </si>
  <si>
    <t>Motor lodní závěsný</t>
  </si>
  <si>
    <t>Zařízení mycí s ohřevem</t>
  </si>
  <si>
    <t>Ocelo-plechová buňka</t>
  </si>
  <si>
    <t>DAR - Přípojné vozidlo za osobní automobil</t>
  </si>
  <si>
    <t>DAR - Spektrometr FTIR</t>
  </si>
  <si>
    <t>KÚP - Vyhledávač stop</t>
  </si>
  <si>
    <t>Plošina boční pro zdvihání nákladu</t>
  </si>
  <si>
    <t>Ochranné obleky</t>
  </si>
  <si>
    <t>KÚP - Sekvenátor DNA</t>
  </si>
  <si>
    <t>Kriminalistická technika</t>
  </si>
  <si>
    <t>Mulčovač se sběrným košem</t>
  </si>
  <si>
    <t>Vysokotlaký kompresor</t>
  </si>
  <si>
    <t>Detektor kovů průchozí</t>
  </si>
  <si>
    <t>Pořízení protiplynového automobilu</t>
  </si>
  <si>
    <t xml:space="preserve">Dostavba a vybavení protiplynového automobilu </t>
  </si>
  <si>
    <t>Osobní automobil pro 9 osob</t>
  </si>
  <si>
    <t>Osobní automobil Combi (skříňový)</t>
  </si>
  <si>
    <t>Pořízení ostatních strojů a zařízení</t>
  </si>
  <si>
    <t>Požární technika pro HZS krajů</t>
  </si>
  <si>
    <t>CAS v rozšířeném provedení</t>
  </si>
  <si>
    <t>CAS speciální terénní</t>
  </si>
  <si>
    <t>Nadzemní nádrže na PHM - nafta</t>
  </si>
  <si>
    <t>Kompresor na plnění tlakových láhví</t>
  </si>
  <si>
    <t>Běhací pás</t>
  </si>
  <si>
    <t>Dekontaminační stanoviště</t>
  </si>
  <si>
    <t>Modernizace DC3</t>
  </si>
  <si>
    <t>Automobilový žebřík AZ 30</t>
  </si>
  <si>
    <t>Technické zhodnocení výškové techniky</t>
  </si>
  <si>
    <t>Technické zhodnocení autojeřábu AV 14 na AV 20</t>
  </si>
  <si>
    <t xml:space="preserve">Vysokotlaké řezací a hasící zařízení na podvozku kategorie M </t>
  </si>
  <si>
    <t>Prostředky strojní a chemické služby</t>
  </si>
  <si>
    <t>Elektrické osvětlovací zařízení balonového typu</t>
  </si>
  <si>
    <t xml:space="preserve">Elektrocentrála </t>
  </si>
  <si>
    <t>Cisternová automobilová stříkačka speciální - technická</t>
  </si>
  <si>
    <t>Technický automobil chemický s vybavením</t>
  </si>
  <si>
    <t>Rekonstrukce požární plošiny AP 27</t>
  </si>
  <si>
    <t>Osobní automobil silniční</t>
  </si>
  <si>
    <t>Rekonstrukce CAS 24</t>
  </si>
  <si>
    <t>Rekonstrukce CAS 32 - 3 ks</t>
  </si>
  <si>
    <t>Mobilní zásobník na naftu</t>
  </si>
  <si>
    <t xml:space="preserve">Osobní terénní automobil </t>
  </si>
  <si>
    <t>Zařízení pro údržbu hadic</t>
  </si>
  <si>
    <t xml:space="preserve">Přenosný přetlakový ventilátor </t>
  </si>
  <si>
    <t>Těsnící sada Holmatro HLS-2</t>
  </si>
  <si>
    <t xml:space="preserve">Oblek proti sálavému teplu  </t>
  </si>
  <si>
    <t>Mobilní vzduchotechnické zařízení pro odsávání výfukových plynů</t>
  </si>
  <si>
    <t>Požární plavidlo s motorovým pohonem a vlekem na přepravu</t>
  </si>
  <si>
    <t xml:space="preserve">Těžký protichemický oblek TRELLCHEM </t>
  </si>
  <si>
    <t>Technické zhodnocení vozidla CAS 24 T 815</t>
  </si>
  <si>
    <t>Víceúčelový zahradní traktor, včetně příslušenství</t>
  </si>
  <si>
    <t>Izolační vzduchové dýchací přístroje Dräger - přetlakové</t>
  </si>
  <si>
    <t>Vozidlo pro řídícího důstojníka</t>
  </si>
  <si>
    <t>Náhradní zdroj pro stanici Semily</t>
  </si>
  <si>
    <t>Vyprošťovací zařízení LUCAS</t>
  </si>
  <si>
    <t>Dýchací přístroje</t>
  </si>
  <si>
    <t>Nekonečný žebřík</t>
  </si>
  <si>
    <t>Obojživelný transportér</t>
  </si>
  <si>
    <t>Nosič kontejneru</t>
  </si>
  <si>
    <t>CAS v technickém provedení</t>
  </si>
  <si>
    <t>Technický automobil</t>
  </si>
  <si>
    <t xml:space="preserve">Osobní automobily </t>
  </si>
  <si>
    <t>Terénní automobil pro zásahovou činnost lezecké skupiny</t>
  </si>
  <si>
    <t>Obojživelné vozidlo s podvalníkem</t>
  </si>
  <si>
    <t>Práškový hasící automobil</t>
  </si>
  <si>
    <t>Elektrický lanový naviják</t>
  </si>
  <si>
    <t>Vyprošťovací zařízení 63 MPa</t>
  </si>
  <si>
    <t>Vyprošťovací zařízení 72 MPa</t>
  </si>
  <si>
    <t>Čerpadlo nebezpečných látek</t>
  </si>
  <si>
    <t>Suchý potápěčský oděv</t>
  </si>
  <si>
    <t>Měřící zařízení pro kontrolu dýchacích přístrojů a ochranných obleků</t>
  </si>
  <si>
    <t>Těžký protichemický přetlakový oblek</t>
  </si>
  <si>
    <t>Oblek proti sálavému teplu</t>
  </si>
  <si>
    <t>Požární kontejnerový nosič vč. nákladního kontejneru</t>
  </si>
  <si>
    <t>Vysokotlaké řezací a hasicí zařízení  na  automobilovém podvozku</t>
  </si>
  <si>
    <t>Technické zhodnocení automobilové plošiny</t>
  </si>
  <si>
    <t>Technické zhodnocení CAS 32</t>
  </si>
  <si>
    <t>Technický automobil chemický</t>
  </si>
  <si>
    <t>Osobní automobil užitkový</t>
  </si>
  <si>
    <t>Osobní automobily</t>
  </si>
  <si>
    <t>Hydraulické vyprošťovací nářadí</t>
  </si>
  <si>
    <t xml:space="preserve">Modernizace zkušebního zařízení pro kalibraci dozimetru </t>
  </si>
  <si>
    <t>Cisternová automobilová stříkačka CAS 24 v technickém provedení</t>
  </si>
  <si>
    <t>Vyšetřovací automobil pro ZPP</t>
  </si>
  <si>
    <t>Rozhlasová ústředna</t>
  </si>
  <si>
    <t>Barevná tiskárna A1</t>
  </si>
  <si>
    <t>Televizor</t>
  </si>
  <si>
    <t>Dokumentová kamera</t>
  </si>
  <si>
    <t>Technologická PC</t>
  </si>
  <si>
    <t>Vyrozumívací zařízení</t>
  </si>
  <si>
    <t>Update SW</t>
  </si>
  <si>
    <t>Aplikační server</t>
  </si>
  <si>
    <t>Aplikační SW</t>
  </si>
  <si>
    <t>Kmitočtové spektrum</t>
  </si>
  <si>
    <t>Pořízení majetku</t>
  </si>
  <si>
    <t>Provoz služby TCTV 112</t>
  </si>
  <si>
    <t>Drobný majetek a materiál</t>
  </si>
  <si>
    <t>Opravy a údržba movitého majetku - komunikační a informační technologie</t>
  </si>
  <si>
    <t>OUPO BM Opravy a údržba movitého majetku -  komunikační a informační technologie</t>
  </si>
  <si>
    <t>OUPO BM Spotřební materiály</t>
  </si>
  <si>
    <t>OUPO BM Pořízení majetku</t>
  </si>
  <si>
    <t>OUPO BM Pronájem za telekomunikační vedení a výkony spojů</t>
  </si>
  <si>
    <t>OO PČR Řevnice - odstranění závad dle EA</t>
  </si>
  <si>
    <t>PČR Sklady Dymokury - odstranění závad dle EA</t>
  </si>
  <si>
    <t>OOP Nová Paka - odstranění závad dle EA</t>
  </si>
  <si>
    <t>OO PČR Skuteč, Sadová č.p.387 - odstranění závad z EA</t>
  </si>
  <si>
    <t>P1000 - Útvary PČR S Smk - výměna radiátorových ventilů za termostatické</t>
  </si>
  <si>
    <t>Praha 6, V sadech 47 - EA</t>
  </si>
  <si>
    <t>RCPP Teplice, Vrchlického 1259/3 - odstranění závad dle EA</t>
  </si>
  <si>
    <t>OOP Bílina, Studentská 94, 96, 98 - odstranění závad dle EA</t>
  </si>
  <si>
    <t>OOP Jablonec nad Nisou, 5. května č.p.60 - odstranění závad dle EA</t>
  </si>
  <si>
    <t>FKSP - RZ Kvilda - odstranění závad zjištěných EA</t>
  </si>
  <si>
    <t>CELKEM za program 214110</t>
  </si>
  <si>
    <t>Kolín Ovčáry, stanice HZS č.32 - technologie ovládání bezobslužné stanice</t>
  </si>
  <si>
    <t>GPS navigace vozidel HZS</t>
  </si>
  <si>
    <t>Roudnice nad Labem PS - pořízení EZS</t>
  </si>
  <si>
    <t>Roudnice nad Labem PS - strukturovaná kabeláž</t>
  </si>
  <si>
    <t>Integrace RCT Matra</t>
  </si>
  <si>
    <t>Pořízení majetku ICT</t>
  </si>
  <si>
    <t>Poskytování systémové podpory ArcGIS</t>
  </si>
  <si>
    <t>Optické propojení HZS Plzk a PČR</t>
  </si>
  <si>
    <t>Optické propojení HZS a PČR na úrovni krajů</t>
  </si>
  <si>
    <t>Technologie RCS na stanici Jablonné v Podještědí</t>
  </si>
  <si>
    <t>Upgrade SW Výjezd Jablonec nad Nisou</t>
  </si>
  <si>
    <t>UTS - výpočetní technika</t>
  </si>
  <si>
    <t>Integrovaná ovládací jednotka audiovizuální techniky</t>
  </si>
  <si>
    <t>Scanner</t>
  </si>
  <si>
    <t>Záložní server</t>
  </si>
  <si>
    <t>Server pro OPIS</t>
  </si>
  <si>
    <t>Záložní a napájecí zdroj</t>
  </si>
  <si>
    <t xml:space="preserve">Plnění rozpočtových příjmů  MV k 31.12. 2007 </t>
  </si>
  <si>
    <t>Plnění rozpočtových příjmů  MV k 31.12.2007 - detail HZS krajů</t>
  </si>
  <si>
    <t>Poznámka: členění této tabulky není vázáno na jednotlivé výdajové bloky (specifické ukazatele)</t>
  </si>
  <si>
    <t>Kamerový monitorovací systém Města Náchoda - 5. etapa</t>
  </si>
  <si>
    <t>MKDS - ul. Revoluční Bruntál</t>
  </si>
  <si>
    <t>Informativní měřič rychlosti</t>
  </si>
  <si>
    <t>Nové operační středisko MKDS MP Čelákovice</t>
  </si>
  <si>
    <t>Městský kamerový dohlížecí systém - V. etapa</t>
  </si>
  <si>
    <t>Vybavení skateparku v Tišnově</t>
  </si>
  <si>
    <t>Rozšíření městského kamerového dohlížecího systému</t>
  </si>
  <si>
    <t>Oko všude - mobilní kamera</t>
  </si>
  <si>
    <t>Automobily osobní terénní</t>
  </si>
  <si>
    <t>Automobily osobní speciální</t>
  </si>
  <si>
    <t>Automobily nákladní skříňové</t>
  </si>
  <si>
    <t>Automobily nákladní skříňové speciální - přeprava koní</t>
  </si>
  <si>
    <t>Automobil vyprošťovací odtahový</t>
  </si>
  <si>
    <t xml:space="preserve">PEU - Zbraně </t>
  </si>
  <si>
    <t>Zařízení Microlab</t>
  </si>
  <si>
    <t>Videospektrální komparátor</t>
  </si>
  <si>
    <t>Mikroskop pro ověření dokladů STEMI 2000 C</t>
  </si>
  <si>
    <t>Autobusy do 30 osob</t>
  </si>
  <si>
    <t>P1000 Reprodukce movitého majetku služeben PČR</t>
  </si>
  <si>
    <t>P1000 Stroje kopírovací</t>
  </si>
  <si>
    <t>PEU - Samopaly Heckler &amp; Koch s příslušenstvím</t>
  </si>
  <si>
    <t>PEU - Noktovizory</t>
  </si>
  <si>
    <t>PEU - Odstřelovací pušky s příslušenstvím</t>
  </si>
  <si>
    <t>PEU - Hydraulické zařízení pro vytváření vstupu</t>
  </si>
  <si>
    <t>Systém UV světla pro zviditelnění forenzních stop</t>
  </si>
  <si>
    <t xml:space="preserve">Příspěvek - izolační dýchací přístroj přetlakový  </t>
  </si>
  <si>
    <t xml:space="preserve">Příspěvek - kontejnerový valník s plachtou  </t>
  </si>
  <si>
    <t>Technické zhodnocení automobilového žebříku</t>
  </si>
  <si>
    <t>AZ 30 - technická obnova</t>
  </si>
  <si>
    <t>Zařízení pro měření VDP</t>
  </si>
  <si>
    <t>Defibrilátor</t>
  </si>
  <si>
    <t>Výstražné zařízení</t>
  </si>
  <si>
    <t>Příspěvek - Technické zhodnocení AZ 37</t>
  </si>
  <si>
    <t>Technické zhodnocení automobilového žebříku IFA AZ 30</t>
  </si>
  <si>
    <t xml:space="preserve">Příspěvek - Vyprošťovací technika  </t>
  </si>
  <si>
    <t>Plovoucí čerpadlo</t>
  </si>
  <si>
    <t xml:space="preserve">Příspěvek - Termovizní kamera </t>
  </si>
  <si>
    <t xml:space="preserve">Příspěvek - Technické zhodnocení TA-S/MAN </t>
  </si>
  <si>
    <t xml:space="preserve">Příspěvek - Záchranný tunel pro skluz a matrace pro skok </t>
  </si>
  <si>
    <t xml:space="preserve">Příspěvek - Queastor (zařízení pro provádění zkoušek a revizí věcných prostředků chemické služby) </t>
  </si>
  <si>
    <t>tis. Kč</t>
  </si>
  <si>
    <t xml:space="preserve">FKSP - rekonstrukce kotelny RS Šindelová </t>
  </si>
  <si>
    <t>Kolín PS - rekonstrukce technologické místnosti</t>
  </si>
  <si>
    <t xml:space="preserve">Příspěvek - Bílovec HS - oprava kanalizace a komunikace </t>
  </si>
  <si>
    <t>Polygon Boreček - vytápění laboratoře</t>
  </si>
  <si>
    <t xml:space="preserve">Příspěvek - opravy 3.NP budovy KŘ </t>
  </si>
  <si>
    <t>Olomouc KŘ, Schweitzerova 91 - klimatizace serverů</t>
  </si>
  <si>
    <t xml:space="preserve">Příspěvek - Klimatizace kanceláří 3.NP budovy KŘ </t>
  </si>
  <si>
    <t xml:space="preserve">Příspěvek - Nový Jičín HS - úprava interiéru </t>
  </si>
  <si>
    <t>Rozšíření klimatizace technologické místnosti</t>
  </si>
  <si>
    <t>Pořízení pozemků na výstavbu PS Tachov</t>
  </si>
  <si>
    <t xml:space="preserve">Příspěvek - Nový Jičín HS - signalizace a kamery </t>
  </si>
  <si>
    <t xml:space="preserve">Příspěvek - Karlovy Vary,stanice - rekonstrukce odsávání garáží </t>
  </si>
  <si>
    <t xml:space="preserve">Příspěvek - Karlovy Vary,stanice - stavební úpravy </t>
  </si>
  <si>
    <t xml:space="preserve">Příspěvek - Třebíč PS budova A - komunikátor a čtečka </t>
  </si>
  <si>
    <t xml:space="preserve">Příspěvek - Třebíč PS budova B - komunikátor a čtečka </t>
  </si>
  <si>
    <t xml:space="preserve">Příspěvek - Třebíč PS budova A - modernizace kuchyně </t>
  </si>
  <si>
    <t xml:space="preserve">Příspěvek - Třebíč PS budova A - úprava sušárny oděvů </t>
  </si>
  <si>
    <t>Karviná HS - garážová vrata a signalizace</t>
  </si>
  <si>
    <t>Opravy - Frenštát pod Radhoštěm CHL - elektrorozvody a rozvaděče</t>
  </si>
  <si>
    <t>Brno, Cihlářská KOPIS - technické zhodnocení</t>
  </si>
  <si>
    <t>Hlučín HS - výměna garážových vrat</t>
  </si>
  <si>
    <t>PK-Vybavení místností dětského svědka-záznamové technologie</t>
  </si>
  <si>
    <t>PK-Výslechová místnost pro dětské svědky a oběti Lišov</t>
  </si>
  <si>
    <t>PK-Speciální výslechová místnost pro dětské oběti a svědky</t>
  </si>
  <si>
    <t>PK-Dětské výslechové místnosti</t>
  </si>
  <si>
    <t>PK-Speciální výslechové místnosti - koncová zařízení ICT</t>
  </si>
  <si>
    <t>PK-Speciální výslechová místnost</t>
  </si>
  <si>
    <t>PK-Vybavení místností dětského svědka</t>
  </si>
  <si>
    <t>PK-Vybavení ICT</t>
  </si>
  <si>
    <t>PK-DVD vypalovačka, USB flash disc</t>
  </si>
  <si>
    <t>PK-Dovybavení PIS IT</t>
  </si>
  <si>
    <t>PK-Koncová zařízení ICT</t>
  </si>
  <si>
    <t>PK- Vybavení ICT</t>
  </si>
  <si>
    <t>DAR - Výpočetní technika a majetek IT</t>
  </si>
  <si>
    <t>KŘ-Koncová zařízení ICT</t>
  </si>
  <si>
    <t>P 1000 IS dopravní nehody</t>
  </si>
  <si>
    <t>P 1000- Montážní sady s příslušenstvím pro vozidlové radiostanice MATRA</t>
  </si>
  <si>
    <t>Komunikační uzel OŘ PČR Přerov</t>
  </si>
  <si>
    <t>P 1000 - Vzdálený přístup do databází</t>
  </si>
  <si>
    <t>Komunikační uzel Dobrotice</t>
  </si>
  <si>
    <t>Výpočetní technika pro leteckou službu</t>
  </si>
  <si>
    <t>ICT k zabezpečení MS v lyžování</t>
  </si>
  <si>
    <t>Upgrade SW EnCase</t>
  </si>
  <si>
    <t>KŘ-Výpočetní technika</t>
  </si>
  <si>
    <t>Vzdálená replikace datových polí</t>
  </si>
  <si>
    <t>Radiokomunikační systém GSM PTT</t>
  </si>
  <si>
    <t>Pilotní provoz ETŘ</t>
  </si>
  <si>
    <t>P1000-Výpočetní technika</t>
  </si>
  <si>
    <t>Vybavení PA ČR výpočetní technikou (EZS,EPS)</t>
  </si>
  <si>
    <t>Oprava a údržba movitého majetku - ICT</t>
  </si>
  <si>
    <t>Provozní výdaje na ICT - výkony spojů</t>
  </si>
  <si>
    <t>Provozní výdaje na ICT - spotřební materiály</t>
  </si>
  <si>
    <t>Školení</t>
  </si>
  <si>
    <t>Elektronický zabezpečovací systém</t>
  </si>
  <si>
    <t>SPŠ Brno</t>
  </si>
  <si>
    <t>Modernizace sítě LAN</t>
  </si>
  <si>
    <t xml:space="preserve">ms SPO </t>
  </si>
  <si>
    <t>Celkem MV</t>
  </si>
  <si>
    <t xml:space="preserve">Čerpání celkem zahrnuje mimorozpočtové zdroje a převod do rezervního fondu za rok 2007 </t>
  </si>
  <si>
    <t>% - čerpání po čtvrtletích k celkovému čerpání</t>
  </si>
  <si>
    <t>OZ OL Pronájem za telekomunikační vedení a výkony spojů</t>
  </si>
  <si>
    <t>OZ OL Opravy a údržba movitého majetku - komunikační a informační technologie</t>
  </si>
  <si>
    <t>OZ OL Provozní výdaje ICT - spotřební materiál a movitý majetek ICT</t>
  </si>
  <si>
    <t>OZ OL Školení</t>
  </si>
  <si>
    <t>TUPO Opravy a údržba movitého majetku - informační a komunikační technologie</t>
  </si>
  <si>
    <t>TUPO Provozní výdaje ICT - spotřební materiál a movitý majetek ICT</t>
  </si>
  <si>
    <t>TUPO Pořízení majetku</t>
  </si>
  <si>
    <t>TUPO Pronájem za telekomunikační vedení a výkony spojů</t>
  </si>
  <si>
    <t>ZL OL Pronájem za telekomunikační vedení a výkony spojů</t>
  </si>
  <si>
    <t>ZL OL Provozní výdaje ICT - spotřební materiál a movitý majetek ICT</t>
  </si>
  <si>
    <t>ZL OL Opravy a údržba movitého majetku - informační a komunikační technologie</t>
  </si>
  <si>
    <t>Přechod aplikace VEMA na platformu ORACLE</t>
  </si>
  <si>
    <t>Opravy a údržba movitého majetku -   informační a  komunikační technologie</t>
  </si>
  <si>
    <t xml:space="preserve">Provozní výdaje ICT - spotřební materiál a movitý majetek ICT </t>
  </si>
  <si>
    <t>Sektorový OPIS Příbram</t>
  </si>
  <si>
    <t>Analogové spojení Příbram-Benešov</t>
  </si>
  <si>
    <t>Záložní terminál MATRA - Pegas na sektorové OPIS</t>
  </si>
  <si>
    <t>Záložní zdroj UPS KOIS</t>
  </si>
  <si>
    <t>Oracle a server pro záložní OPIS</t>
  </si>
  <si>
    <t>Pořízení GIS softwarových nástrojů</t>
  </si>
  <si>
    <t>Bezpečnost LAN a WAN konfigurace sítí</t>
  </si>
  <si>
    <t>Technické zhodnocení bezobslužných stanic</t>
  </si>
  <si>
    <t>Diskové pole RAID pro KŘ</t>
  </si>
  <si>
    <t>Síťová tiskárna</t>
  </si>
  <si>
    <t>Nákup prostředků výpočetní techniky</t>
  </si>
  <si>
    <t>Upgrade PBX - redundance CPU a záznam KOPIS</t>
  </si>
  <si>
    <t>Technologie pracovišť OPIS</t>
  </si>
  <si>
    <t>Souborové servery pro ÚO</t>
  </si>
  <si>
    <t>Zálohování napájení technologií PS</t>
  </si>
  <si>
    <t>Velkoplošná tiskárna GIS</t>
  </si>
  <si>
    <t xml:space="preserve">Multifunkční zařízení </t>
  </si>
  <si>
    <t>Sirény JSVV</t>
  </si>
  <si>
    <t>Videokonference KOPIS</t>
  </si>
  <si>
    <t xml:space="preserve">Barevná tiskárna </t>
  </si>
  <si>
    <t>Aplikační server KŘ</t>
  </si>
  <si>
    <t>Pořízení majetku ICT nad 3000 Kč a 7000 Kč</t>
  </si>
  <si>
    <t>Kmitočtové spektrum a školení</t>
  </si>
  <si>
    <t>Výpočetní technika pro KOPIS</t>
  </si>
  <si>
    <t>Pojítko pro ÚO Tachov</t>
  </si>
  <si>
    <t>Systém včasného vyrozumění</t>
  </si>
  <si>
    <t>Doplnění ručních terminálů Pegas a příslušenství</t>
  </si>
  <si>
    <t>Hlavní město Praha, Praha 17 - cisternová automobilová stříkačka</t>
  </si>
  <si>
    <t>Náchod - cisternová automobilová stříkačka</t>
  </si>
  <si>
    <t>Jaroměř - cisternová automobilová stříkačka</t>
  </si>
  <si>
    <t>Kravaře - cisternová automobilová stříkačka</t>
  </si>
  <si>
    <t>Raškovice - cisternová automobilová stříkačka</t>
  </si>
  <si>
    <t xml:space="preserve">Havlíčkův Brod - cisternová automobilová stříkačka </t>
  </si>
  <si>
    <t xml:space="preserve">Lysá nad Labem - cisternová automobilová stříkačka </t>
  </si>
  <si>
    <t>Přeštice - CAS</t>
  </si>
  <si>
    <t xml:space="preserve">Uherský Ostroh -  nákup  cisternové automobilové stříkačky </t>
  </si>
  <si>
    <t>Kozlovice - cisternová automobilová stříkačka</t>
  </si>
  <si>
    <t>Břasy - cisternová automobilová stříkačka</t>
  </si>
  <si>
    <t>Město Chrudim - pořízení CAS</t>
  </si>
  <si>
    <t>Přerov - cisternová automobilová stříkačka</t>
  </si>
  <si>
    <t>Město Bučovice - cisternová automobilová stříkačka</t>
  </si>
  <si>
    <t>Ostrava - Radvanice - pořízení CAS pro jednotku JPO II</t>
  </si>
  <si>
    <t>Obec Šitbořice - cisternová automobilová stříkačka</t>
  </si>
  <si>
    <t>Město Žďár nad Sázavou - cisternová automobilová stříkačka</t>
  </si>
  <si>
    <t>Opravy a údržba nemovitého majektu - ČOV</t>
  </si>
  <si>
    <t>Žatec PS - výměna plynových kotlů</t>
  </si>
  <si>
    <t>Most PS - rekonstrukce ústředního vytápění</t>
  </si>
  <si>
    <t>Opatření k ochraně životního prostředí</t>
  </si>
  <si>
    <t>Rekonstrukce venkovní dešťové kanalizace KŘ</t>
  </si>
  <si>
    <t>Boskovice PS - vybudování lapolu a mycí plochy</t>
  </si>
  <si>
    <t>Olomouc PS, Schweitzerova  - odsávání garáží</t>
  </si>
  <si>
    <t>Přerov PS - odsávání garáží</t>
  </si>
  <si>
    <t>Uherský Brod PS - odsávání výfukových plynů</t>
  </si>
  <si>
    <t>OUPO F-M-Pavlíkova 1479 - opatření z EA - garáže a kotelna 1</t>
  </si>
  <si>
    <t>OUPO F-M-Pavlíkova 1479 - opatření z EA - kotelna 2</t>
  </si>
  <si>
    <t>OUPO F-M-Pavlíkova 1479 - opatření z EA - dílna</t>
  </si>
  <si>
    <t>OUPO F-M-Pavlíkova 1479 - opatření z EA - ubytovna</t>
  </si>
  <si>
    <t xml:space="preserve">CPS Cheb, 17.listopadu 30  - odstranění závad dle EA </t>
  </si>
  <si>
    <t>PS Litvínov, Podkrušnohorská 251 - opatření z EA</t>
  </si>
  <si>
    <t>CPS Ústí nad Orlicí,Hylváty 5 - odstranění závad dle EA</t>
  </si>
  <si>
    <t>P1000 - Praha 3, Lipanská 190/16 - stavební úpravy</t>
  </si>
  <si>
    <t>P1000 - Praha 4, Milevská 875/4 - stavební úpravy</t>
  </si>
  <si>
    <t>P1000 - Praha 7, Františka Křížka 735/24 - stavební úpravy</t>
  </si>
  <si>
    <t>P1000 - Praha 8, Vítkova 16/266 - stavební úpravy</t>
  </si>
  <si>
    <t>Praha 6, Pelleova 21 - datové rozvody NS - SIS</t>
  </si>
  <si>
    <t>Praha 7, Strojnická 27 - datové rozvody NS - SIS</t>
  </si>
  <si>
    <t>FKSP - Oprava a údržba nemovitého majetku</t>
  </si>
  <si>
    <t xml:space="preserve">Ústřední orgán </t>
  </si>
  <si>
    <t>Budišov nad Budišovkou - bezdrátový rozhlas s digitálním kódováním</t>
  </si>
  <si>
    <t>Statutární město Ostrava - rekonstrukce a dostavba integrovaného výjezdového centra Poruba</t>
  </si>
  <si>
    <t>Město Ostrava - IBC OSTRAVA</t>
  </si>
  <si>
    <t>Automobilová technika pro SDH</t>
  </si>
  <si>
    <t>Velké Pavlovice - nákup cisternové automobilové stříkačky</t>
  </si>
  <si>
    <t>Kroměříž - rekonstrukce a dostavba hasičské zbrojnice SDH</t>
  </si>
  <si>
    <t>Lhotka, okr. Frýdek-Místek - stavební úpravy hasičské zbrojnice</t>
  </si>
  <si>
    <t>Nový Hrozenkov - hasičské auto</t>
  </si>
  <si>
    <t>Město Zdice - rekonstrukce hasičské zbrojnice - II.etapa</t>
  </si>
  <si>
    <t>Sedlec-Prčice - generální oprava hlavního vozu  HZJ - JPO II.</t>
  </si>
  <si>
    <t>Havířov-Životice - hasičská zbrojnice</t>
  </si>
  <si>
    <t>Týnec nad Sázavou-Pecerady - dostavba hasičské zbrojnice</t>
  </si>
  <si>
    <t>Nepoměřice - oprava a rekonstrukce hasičské zbrojnice</t>
  </si>
  <si>
    <t>Jirkov na Chomutovsku - dýchací přístroje a vyprošťovací technika</t>
  </si>
  <si>
    <t>Sdružení hasičů Čech, Moravy a Slezska - dopravní prostředek a časomíra</t>
  </si>
  <si>
    <t>Žernov - modernizace hasičské zbrojnice</t>
  </si>
  <si>
    <t>Hulín - cisternová automobilová stříkačka</t>
  </si>
  <si>
    <t>Mikulovice - cisternová automobilová stříkačka</t>
  </si>
  <si>
    <t>Nezamyslice - pořízení cisternové automobilové stříkačky</t>
  </si>
  <si>
    <t>Markvartovice - pořízení cisternové automobilové stříkačky pro jednotku SDH</t>
  </si>
  <si>
    <t>Odry - pořízení cisternové automobilové stříkačky pro jednotku SDH</t>
  </si>
  <si>
    <t>Bohdalov - cisternová automobilová stříkačka</t>
  </si>
  <si>
    <t>Jaroměřice nad Rokytnou - cisternová automobilová stříkačka</t>
  </si>
  <si>
    <t>Křižanov - cisternová automobilová stříkačka</t>
  </si>
  <si>
    <t>Sněžné - cisternová automobilová stříkačka</t>
  </si>
  <si>
    <t>Osová Bítýška - cisternová automobilová stříkačka</t>
  </si>
  <si>
    <t>Hronov - cisternová automobilová stříkačka</t>
  </si>
  <si>
    <t>Lázně Bělohrad - pořízení cisternové automobilové stříkačky</t>
  </si>
  <si>
    <t>Pec pod Sněžkou - pořízení cisternové automobilové stříkačky</t>
  </si>
  <si>
    <t>Lanškroun - pořízení nové CAS</t>
  </si>
  <si>
    <t xml:space="preserve">Možnost překročení o mimorozpoč-tové zdroje dle zák. č. 218/2000 Sb. </t>
  </si>
  <si>
    <t>vč. převodu do RF   v roce 2007              (sl.7-2)</t>
  </si>
  <si>
    <t>Porovnání čerpání 2007/2006     v %            (sl. 5:12)</t>
  </si>
  <si>
    <t>Výdaje resortního policejního školství a Muzea policie ČR v roce 2007</t>
  </si>
  <si>
    <t>SOkA Kroměříž - rozšíření kamerového systému</t>
  </si>
  <si>
    <t>SOkA Třebíč - zvlhčování a odvětrání trezoru</t>
  </si>
  <si>
    <t>SOkA Zlín</t>
  </si>
  <si>
    <t>Vybudování chodníku</t>
  </si>
  <si>
    <t>Oprava a údržba, revize nemovitého majetku Národního archivu</t>
  </si>
  <si>
    <t>Odvlhčení a rekonstrukce SOkA Kadaň</t>
  </si>
  <si>
    <t>Stavební příprava SOkA Karlovy Vary</t>
  </si>
  <si>
    <t>Stavební úpravy Klášter - 1.etapa křídla A1</t>
  </si>
  <si>
    <t>Oplocení, mříže - SOkA Kutná Hora</t>
  </si>
  <si>
    <t>Vodovodní přípojka v Kostomlatech</t>
  </si>
  <si>
    <t>Projektová dokumentace a zahájení stavby - Rozdělov</t>
  </si>
  <si>
    <t xml:space="preserve"> SOkA Rakovník - klimatizace přednáškového sálu</t>
  </si>
  <si>
    <t>Opravy a údržba nemovitého majetku SOA Třeboň</t>
  </si>
  <si>
    <t>Protipožární vrata a dveře únik. východu v SOkA J. Hradec</t>
  </si>
  <si>
    <t>Osazení oken pláště budovy SOkA Tábor mřížemi</t>
  </si>
  <si>
    <t>Všeruby - cisternová automobilová stříkačka</t>
  </si>
  <si>
    <t>Plzeň (Koterov) - cisternová automobilová stříkačka</t>
  </si>
  <si>
    <t>Plzeň (Doubravka) - cisternová automobilová stříkačka</t>
  </si>
  <si>
    <t>Kladruby, okr. Tachov - cisternová automobilová stříkačka</t>
  </si>
  <si>
    <t>Bořitov - cisternová automobilová stříkačka CAS 24</t>
  </si>
  <si>
    <t>Česká Kamenice - zásahové vozidlo CAS</t>
  </si>
  <si>
    <t>Dolní Domaslavice - pořízení CAS pro jednotku JPO III JSDH</t>
  </si>
  <si>
    <t>Mořkov - pořízení CAS pro jednotku JPO III JSDH</t>
  </si>
  <si>
    <t>Frenštát pod Radhoštěm - pořízení CAS pro jednotku JPO II JSDH</t>
  </si>
  <si>
    <t>Klimkovice - pořízení CAS pro jednotku JPO III JSDH</t>
  </si>
  <si>
    <t xml:space="preserve">Liberec - pořízení CAS </t>
  </si>
  <si>
    <t>Svitávka - cisternová automobilová stříkačka CAS 24</t>
  </si>
  <si>
    <t>Plzeňský kraj</t>
  </si>
  <si>
    <t>Složky MV - GŔ HZS</t>
  </si>
  <si>
    <t>SPŠ  MV JIHLAVA</t>
  </si>
  <si>
    <t>N</t>
  </si>
  <si>
    <t>Státní oblastní archiv
v Litoměřicích</t>
  </si>
  <si>
    <t>Karlovarský kraj</t>
  </si>
  <si>
    <t>Í</t>
  </si>
  <si>
    <t>HS  PP ČR</t>
  </si>
  <si>
    <t>Státní oblastní archiv
v Zámrsku</t>
  </si>
  <si>
    <t>Ústecký kraj</t>
  </si>
  <si>
    <t>SPŠ MV RUZYNĚ</t>
  </si>
  <si>
    <t>P ČR Správa hl.m. Prahy</t>
  </si>
  <si>
    <t>Moravský zemský archiv
v Brně</t>
  </si>
  <si>
    <t>Liberecký kraj</t>
  </si>
  <si>
    <t>POLICEJNÍ AKADEMIE ČR</t>
  </si>
  <si>
    <t>ZAŘÍZENÍ SLUŽEB  pro MV</t>
  </si>
  <si>
    <t>3/</t>
  </si>
  <si>
    <t>P ČR Správa Středočeského kraje</t>
  </si>
  <si>
    <t>L</t>
  </si>
  <si>
    <t>Zemský archiv v Opavě</t>
  </si>
  <si>
    <t>Královéhradecký kraj</t>
  </si>
  <si>
    <t>O</t>
  </si>
  <si>
    <t>SOŠ a VOŠ PO MV Frýdek-Místek</t>
  </si>
  <si>
    <t>LÁZEŇSKÉ LÉČEBNÉ ÚSTAVY  MV</t>
  </si>
  <si>
    <t>4/</t>
  </si>
  <si>
    <t>P</t>
  </si>
  <si>
    <t>P ČR Správa Jihočeského kraje</t>
  </si>
  <si>
    <t>Ž</t>
  </si>
  <si>
    <t>Pardubický kraj</t>
  </si>
  <si>
    <t>K</t>
  </si>
  <si>
    <t>MUZEUM  Policie ČR</t>
  </si>
  <si>
    <t>SOŠ a VOŠ PO Frýdek - Místek</t>
  </si>
  <si>
    <t>SOŠ a VOŠ PO F-M</t>
  </si>
  <si>
    <t>programů - FM EHP/NORSKO celkem</t>
  </si>
  <si>
    <t>Periodická obnova základní požární techniky jednotek zařazených do plošného pokrytí</t>
  </si>
  <si>
    <t>Podpora prevence kriminality na regionální úrovni</t>
  </si>
  <si>
    <t>Delimitováno na Ministerstvo vnitra dle zákona  110/2007 Sb. - Rozvoj a obnova materiálně-technické základny Ministerstva informatiky</t>
  </si>
  <si>
    <t>Delimitováno na Ministerstvo vnitra dle zákona  110/2007 Sb. - Řízení a koordinace financování komunikační infrastruktury veřejné správy</t>
  </si>
  <si>
    <t>Brankovice - cisternová automobilová stříkačka CAS 24</t>
  </si>
  <si>
    <t>Žihle - cisternová automobilová stříkačka</t>
  </si>
  <si>
    <t>Mladá Boleslav - cisternová automobilová stříkačka</t>
  </si>
  <si>
    <t xml:space="preserve">Uničov - cisternová automobilová stříkačka </t>
  </si>
  <si>
    <t>Hradec nad Moravicí  - pořízení CAS pro jednotku JPO II JSDH</t>
  </si>
  <si>
    <t>Jevíčko - CAS</t>
  </si>
  <si>
    <t>Rakvice - cisternová automobilová stříkačka</t>
  </si>
  <si>
    <t>P1000 - OOP Stříbro, ul. 5.května čp.813 - recepce</t>
  </si>
  <si>
    <t>P1000 - OOP Tachov, Plánská čp.2018 - recepce</t>
  </si>
  <si>
    <t>P1000 - OOP Sokolov město, Hornická 2047 - recepce</t>
  </si>
  <si>
    <t>P1000 - OOP Kolín, Kutnohorská 180 - recepce</t>
  </si>
  <si>
    <t>P1000 - DO Poříčany 414 - recepce</t>
  </si>
  <si>
    <t>P1000 - OOP Poděbrady, Palachova 220 - recepce</t>
  </si>
  <si>
    <t>P1000 - OŘP Praha - venkov, Praha 5, Zborovská 1505/13 - recepce</t>
  </si>
  <si>
    <t>P1000 - OOP Kutná Hora, Komenského nám.6 - recepce</t>
  </si>
  <si>
    <t>P1000 - DI Kutná Hora, Na Náměti 421 - recepce</t>
  </si>
  <si>
    <t>P1000 - DI Mladá Boleslav, Boleslavská 1164 - recepce</t>
  </si>
  <si>
    <t>P1000 - DI Benešov, K Pazderně 880 - recepce</t>
  </si>
  <si>
    <t>FKSP - Trhovky - oplocení areálu</t>
  </si>
  <si>
    <t>FKSP - Kraskov - oplocení areálu</t>
  </si>
  <si>
    <t>Praha 7, Strojnická 27 - klimatizace místnosti č.562</t>
  </si>
  <si>
    <t>FKSP - RaŠZ PČR Dlouhé Rzy - stavební úpravy objektu č.3</t>
  </si>
  <si>
    <t>Praha 3, Olšanská 4 - klimatizace místnosti č.228</t>
  </si>
  <si>
    <t>P1000 - OOP Trutnov, Roty Nazdar - recepce</t>
  </si>
  <si>
    <t>P1000 - OOP Duchcov, Sadová 1213 - recepce</t>
  </si>
  <si>
    <t>P1000 - OOP Jičín - recepce</t>
  </si>
  <si>
    <t>P1000 - OOP Skuteč - recepce</t>
  </si>
  <si>
    <t>P1000 - OOP Lanškroun - recepce</t>
  </si>
  <si>
    <t>OOP Králův Dvůr - oprava a rozšíření hygienického zařízení</t>
  </si>
  <si>
    <t>OOP Lovosice, Žižkova 469 - půdní vestavba</t>
  </si>
  <si>
    <t>PK - Speciální výslechová místnost</t>
  </si>
  <si>
    <t>PK - Speciální výslechová místnost pro dětské oběti a svědky</t>
  </si>
  <si>
    <t>PK - Ochrana dětského svědka - OŘ PČR Cheb</t>
  </si>
  <si>
    <t>PK - Opravy a údržba nemovitého majetku - zřízení výslechových místností</t>
  </si>
  <si>
    <t>Hanzlov - kanalizační přípojka pro bytové jednotky</t>
  </si>
  <si>
    <t>P1000 - OŘP Svitavy - recepce</t>
  </si>
  <si>
    <t>OOP Kostelec nad Černými Lesy - rekonstrukce</t>
  </si>
  <si>
    <t>KÚP - Praha 1, Bartolomějská 10 - sklad chemikálií</t>
  </si>
  <si>
    <t>KÚP - Praha 1, Bartolomějská 10 - zdroj nepřetržitého napájení</t>
  </si>
  <si>
    <t>Praha 7, Strojnická - klimatizace místností</t>
  </si>
  <si>
    <t>Praha 6, Pelleova 21 - samozhášecí zařízení</t>
  </si>
  <si>
    <t>P1000 - OŘP  Strakonice - recepce DI</t>
  </si>
  <si>
    <t>Praha 6, Pelléova 21 - požární zabezpečení PC sálů</t>
  </si>
  <si>
    <t>Praha 7, Strojnická 27 - požární zabezpečení PC sálů</t>
  </si>
  <si>
    <t>PČR Krásná Lípa - přípojka kanalizace</t>
  </si>
  <si>
    <t>PČR Ústí nad Labem, Libouchec - přípojka kanalizace</t>
  </si>
  <si>
    <t>Hřensko - odkoupení pozemku st.p.č.226</t>
  </si>
  <si>
    <t>Chomutov, Lipská - výkup přístupových pozemků</t>
  </si>
  <si>
    <t>OŘP Prostějov, Újezd 12 - vybudování plynovodní přípojky a kotelny II. etapa</t>
  </si>
  <si>
    <t>FKSP - PČR Tokáň - přípojka kanalizace</t>
  </si>
  <si>
    <t>P1000 - Opravy a údržba zázemí pro policisty (Back Office)</t>
  </si>
  <si>
    <t>P1000 - Opravy a údržba zázemí pro policisty (Back office)</t>
  </si>
  <si>
    <t>Františkovy Lázně, Americká 250/16 - výkup nemovitosti</t>
  </si>
  <si>
    <t>FKSP - RZ PČR chata Churáňov - kanalizační přípojka</t>
  </si>
  <si>
    <t xml:space="preserve">P1000 - Opravy a údržba nemovitého majetku </t>
  </si>
  <si>
    <t>OŘP Liberec, Pastýřská ul. - výstavba objektu</t>
  </si>
  <si>
    <t>P1000 - PČR S Smk - Projektové dokumentace - recepce</t>
  </si>
  <si>
    <t>P1000 - PČR S Jčk - Projektové dokumentace - recepce</t>
  </si>
  <si>
    <t>P1000 - PČR S Sevčk - Projektové dokumentace - recepce</t>
  </si>
  <si>
    <t>P1000 - DI+SSČ Plzeň-město - projektová dokumentace - recepce</t>
  </si>
  <si>
    <t>OOP Olomouc IV, ul. Na Trati čp. 216 - výkup nemovitostí</t>
  </si>
  <si>
    <t>FKSP - Opravy a údržba nemovitého majetku HZS Khk</t>
  </si>
  <si>
    <t xml:space="preserve">Příspěvek - Olomouc PS, Schweitzerova 91 - stavební úpravy výjezdových garáží </t>
  </si>
  <si>
    <t xml:space="preserve">FKSP - Opravy a údržba nemovitého majetku HZS Libk - RS Harrachov </t>
  </si>
  <si>
    <t>OZ Olomouc - sklad měřících přístrojů a elektromateriálu</t>
  </si>
  <si>
    <t xml:space="preserve">FKSP - Zálužné RS - sanace 1.PP a stavební úpravy </t>
  </si>
  <si>
    <t xml:space="preserve">Příspěvek - Karviná HS - výměna garážových vrat </t>
  </si>
  <si>
    <t>Mariánské Lázně PS - přepěťová ochrana</t>
  </si>
  <si>
    <t>Brno OUPO, Trnkova 85 - rekonstrukce střechy školní kuchyně</t>
  </si>
  <si>
    <t>Plzeň KŘ, Kaplířova - stavební úpravy</t>
  </si>
  <si>
    <t xml:space="preserve">Příspěvek - Jihlava, Březinovy sady - rekonstrukce technického pracoviště - 2.etapa </t>
  </si>
  <si>
    <t>Brno OUPO, Trnkova 85 - rozšíření oplocení areálu</t>
  </si>
  <si>
    <t xml:space="preserve">Příspěvek - Frýdek-Místek HS - výstavba oplocení s elektrickými vraty </t>
  </si>
  <si>
    <t xml:space="preserve">Příspěvek - Frýdek-Místek HS - oprava výjezdové komunikace </t>
  </si>
  <si>
    <t xml:space="preserve">FKSP - Harrachov RO - rekonstrukce soc. zařízení a výměna kuchyňské linky </t>
  </si>
  <si>
    <t>Kukleny CPS - klimatizace místnosti UPS</t>
  </si>
  <si>
    <t xml:space="preserve">Příspěvek - Rekonstrukce klimatizace KOPIS KŘ </t>
  </si>
  <si>
    <t>Hájemství ŠRS - stavební úpravy zasedací místnosti</t>
  </si>
  <si>
    <t>Rozšíření systému EZS a kontroly vstupu</t>
  </si>
  <si>
    <t xml:space="preserve">FKSP - Opravy a údržba nemovitého majetku  - RS Český Jiřetín </t>
  </si>
  <si>
    <t>Velké Poříčí - výstavba lezeckého trenažéru - II.etapa</t>
  </si>
  <si>
    <t>Rekonstrukce půdních prostor - administrativní objekt Šumavská</t>
  </si>
  <si>
    <t xml:space="preserve">FKSP - Opravy a údržba nemovitého majetku  - RS Milotice </t>
  </si>
  <si>
    <t>Systém včasné intervence - investice</t>
  </si>
  <si>
    <t>Systém včasné intervence Mělník</t>
  </si>
  <si>
    <t>Systém včasné intervence</t>
  </si>
  <si>
    <t>Trenažer jistoty</t>
  </si>
  <si>
    <t>Technické vybavení služebny Městské policie Boží Dar</t>
  </si>
  <si>
    <t>Detekce průjezdu na červenou</t>
  </si>
  <si>
    <t>Měřič rychlosti - mobilní radar</t>
  </si>
  <si>
    <t>Bezpečné přechody</t>
  </si>
  <si>
    <t>Mobilní kamerový systém</t>
  </si>
  <si>
    <t>Radar</t>
  </si>
  <si>
    <t>Rozšíření MKDS Tišnov - 3. etapa</t>
  </si>
  <si>
    <t>Velitelský automobil řídícího důstojníka kraje</t>
  </si>
  <si>
    <t>Loď pro 6 osob s motorem a přívěsem</t>
  </si>
  <si>
    <t>Přetlakový ventilátor</t>
  </si>
  <si>
    <t>Kontejner nákladní</t>
  </si>
  <si>
    <t>Řetězová pila pro záchranáře</t>
  </si>
  <si>
    <t>Dekontaminační sprchy</t>
  </si>
  <si>
    <t>Uzavřený zdroj ionizujícího záření</t>
  </si>
  <si>
    <t>Rozkladný mikrovlnný systém vzorků</t>
  </si>
  <si>
    <t xml:space="preserve">Univerzální záchranářský člun včetně motoru a přepravního vozíku </t>
  </si>
  <si>
    <t xml:space="preserve">Technický automobil lezecký </t>
  </si>
  <si>
    <t>Modernizované zkušební zařízení pro kalibraci dozimetrů</t>
  </si>
  <si>
    <t>Ostatní stroje a zařízení</t>
  </si>
  <si>
    <t>Kontejner chemický</t>
  </si>
  <si>
    <t>Rekonstrukce CAS 32</t>
  </si>
  <si>
    <t>Modernizace nástavby CAS 24  vč. investiční výbavy</t>
  </si>
  <si>
    <t>Obnova vozového parku HZS MSK</t>
  </si>
  <si>
    <t>Věcné prostředky PO jednotek HZS MSK</t>
  </si>
  <si>
    <t>Servisní prostředky pro jednotky PO HZS MSK</t>
  </si>
  <si>
    <t>Detekční a měřící technika HZS MSK</t>
  </si>
  <si>
    <t>Pořízení nosičů kontejnerů AVIA</t>
  </si>
  <si>
    <t>Vyšetřovací automobil</t>
  </si>
  <si>
    <t>Osobní automobil  - prevence I</t>
  </si>
  <si>
    <t>Automobilový žebřík do 30 m</t>
  </si>
  <si>
    <t>Protipožární bezpečnostní zařízení-didaktická pomůcka</t>
  </si>
  <si>
    <t>Simulátor pro nácvik hašení</t>
  </si>
  <si>
    <t>Doplnění hydraulického vyprošťovacího zařízení</t>
  </si>
  <si>
    <t>KYRILL - Opravy a údržba movitého majetku</t>
  </si>
  <si>
    <t>KYRILL - Pořízení majetku</t>
  </si>
  <si>
    <t>Peněžitý dar - velitelský automobil</t>
  </si>
  <si>
    <t>Oprava vozidla CAS 25 KAROSA</t>
  </si>
  <si>
    <t>Oprava vozidla CAS 24 IVECO MAGIRUS</t>
  </si>
  <si>
    <t xml:space="preserve">FKSP - Opravy a údržba movitého majetku </t>
  </si>
  <si>
    <t>Kompresor na dýchací vzduch</t>
  </si>
  <si>
    <t xml:space="preserve">Příspěvek - Cvičná věž mobilní </t>
  </si>
  <si>
    <t xml:space="preserve">Příspěvek - Dodávkový automobil pro přepravu osob </t>
  </si>
  <si>
    <t>Pořízení CAS speciální k hašení lesních požárů</t>
  </si>
  <si>
    <t xml:space="preserve">Příspěvek - Pořízení TA 2 PPL </t>
  </si>
  <si>
    <t xml:space="preserve">Příspěvek - Stříhací nůžky </t>
  </si>
  <si>
    <t xml:space="preserve">Příspěvek - Pračka na zásahové oděvy </t>
  </si>
  <si>
    <t xml:space="preserve">Příspěvek - Čerpadlo na nebezpečné látky </t>
  </si>
  <si>
    <t xml:space="preserve">Příspěvek - Protichemický oblek </t>
  </si>
  <si>
    <t xml:space="preserve">Příspěvek - Měřící zařízení vzduchových dýchacích přístrojů </t>
  </si>
  <si>
    <t xml:space="preserve">Příspěvek - vyšetřovací automobil </t>
  </si>
  <si>
    <t>PVS-2.etapa rozvoje- E learning naPVS na rok 2007</t>
  </si>
  <si>
    <t>PVS - 2. etapa rozvoje- Poskytnutí poradenských služeb - GIS- 2007</t>
  </si>
  <si>
    <t>PVS - 2.etapa - virtuální server - 2007</t>
  </si>
  <si>
    <t xml:space="preserve">Příspěvek - Izolační vzduchové dýchací přístroje </t>
  </si>
  <si>
    <t xml:space="preserve">Příspěvek - Přetlakový ochranný protichemický oblek </t>
  </si>
  <si>
    <t xml:space="preserve">Příspěvek - Kontejner pro přepravu sorbentů </t>
  </si>
  <si>
    <t xml:space="preserve">Příspěvek - Kontejner pro hašení CO2 </t>
  </si>
  <si>
    <t>Rekonstrukce elektroinstalace v objektu VPŠ Pardubice-Opatovice</t>
  </si>
  <si>
    <t>Zateplení pláště Opatovice</t>
  </si>
  <si>
    <t>Zajištění požární bezpečnosti ubytovny SPŠ Brno objekt E,F</t>
  </si>
  <si>
    <t>SPŠ MV Jihlava,Tolstého 14 - rekonstrukce ubytovny s kuchyní</t>
  </si>
  <si>
    <t>Parkoviště,oplocení,hřiště v Pardubicích</t>
  </si>
  <si>
    <t>Výstavba lyžařského vleku-Přední Labská</t>
  </si>
  <si>
    <t>Rekonstrukce budovy SPŠ Hrdlořezy č.8</t>
  </si>
  <si>
    <t>Univerzální kuchyňský robot</t>
  </si>
  <si>
    <t>Jazyková laboratoř</t>
  </si>
  <si>
    <t>Kopírovací stroje</t>
  </si>
  <si>
    <t>Užitkový automobil silniční</t>
  </si>
  <si>
    <t>Instalace termostatických ventilů + zónová regulace</t>
  </si>
  <si>
    <t>Měření SUV objektu J,B,A1</t>
  </si>
  <si>
    <t>Rekonstrukce el. rozvodů obj. B3</t>
  </si>
  <si>
    <t>Vybudování schodiště mezi učebním blokem a ubytovnou</t>
  </si>
  <si>
    <t>Oprava a údržba nemovitého majetku</t>
  </si>
  <si>
    <t>Oprava a údržba movitého majetku</t>
  </si>
  <si>
    <t>Pánev elektrická tlaková</t>
  </si>
  <si>
    <t>Kotel varný /plyn/</t>
  </si>
  <si>
    <t>Magma nákladní</t>
  </si>
  <si>
    <t>Opravy a údržba nemovitého majetku</t>
  </si>
  <si>
    <t>Rekonstrukce pěchotní a pistolové střelnice Dobrotice</t>
  </si>
  <si>
    <t>Vybavení nové školní kuchyně SPŠ MV v Jihlavě</t>
  </si>
  <si>
    <t>Směna pozemku a objektu</t>
  </si>
  <si>
    <t>Rekonstrukce ubytovny s kuchyní - 2. etapa</t>
  </si>
  <si>
    <t>Osobní automobil</t>
  </si>
  <si>
    <t>Projekční optická laserová střelnice</t>
  </si>
  <si>
    <t>Rekonstrukce tělocvičny v Opatovicích n. L.</t>
  </si>
  <si>
    <t>Instalace LAPOLU</t>
  </si>
  <si>
    <t>Služební dopravní prostředky</t>
  </si>
  <si>
    <t>Technický prostředek měření rychlosti</t>
  </si>
  <si>
    <t>Výměna oken - budova č.7</t>
  </si>
  <si>
    <t>Prosklená vitrina - školská budova</t>
  </si>
  <si>
    <t>Výměna oken - budova č.0</t>
  </si>
  <si>
    <t>Digitální fotopřístroj</t>
  </si>
  <si>
    <t>Kopírovací stroj</t>
  </si>
  <si>
    <t>Teleobjektiv</t>
  </si>
  <si>
    <t>Osobní automobil do 1600 ccm</t>
  </si>
  <si>
    <t>Obnova výstavního fundusu expozice</t>
  </si>
  <si>
    <t>Přestavba sociálního zařízení objektu  J</t>
  </si>
  <si>
    <t>Rekonstrukce rozvodů NN objektu  J</t>
  </si>
  <si>
    <t>Dvojúrovňová podlaha - učebnový blok V5</t>
  </si>
  <si>
    <t>Rekuperace nádrží PHM</t>
  </si>
  <si>
    <t>Služební dopravní prostředek</t>
  </si>
  <si>
    <t>Informační panel měření rychlosti vozidel</t>
  </si>
  <si>
    <t xml:space="preserve">Automatizovaný archivační systém </t>
  </si>
  <si>
    <t>Dovybavení školní kuchyně</t>
  </si>
  <si>
    <t>Nákup dopravních prostředků - obměna</t>
  </si>
  <si>
    <t>Institut pro místní správu Praha</t>
  </si>
  <si>
    <t>Výměna podhledů vzdělávacího střediska</t>
  </si>
  <si>
    <t>Výměna podhledů vzdělávacího střediska - druhá fáze</t>
  </si>
  <si>
    <t>OUPO BM Školení</t>
  </si>
  <si>
    <t>OUPO BO Opravy a údržba movitého majetku -  komunikační a informační technologie</t>
  </si>
  <si>
    <t>OUPO BO Spotřební materiály</t>
  </si>
  <si>
    <t>OUPO BO Pořízení majetku</t>
  </si>
  <si>
    <t>OUPO BO Pronájem za telekomunikační vedení a výkony spojů</t>
  </si>
  <si>
    <t>OUPO CV  Pronájem za telekomunikační vedení a výkony spojů</t>
  </si>
  <si>
    <t>P1000-ICT-vnitřní vybavení recepcí</t>
  </si>
  <si>
    <t>P1000-ICT-projektová kancelář</t>
  </si>
  <si>
    <t>P1000-OOP Lanškroun-Koncová zařízení ICT</t>
  </si>
  <si>
    <t>P1000-OOP Jičín-Koncová zařízení ICT</t>
  </si>
  <si>
    <t>P1000-OOP Skuteč-Koncová zařízení ICT</t>
  </si>
  <si>
    <t>P1000-OŘP Svitavy-Koncová zařízení ICT</t>
  </si>
  <si>
    <t>Projektory data-video</t>
  </si>
  <si>
    <t>P1000-Výpočetní a spojovací technika-recepce</t>
  </si>
  <si>
    <t>DAR-PK-vybavení Brno, Běhounská</t>
  </si>
  <si>
    <t>ETŘ-Spotřební materiál ICT</t>
  </si>
  <si>
    <t>ETŘ-Výpočetní technika</t>
  </si>
  <si>
    <t>ETŘ-Koncová zařízení ICT</t>
  </si>
  <si>
    <t>ETŘ-Servery</t>
  </si>
  <si>
    <t>ETŘ-PC a notebooky</t>
  </si>
  <si>
    <t>Upgrage AFISu</t>
  </si>
  <si>
    <t>P1000-Vybavení recepcí ICT</t>
  </si>
  <si>
    <t>Terminály</t>
  </si>
  <si>
    <t>P1000-Koncová zařízení CT</t>
  </si>
  <si>
    <t>Media konvertory</t>
  </si>
  <si>
    <t>Server - Koncová zařízení ICT</t>
  </si>
  <si>
    <t>Informační technologie pro ŘSCPP</t>
  </si>
  <si>
    <t>ETŘ-HW a SW</t>
  </si>
  <si>
    <t>Příslušenství ručních terminálů systému PEGAS</t>
  </si>
  <si>
    <t>Datové rozvaděče</t>
  </si>
  <si>
    <t>ÚRN-Vyjednávací souprava</t>
  </si>
  <si>
    <t>P1000-ICT-vybavení recepcí</t>
  </si>
  <si>
    <t>ICT-Program boje proti informační kriminalitě</t>
  </si>
  <si>
    <t>Videorekordér, vysílače a příjmače videosignálu-Kladno</t>
  </si>
  <si>
    <t>BIOMETRIKA-servis a podpora vybavení PČR</t>
  </si>
  <si>
    <t>SW pro PP ČR</t>
  </si>
  <si>
    <t xml:space="preserve">Software a výpočetní technika </t>
  </si>
  <si>
    <t>Spojovací a výpočetní technika</t>
  </si>
  <si>
    <t>P1000-Back office-PC</t>
  </si>
  <si>
    <t>FKSP-Hlasové a datové služby</t>
  </si>
  <si>
    <t>Informační systém APIS</t>
  </si>
  <si>
    <t>Upgrade SW pro závodní stravování</t>
  </si>
  <si>
    <t>214111R001</t>
  </si>
  <si>
    <t>Rezerva na financování programu v letech 2008-2010</t>
  </si>
  <si>
    <t>Tuchoměřice, služební kynologie - výstavba technickoprovozní budovy</t>
  </si>
  <si>
    <t>Brno, Rybářská ul.- rekonstrukce objektu pro OŘP Brno-venkov</t>
  </si>
  <si>
    <t>OŘ PČR  a OO PČR Přerov - nová výstavba</t>
  </si>
  <si>
    <t>FKSP- rekreační zařízení Čeladná - rekonstrukce</t>
  </si>
  <si>
    <t>OO PČR Hořovice - výstavba nového objektu</t>
  </si>
  <si>
    <t>OO PČR Jesenice - výstavba nového objektu</t>
  </si>
  <si>
    <t>OO PČR Jindřichův Hradec - zprovoznění objektu</t>
  </si>
  <si>
    <t>Chomutov, T.G.Masaryka 3100 - zprovoznění objektu po OÚ</t>
  </si>
  <si>
    <t>OŘ PČR Jindřichův Hradec, Miřinovského 567 - úpravy části objektu po Okresním soudu  - I. etapa</t>
  </si>
  <si>
    <t>OO PČR Sázava č.131,132 - výstavba kanalizační přípojky</t>
  </si>
  <si>
    <t>OO PČR Králův Dvůr - rekonstrukce</t>
  </si>
  <si>
    <t>Domašín, kynologická stanice - celková rekonstrukce</t>
  </si>
  <si>
    <t>OO PČR Louny, Husova 481 - demolice a výstavba nového objektu</t>
  </si>
  <si>
    <t>OO PČR Brno, Bystrc čp. 129 - nová výstavba</t>
  </si>
  <si>
    <t>Praha 7, Strojnická 27 - úprava vstupní recepce</t>
  </si>
  <si>
    <t>Praha 8, Ďáblická 510 - výstavba nového objektu</t>
  </si>
  <si>
    <t>OO PČR Slaný, Kyjevská kasárna - stavební úpravy objektu č.11</t>
  </si>
  <si>
    <t xml:space="preserve">P 1000 PČR SZčk, Nádražní 2, IKOS - stavební připravenost </t>
  </si>
  <si>
    <t>AO Předlice, Ústí nad Labem - rekonstrukce ekonomického zázemí</t>
  </si>
  <si>
    <t>Hrádek nad Nisou - vybudování odbavovacího zařízení na HP (VPS)</t>
  </si>
  <si>
    <t>PČR S Jčk České Budějovice, Lišov-Slabce - výstavba kryté pistolové střelnice</t>
  </si>
  <si>
    <t>OO PČR Volary č. 136 - úprava objektu</t>
  </si>
  <si>
    <t>Hydraulické vyprošťovací nářadí - sada</t>
  </si>
  <si>
    <t xml:space="preserve">Příspěvek - Terénní automobil </t>
  </si>
  <si>
    <t>Pořízení automobilového jeřábu AD 28</t>
  </si>
  <si>
    <t>Pořízení velitelského automobilu Mitsubishi</t>
  </si>
  <si>
    <t>Pořízení vyprošťovacích zařízení</t>
  </si>
  <si>
    <t>Technické zhodnocení vyprošťovacích zařízení</t>
  </si>
  <si>
    <t>Pořízení vzduchových dýchacích přístrojů</t>
  </si>
  <si>
    <t xml:space="preserve">Příspěvek - Sušící skříň </t>
  </si>
  <si>
    <t xml:space="preserve">Příspěvek - Dekontaminační sprcha </t>
  </si>
  <si>
    <t xml:space="preserve">Příspěvek - Přetlakové dýchací přístroje </t>
  </si>
  <si>
    <t>Pořízení osobních automobilů</t>
  </si>
  <si>
    <t xml:space="preserve">Příspěvek - Zahradní traktor s příslušenstvím </t>
  </si>
  <si>
    <t>Automobil osobní</t>
  </si>
  <si>
    <t>Příspěvek - Ledeč nad Sázavou PS - požární stříkačka</t>
  </si>
  <si>
    <t>Rekonstrukce CAS</t>
  </si>
  <si>
    <t>Lodní motor</t>
  </si>
  <si>
    <t>Hydraulické vyprošťovací zařízení</t>
  </si>
  <si>
    <t>Traktorová sekačka</t>
  </si>
  <si>
    <t>Oprava CAS T 815</t>
  </si>
  <si>
    <t xml:space="preserve">Osobní automobil </t>
  </si>
  <si>
    <t>Automobilní technika GŘ HZS ČR II</t>
  </si>
  <si>
    <t xml:space="preserve">Příspěvek - Náměšť nad Oslavou PS - hydraulický rozpínací válec </t>
  </si>
  <si>
    <t>Termovizní kamera II</t>
  </si>
  <si>
    <t>Doplnění soupravy hydraulického vyprošťovacího zařízení</t>
  </si>
  <si>
    <t>Pořízení cisternové automobilové stříkačky</t>
  </si>
  <si>
    <t>Technické zhodnocení požární stříkačky PS 8</t>
  </si>
  <si>
    <t>Balónová světla</t>
  </si>
  <si>
    <t>Technické zhodnocení nosiče kontejnerů rz: 4U4 3801</t>
  </si>
  <si>
    <t xml:space="preserve">Příspěvek - Jihlava PS - pneumatické vyprošťovací zařízení </t>
  </si>
  <si>
    <t>Konvektomat - varné zařízení</t>
  </si>
  <si>
    <t>Pořízení motopily pro USAR</t>
  </si>
  <si>
    <t xml:space="preserve">Příspěvek - Žďár nad Sázavou PS - souprava hydraulického střihače pedálů a otvírače dveří </t>
  </si>
  <si>
    <t>Oprava a údržba movitého majetku - CAS 24 MAN</t>
  </si>
  <si>
    <t>Oprava CAS T 815 RZ 1 HO 2262</t>
  </si>
  <si>
    <t>Oprava CAS T 815 RZ 1 HKB 40-20</t>
  </si>
  <si>
    <t>Ptačí chřipka - Přetlakové protichemické ochranné oděvy</t>
  </si>
  <si>
    <t>Ptačí chřipka - Elektrocentrála</t>
  </si>
  <si>
    <t>Ptačí chřipka - Opravy a údržba movitého majetku</t>
  </si>
  <si>
    <t>Detektory pro detekci plynů</t>
  </si>
  <si>
    <t>Pořízení zahradního malotraktoru</t>
  </si>
  <si>
    <t xml:space="preserve">Manipulační technika </t>
  </si>
  <si>
    <t xml:space="preserve">Kompresor vysokotlaký </t>
  </si>
  <si>
    <t xml:space="preserve">Automobilní technika GŘ HZS ČR III </t>
  </si>
  <si>
    <t>Vyprošťovací technika</t>
  </si>
  <si>
    <t xml:space="preserve">Živelná pohroma - oprava škod na movitém majetku </t>
  </si>
  <si>
    <t>Zdice - rekonstrukce hasičské zbrojnice</t>
  </si>
  <si>
    <t>Kozmice (obec Radenín) - sdružení dobrovolných hasičů - obnova hasičské techniky</t>
  </si>
  <si>
    <t>Dolní Hořice, okr. Tábor SDH - obnova materiálně technického vybavení</t>
  </si>
  <si>
    <t>Praha, Dolní Měcholupy - cisternová automobilová stříkačka</t>
  </si>
  <si>
    <t>Olomouc, Chválkovice - dopravní automobil</t>
  </si>
  <si>
    <t>Jílové, okr. Děčín  - dopravní automobil</t>
  </si>
  <si>
    <t xml:space="preserve">Upgrade Oracle </t>
  </si>
  <si>
    <t>Pracoviště KOPIS 3 ks a obnova pracoviště 1 ks</t>
  </si>
  <si>
    <t>Malé servery</t>
  </si>
  <si>
    <t xml:space="preserve">Upgrade technologií PS </t>
  </si>
  <si>
    <t>Audiovizuální zařízení</t>
  </si>
  <si>
    <t>Notebooky</t>
  </si>
  <si>
    <t>Ovládání bezobslužné stanice Příbram a Benešov</t>
  </si>
  <si>
    <t>Rozšíření ovládání bezobslužné stanice Mělník</t>
  </si>
  <si>
    <t xml:space="preserve">Příspěvek - ICT - pořízení majetku </t>
  </si>
  <si>
    <t xml:space="preserve">Příspěvek - Provozní výdaje ICT - spotřební materiály a movitý majetek </t>
  </si>
  <si>
    <t xml:space="preserve">Příspěvek - Server pro KOPIS </t>
  </si>
  <si>
    <t>Satelitní spojení pro USAR</t>
  </si>
  <si>
    <t>Vozidlová radiostanice HT 6991</t>
  </si>
  <si>
    <t xml:space="preserve">FKSP - Pořízení majetku ICT </t>
  </si>
  <si>
    <t xml:space="preserve">Příspěvek - ICT - pořízení dataprojektoru </t>
  </si>
  <si>
    <t>Upgrade na VEMA V3</t>
  </si>
  <si>
    <t xml:space="preserve">Příspěvek -Pořízení majetku ICT - Upgrade audiovizuálního zařízení </t>
  </si>
  <si>
    <t xml:space="preserve">Příspěvek - Rozšíření datové sítě </t>
  </si>
  <si>
    <t xml:space="preserve">Příspěvek - Notebook HS Havířov </t>
  </si>
  <si>
    <t>Switch pro stanici Liberec</t>
  </si>
  <si>
    <t xml:space="preserve">Bezdrátová technologie </t>
  </si>
  <si>
    <t xml:space="preserve">Aktivní prvky </t>
  </si>
  <si>
    <t>Pořízení vyrozumívacího zařízení</t>
  </si>
  <si>
    <t>Pořízení optického propojení</t>
  </si>
  <si>
    <t>EMC licence</t>
  </si>
  <si>
    <t>Upgrade SW Centrum</t>
  </si>
  <si>
    <t>Blade servery</t>
  </si>
  <si>
    <t>Upgrade PbX Alcatel</t>
  </si>
  <si>
    <t>Pořízení vyrozumívacího zařízení AMDS</t>
  </si>
  <si>
    <t xml:space="preserve">Upgrade vyrozumívacího zařízení </t>
  </si>
  <si>
    <t>Pořízení AMDS</t>
  </si>
  <si>
    <t>Dovybavení OPIS Jablonec nad Nisou</t>
  </si>
  <si>
    <t>Rozšíření licencí serveru pro KOPIS</t>
  </si>
  <si>
    <t>Pořízení koncentrátoru MSKP - CPS Chrudim</t>
  </si>
  <si>
    <t>Vyrozumívací zařízení (AMDS)</t>
  </si>
  <si>
    <t xml:space="preserve">Prvky JSVV </t>
  </si>
  <si>
    <t xml:space="preserve">Příspěvek - Poskytování systémové podpory ArcGIS </t>
  </si>
  <si>
    <t xml:space="preserve">Příspěvek - Poskytování technické podpory GISel IZS </t>
  </si>
  <si>
    <t>Doplnění kamerového systému - stanice Semily</t>
  </si>
  <si>
    <t>Úpravy funkcionalit aplikace VEMA 3</t>
  </si>
  <si>
    <t xml:space="preserve">FKSP - Pořízení majetku nad 3000 a 7000 </t>
  </si>
  <si>
    <t xml:space="preserve">FKSP - Opravy a údržba movitého majetku - ICT </t>
  </si>
  <si>
    <t xml:space="preserve">Příspěvek - Pořízení vyrozumívacího modulu a vybavení KOPIS </t>
  </si>
  <si>
    <t xml:space="preserve">Příspěvek - Výpočetní technika pro OÚ Nový Jičín </t>
  </si>
  <si>
    <t xml:space="preserve">Vozidlové rdst </t>
  </si>
  <si>
    <t>Satelitní rozvod televizního signálu</t>
  </si>
  <si>
    <t xml:space="preserve">Pojistné plnění - pořízení majetku ICT nad 3000 a 7000 </t>
  </si>
  <si>
    <t>SW CEDA</t>
  </si>
  <si>
    <t>SW ARC GIS</t>
  </si>
  <si>
    <t>SW - modul komunikačních systémů</t>
  </si>
  <si>
    <t>Třemošnice - pořízení cisternové automobilové stříkačky</t>
  </si>
  <si>
    <t>Hlavní město Praha, Lipence - nákup cisternové automobilové stříkačky</t>
  </si>
  <si>
    <t>Kynšperk nad Ohří - cisternová automobilová stříkačka</t>
  </si>
  <si>
    <t xml:space="preserve">Šluknov - cisternová automobilová stříkačka </t>
  </si>
  <si>
    <t>Dobřany  - nákup požární techniky  -  CAS</t>
  </si>
  <si>
    <t>Chodová Planá  - cisternová automobilová stříkačka</t>
  </si>
  <si>
    <t>Týn nad Vltavou - cisternová automobilová stříkačka</t>
  </si>
  <si>
    <t>Neplachov - cisternová automobilová stříkačka</t>
  </si>
  <si>
    <t>Nový Bor - cisternová automobilová stříkačka CAS</t>
  </si>
  <si>
    <t>Železná Ruda - cisternová automobilová stříkačka</t>
  </si>
  <si>
    <t>Horšovský Týn - městský rozhlas a elektronická siréna</t>
  </si>
  <si>
    <t>Znojmo - výstražný a informační systém</t>
  </si>
  <si>
    <t>Kutná Hora - výstavba informačního výstražného varovacího systému</t>
  </si>
  <si>
    <t>Brno - sever - výstavba koncových prvků varování</t>
  </si>
  <si>
    <t>Postoloprty - bezdrátový rozhlas</t>
  </si>
  <si>
    <t>Šternberk - zavedení elektronické sirény do provozu</t>
  </si>
  <si>
    <t>Nová Paka - umístění elektronické sirény s hlasovou informací</t>
  </si>
  <si>
    <t>Zlín - vyrozumívací a varovací systém obyvatelstva</t>
  </si>
  <si>
    <t>Bechyně - varovací systém - obecní bezdrátový rozhlas</t>
  </si>
  <si>
    <t>Mohelnice - cisternová automobilová stříkačka</t>
  </si>
  <si>
    <t>Statutární město Frýdek-Místek - pořízení CAS pro jednotku JPO III JSDH</t>
  </si>
  <si>
    <t>Borovany - cisternová automobilová stříkačka</t>
  </si>
  <si>
    <t>Teplá - pořízení CAS pro jednotku JPO</t>
  </si>
  <si>
    <t>Trojanovice - pořízení CAS pro jednotku JPO III JSDH</t>
  </si>
  <si>
    <t>Tabulka č. 9/1</t>
  </si>
  <si>
    <t>Příjmy z pojistného</t>
  </si>
  <si>
    <t>z toho pojistné na důch. pojištění</t>
  </si>
  <si>
    <t>Nedaňové a kapitálové příjmy</t>
  </si>
  <si>
    <t xml:space="preserve">      Příjmy celkem</t>
  </si>
  <si>
    <t>Plnění</t>
  </si>
  <si>
    <t>Rozdíl</t>
  </si>
  <si>
    <t>%plnění k R2</t>
  </si>
  <si>
    <t>a-b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</si>
  <si>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</si>
  <si>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</si>
  <si>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</si>
  <si>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</si>
  <si>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</si>
  <si>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</si>
  <si>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</si>
  <si>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</si>
  <si>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</si>
  <si>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</si>
  <si>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</si>
  <si>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Zlínský</t>
  </si>
  <si>
    <t>Olomoucký</t>
  </si>
  <si>
    <t>Moravskoslezský</t>
  </si>
  <si>
    <t>Tabulka č. 9</t>
  </si>
  <si>
    <t>Nedaňové,kapitálové příjmy a transfery</t>
  </si>
  <si>
    <t>Policie  ČR celkem</t>
  </si>
  <si>
    <t>OS MV</t>
  </si>
  <si>
    <t>GŘ HZS</t>
  </si>
  <si>
    <t>archivnictví celkem</t>
  </si>
  <si>
    <t>VPŠ MV a SPŠ MV  Praha</t>
  </si>
  <si>
    <t>SPŠ MV  Brno</t>
  </si>
  <si>
    <t>SPŠ MV  Jihlava</t>
  </si>
  <si>
    <t>VPŠ MV  Pardubice</t>
  </si>
  <si>
    <t>rez.školství a Muzeum P ČR celkem</t>
  </si>
  <si>
    <t>Vypracoval: Ing. Petrák, tel. 974 849 806</t>
  </si>
  <si>
    <t xml:space="preserve">Kontroloval: Ing. Jásenský, tel. 974 849 809                                  </t>
  </si>
  <si>
    <t>Tabulka č. 11</t>
  </si>
  <si>
    <t>Přehled o důchodech v roce 2007</t>
  </si>
  <si>
    <t>Druh dávky</t>
  </si>
  <si>
    <t>Převedeno do rezevního fondu v roce 2007</t>
  </si>
  <si>
    <t xml:space="preserve">Porovnání čerpání  v roce 2007 s upraveným rozpočtem (R2)             </t>
  </si>
  <si>
    <t xml:space="preserve">Porovnání čerpání          2007/2006             (v %)      </t>
  </si>
  <si>
    <t xml:space="preserve">Počet vyplácených důchodů                          </t>
  </si>
  <si>
    <t>Prozatímní upuštění od vymáhání pohledávek</t>
  </si>
  <si>
    <t>Trvalé upuštění od vymáhání pohledávek, vyžadující schválení v rámci Ministerstva vnitra</t>
  </si>
  <si>
    <t>Trvalé upuštění od vymáhání pohledávek, vyžadující schválení Ministerstvem financí</t>
  </si>
  <si>
    <t xml:space="preserve">                   "Počet" se rozumí celkový počet pohledávek.</t>
  </si>
  <si>
    <t xml:space="preserve">                   "Suma v Kč" se rozumí finanční vyjádření pohledávek v Kč.</t>
  </si>
  <si>
    <t>Tabulka č. 14</t>
  </si>
  <si>
    <r>
      <t>Poznámka:</t>
    </r>
    <r>
      <rPr>
        <sz val="12"/>
        <rFont val="Arial"/>
        <family val="2"/>
      </rPr>
      <t xml:space="preserve"> Správa pohledávek se řídí § 31 až § 37 zákona č. 219/2000 Sb.</t>
    </r>
  </si>
  <si>
    <t>Vypracovala: Ing. Wimmerová, tel. 974 849 731</t>
  </si>
  <si>
    <t>Praha 15. 2. 2008</t>
  </si>
  <si>
    <t>v Kč</t>
  </si>
  <si>
    <t>214421P728</t>
  </si>
  <si>
    <t>Financování komunikačních služeb ČTU 2007</t>
  </si>
  <si>
    <t>214421P729</t>
  </si>
  <si>
    <t>Financování komunikačních služeb MZE 2007</t>
  </si>
  <si>
    <t>214421P733</t>
  </si>
  <si>
    <t>Financování komunikačních služeb MŠMT 2007</t>
  </si>
  <si>
    <t>214421P734</t>
  </si>
  <si>
    <t>Financování komunikačních služeb MK 2007</t>
  </si>
  <si>
    <t>214421P735</t>
  </si>
  <si>
    <t>Financování komunikačních služeb MZDR 2007</t>
  </si>
  <si>
    <t>214421P736</t>
  </si>
  <si>
    <t>Financování komunikačních služeb MSP 2007</t>
  </si>
  <si>
    <t>214421P738</t>
  </si>
  <si>
    <t>Financování komunikačních služeb objektu Havelkova</t>
  </si>
  <si>
    <t>214421P744</t>
  </si>
  <si>
    <t>Financování komunikačních služeb UPV 2007</t>
  </si>
  <si>
    <t>214421P745</t>
  </si>
  <si>
    <t>Financování komunikačních služeb ČSU 2007</t>
  </si>
  <si>
    <t>214421P749</t>
  </si>
  <si>
    <t>Financování komunikačních služeb ERU 2007</t>
  </si>
  <si>
    <t>214421P753</t>
  </si>
  <si>
    <t>Financování komunikačních služeb UHOS 2007</t>
  </si>
  <si>
    <t>214421P774</t>
  </si>
  <si>
    <t>Propojení OKDS Čestlice a OKDS Průhonice</t>
  </si>
  <si>
    <t>Městský kamerový dohlížecí systém - IV. etapa</t>
  </si>
  <si>
    <t>Mobilní kamera s obrazovým a zvukovým záznamem</t>
  </si>
  <si>
    <t>Rozšíření MDKS - Bezpečné město</t>
  </si>
  <si>
    <t>Rozšíření páteřní intranetové sítě - centrála MKDS</t>
  </si>
  <si>
    <t>Informační radarový měřič</t>
  </si>
  <si>
    <t>Lezecká stěna</t>
  </si>
  <si>
    <t>Obecní kamerový dohlížecí systém (OKDS) - PČR</t>
  </si>
  <si>
    <t>Rozšíření MKDS města Žďár nad Sázavou</t>
  </si>
  <si>
    <t>Kamerový bod před Policií ČR</t>
  </si>
  <si>
    <t>Městský kamerový dohlížecí systém Železná Ruda</t>
  </si>
  <si>
    <t>Rozšíření kamerového systému města Kopřivnice o mobilní kamerový systém</t>
  </si>
  <si>
    <t>Městský kamerový systém Jičín</t>
  </si>
  <si>
    <t>Městský kamerový dohlížecí systém</t>
  </si>
  <si>
    <t>Vybudování MKDS - I. etapa</t>
  </si>
  <si>
    <t>Umístění informativních měřičů rychlosti jízdy</t>
  </si>
  <si>
    <t>Bezpečně do školy 1-ukazatel okamžité pomoci</t>
  </si>
  <si>
    <t>Lanový prvek</t>
  </si>
  <si>
    <t>Bezpečný přechod</t>
  </si>
  <si>
    <t>Kamerový monitorovací systém Teplice - zřízení dohledového pracoviště</t>
  </si>
  <si>
    <t>Rozšíření městského kamerového dohlížecího systému o 2 ka. body</t>
  </si>
  <si>
    <t>Skatepark - Boj proti nudě mladistvých</t>
  </si>
  <si>
    <t>Dálkový monitorovací kamerový systém Děčín - rozšíření o 1 ks kamerového bodu</t>
  </si>
  <si>
    <t>Realizace 2. etapy městského kamerového dohlížecího systému</t>
  </si>
  <si>
    <t>Rozšíření kamerového systému - ETAPA VI</t>
  </si>
  <si>
    <t>Bezpečnost na přechodu</t>
  </si>
  <si>
    <t>Kamerový dohlížecí systém obcí Tanvald, Desná, Kořenov, Smržovka - 2. etapa</t>
  </si>
  <si>
    <t>Rozšíření MKDS</t>
  </si>
  <si>
    <t>Vybavení sportovního areálu - skatepark</t>
  </si>
  <si>
    <t>Městský kamerový systém</t>
  </si>
  <si>
    <t>Vybavení skate parku Milovice - Mladá</t>
  </si>
  <si>
    <t>Pořízení informativních měřičů rychlosti</t>
  </si>
  <si>
    <t>Propojení MKDS se systémy ZŠ</t>
  </si>
  <si>
    <t>Instalace digitálních ukazatelů rychlosti v Poděbradské ulici</t>
  </si>
  <si>
    <t>Obecní kamerový dohlížecí systém</t>
  </si>
  <si>
    <t>Propojení</t>
  </si>
  <si>
    <t>Digitální videosystém</t>
  </si>
  <si>
    <t>Rozšíření městského kamerového dohlížecího systému Lysá nad Labem - II</t>
  </si>
  <si>
    <t>Propojení řídícího centra MKDS Městské policie CV s OŘ PČR</t>
  </si>
  <si>
    <t>Pult centralizované ochrany na služebně MP</t>
  </si>
  <si>
    <t>Rozšíření MKDS a jeho záznamového zařízení</t>
  </si>
  <si>
    <t>Preventivní radary na měření rychlosti</t>
  </si>
  <si>
    <t>Mobilní kamera</t>
  </si>
  <si>
    <t>Propojení kamerového systému na Policii ČR</t>
  </si>
  <si>
    <t>MKDS Frýdlant</t>
  </si>
  <si>
    <t>SKATEPARK - vybavení plochy pro in - line sporty</t>
  </si>
  <si>
    <t>Příbram, stanice HZS - výstavba technologické místnosti</t>
  </si>
  <si>
    <t>Slaný, stanice HZS - rekonstrukce kotelny</t>
  </si>
  <si>
    <t>Hořovice, stanice HZS - rekonstrukce kotelny a otopné soustavy</t>
  </si>
  <si>
    <t>Chomutov PS - vypracování studie stanice</t>
  </si>
  <si>
    <t xml:space="preserve">Ústí nad  Labem  PS  - zdvojená podlaha KOPIS </t>
  </si>
  <si>
    <t>Lovosice - výstavba PS (dálnice D 8)</t>
  </si>
  <si>
    <t>Chrudim CPS - rekonstrukce odtahu spalin</t>
  </si>
  <si>
    <t>Holice v Čechách PS - vybudování systému odtahu spalin</t>
  </si>
  <si>
    <t>Moravská Třebová PS - rekonstrukce střešního pláště</t>
  </si>
  <si>
    <t>Králíky PS - rekonstrukce garážových vrat</t>
  </si>
  <si>
    <t>Klimatizace KOPIS KŘ</t>
  </si>
  <si>
    <t>Bystřice nad Pernštejnem PS - rekonstrukce vrat</t>
  </si>
  <si>
    <t>Jihlava PS - rekonstrukce šaten a jídelny</t>
  </si>
  <si>
    <t>Třebíč PS - výměna vrat garáží</t>
  </si>
  <si>
    <t>Jihlava PS - rekonstrukce kotelny</t>
  </si>
  <si>
    <t>Jihlava - rekonstrukce oplocení a areálu KŘ</t>
  </si>
  <si>
    <t>Brno KŘ - vybudování vjezdu a rekonstrukce oplocení</t>
  </si>
  <si>
    <t>Blansko PS - rekonstrukce střechy</t>
  </si>
  <si>
    <t>Tišnov ŠS - rekonstrukce elektroinstalace laboratoří</t>
  </si>
  <si>
    <t>Hrušovany nad Jevišovkou PS - zateplení fasády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</si>
</sst>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\ @"/>
    <numFmt numFmtId="166" formatCode="dd/mm/yy"/>
    <numFmt numFmtId="167" formatCode="#,##0_ ;[Red]\-#,##0\ "/>
    <numFmt numFmtId="168" formatCode="#,##0.00_ ;[Red]\-#,##0.00\ 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0"/>
  </numFmts>
  <fonts count="122">
    <font>
      <sz val="10"/>
      <name val="Arial CE"/>
      <family val="0"/>
    </font>
    <font>
      <b/>
      <sz val="18"/>
      <color indexed="39"/>
      <name val="Times New Roman CE"/>
      <family val="1"/>
    </font>
    <font>
      <sz val="18"/>
      <color indexed="39"/>
      <name val="Times New Roman CE"/>
      <family val="1"/>
    </font>
    <font>
      <sz val="20"/>
      <color indexed="39"/>
      <name val="Times New Roman CE"/>
      <family val="1"/>
    </font>
    <font>
      <sz val="11"/>
      <color indexed="39"/>
      <name val="Times New Roman CE"/>
      <family val="1"/>
    </font>
    <font>
      <u val="single"/>
      <sz val="18"/>
      <color indexed="39"/>
      <name val="Times New Roman CE"/>
      <family val="1"/>
    </font>
    <font>
      <u val="single"/>
      <sz val="20"/>
      <color indexed="39"/>
      <name val="Times New Roman CE"/>
      <family val="1"/>
    </font>
    <font>
      <b/>
      <sz val="18"/>
      <name val="AmphionCondensedExtrabold"/>
      <family val="0"/>
    </font>
    <font>
      <sz val="18"/>
      <name val="AmphionCondensedExtrabold"/>
      <family val="0"/>
    </font>
    <font>
      <u val="single"/>
      <sz val="18"/>
      <name val="AmphionCondensedExtrabold"/>
      <family val="0"/>
    </font>
    <font>
      <sz val="11"/>
      <name val="AmphionCondensedExtrabold"/>
      <family val="0"/>
    </font>
    <font>
      <sz val="14"/>
      <name val="AmphionCondensedExtrabold"/>
      <family val="0"/>
    </font>
    <font>
      <u val="single"/>
      <sz val="14"/>
      <name val="AmphionCondensedExtrabold"/>
      <family val="0"/>
    </font>
    <font>
      <sz val="10"/>
      <name val="AmphionCondensedExtrabold"/>
      <family val="0"/>
    </font>
    <font>
      <sz val="22"/>
      <name val="Times New Roman CE"/>
      <family val="1"/>
    </font>
    <font>
      <b/>
      <sz val="16"/>
      <name val="Times New Roman CE"/>
      <family val="1"/>
    </font>
    <font>
      <sz val="10"/>
      <name val="Times New Roman CE"/>
      <family val="1"/>
    </font>
    <font>
      <sz val="11"/>
      <name val="Arial CE"/>
      <family val="0"/>
    </font>
    <font>
      <b/>
      <sz val="18"/>
      <name val="Arial CE"/>
      <family val="0"/>
    </font>
    <font>
      <b/>
      <sz val="14"/>
      <color indexed="12"/>
      <name val="Times New Roman CE"/>
      <family val="1"/>
    </font>
    <font>
      <b/>
      <sz val="11"/>
      <color indexed="21"/>
      <name val="Arial CE"/>
      <family val="2"/>
    </font>
    <font>
      <b/>
      <sz val="10"/>
      <color indexed="21"/>
      <name val="Arial CE"/>
      <family val="2"/>
    </font>
    <font>
      <b/>
      <sz val="11"/>
      <color indexed="61"/>
      <name val="Arial CE"/>
      <family val="0"/>
    </font>
    <font>
      <b/>
      <sz val="10"/>
      <color indexed="61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2"/>
      <color indexed="16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AmphionCondensedExtrabold"/>
      <family val="0"/>
    </font>
    <font>
      <b/>
      <sz val="12"/>
      <name val="Bookman Old Style CE"/>
      <family val="1"/>
    </font>
    <font>
      <b/>
      <sz val="11"/>
      <name val="AmphionCondensedExtrabold"/>
      <family val="0"/>
    </font>
    <font>
      <b/>
      <sz val="11"/>
      <color indexed="16"/>
      <name val="AmphionCondensedExtrabold"/>
      <family val="0"/>
    </font>
    <font>
      <b/>
      <sz val="11"/>
      <color indexed="8"/>
      <name val="AmphionCondensedExtrabold"/>
      <family val="0"/>
    </font>
    <font>
      <b/>
      <sz val="11"/>
      <name val="Century Schoolbook CE"/>
      <family val="0"/>
    </font>
    <font>
      <sz val="11"/>
      <name val="Bookman Old Style CE"/>
      <family val="0"/>
    </font>
    <font>
      <sz val="11"/>
      <color indexed="21"/>
      <name val="Arial CE"/>
      <family val="2"/>
    </font>
    <font>
      <sz val="10"/>
      <color indexed="21"/>
      <name val="Arial CE"/>
      <family val="2"/>
    </font>
    <font>
      <b/>
      <sz val="12"/>
      <color indexed="18"/>
      <name val="Times New Roman CE"/>
      <family val="1"/>
    </font>
    <font>
      <sz val="10"/>
      <color indexed="18"/>
      <name val="Times New Roman CE"/>
      <family val="1"/>
    </font>
    <font>
      <b/>
      <sz val="10"/>
      <color indexed="18"/>
      <name val="Times New Roman CE"/>
      <family val="1"/>
    </font>
    <font>
      <b/>
      <sz val="11"/>
      <color indexed="37"/>
      <name val="Times New Roman CE"/>
      <family val="1"/>
    </font>
    <font>
      <sz val="10"/>
      <color indexed="37"/>
      <name val="Times New Roman CE"/>
      <family val="1"/>
    </font>
    <font>
      <b/>
      <sz val="12"/>
      <color indexed="37"/>
      <name val="Times New Roman CE"/>
      <family val="1"/>
    </font>
    <font>
      <b/>
      <sz val="11"/>
      <color indexed="12"/>
      <name val="Times New Roman CE"/>
      <family val="1"/>
    </font>
    <font>
      <b/>
      <sz val="14"/>
      <color indexed="39"/>
      <name val="Times New Roman CE"/>
      <family val="1"/>
    </font>
    <font>
      <b/>
      <sz val="10"/>
      <color indexed="39"/>
      <name val="Times New Roman CE"/>
      <family val="1"/>
    </font>
    <font>
      <b/>
      <sz val="12"/>
      <color indexed="39"/>
      <name val="Times New Roman CE"/>
      <family val="1"/>
    </font>
    <font>
      <i/>
      <sz val="10"/>
      <name val="Times New Roman CE"/>
      <family val="1"/>
    </font>
    <font>
      <b/>
      <sz val="16"/>
      <color indexed="12"/>
      <name val="Times New Roman CE"/>
      <family val="1"/>
    </font>
    <font>
      <b/>
      <sz val="10"/>
      <color indexed="32"/>
      <name val="Times New Roman CE"/>
      <family val="1"/>
    </font>
    <font>
      <sz val="10"/>
      <color indexed="16"/>
      <name val="Times New Roman CE"/>
      <family val="1"/>
    </font>
    <font>
      <sz val="12"/>
      <name val="Times New Roman CE"/>
      <family val="1"/>
    </font>
    <font>
      <b/>
      <sz val="10"/>
      <color indexed="25"/>
      <name val="Times New Roman CE"/>
      <family val="1"/>
    </font>
    <font>
      <sz val="10"/>
      <color indexed="25"/>
      <name val="Times New Roman CE"/>
      <family val="1"/>
    </font>
    <font>
      <b/>
      <sz val="9"/>
      <color indexed="25"/>
      <name val="Times New Roman CE"/>
      <family val="1"/>
    </font>
    <font>
      <sz val="10"/>
      <color indexed="16"/>
      <name val="Arial CE"/>
      <family val="0"/>
    </font>
    <font>
      <u val="single"/>
      <sz val="10"/>
      <name val="Arial CE"/>
      <family val="2"/>
    </font>
    <font>
      <sz val="10"/>
      <name val="Arial Narrow CE"/>
      <family val="2"/>
    </font>
    <font>
      <i/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mphionCondensedExtrabold"/>
      <family val="0"/>
    </font>
    <font>
      <sz val="11"/>
      <name val="Arial Narrow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  <font>
      <sz val="11"/>
      <name val="Arial"/>
      <family val="0"/>
    </font>
    <font>
      <b/>
      <vertAlign val="superscript"/>
      <sz val="11"/>
      <name val="Arial CE"/>
      <family val="0"/>
    </font>
    <font>
      <vertAlign val="superscript"/>
      <sz val="11"/>
      <name val="Arial CE"/>
      <family val="0"/>
    </font>
    <font>
      <b/>
      <sz val="14"/>
      <name val="Arial CE"/>
      <family val="0"/>
    </font>
    <font>
      <sz val="14"/>
      <name val="Arial"/>
      <family val="0"/>
    </font>
    <font>
      <sz val="8"/>
      <name val="Times New Roman CE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4"/>
      <name val="Arial CE"/>
      <family val="0"/>
    </font>
    <font>
      <sz val="16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color indexed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14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i/>
      <sz val="14"/>
      <color indexed="9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b/>
      <i/>
      <sz val="14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4"/>
      <name val="Arial CE"/>
      <family val="2"/>
    </font>
    <font>
      <sz val="14"/>
      <color indexed="8"/>
      <name val="Arial CE"/>
      <family val="2"/>
    </font>
    <font>
      <sz val="19"/>
      <name val="Arial"/>
      <family val="2"/>
    </font>
    <font>
      <b/>
      <sz val="22"/>
      <name val="Arial CE"/>
      <family val="2"/>
    </font>
    <font>
      <sz val="22"/>
      <name val="Arial CE"/>
      <family val="2"/>
    </font>
    <font>
      <b/>
      <i/>
      <sz val="16"/>
      <name val="Arial CE"/>
      <family val="2"/>
    </font>
    <font>
      <i/>
      <sz val="16"/>
      <name val="Arial CE"/>
      <family val="0"/>
    </font>
    <font>
      <b/>
      <i/>
      <sz val="1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24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 style="medium">
        <color indexed="24"/>
      </right>
      <top style="medium">
        <color indexed="24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>
        <color indexed="46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 style="medium">
        <color indexed="46"/>
      </right>
      <top style="medium">
        <color indexed="46"/>
      </top>
      <bottom style="medium">
        <color indexed="46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56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2" borderId="1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Continuous"/>
    </xf>
    <xf numFmtId="0" fontId="16" fillId="2" borderId="3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 horizontal="centerContinuous"/>
    </xf>
    <xf numFmtId="0" fontId="15" fillId="2" borderId="5" xfId="0" applyFont="1" applyFill="1" applyBorder="1" applyAlignment="1">
      <alignment horizontal="centerContinuous"/>
    </xf>
    <xf numFmtId="0" fontId="16" fillId="2" borderId="6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7" fillId="0" borderId="5" xfId="0" applyFont="1" applyBorder="1" applyAlignment="1">
      <alignment horizontal="centerContinuous"/>
    </xf>
    <xf numFmtId="0" fontId="13" fillId="0" borderId="7" xfId="0" applyFont="1" applyBorder="1" applyAlignment="1">
      <alignment/>
    </xf>
    <xf numFmtId="0" fontId="13" fillId="0" borderId="5" xfId="0" applyFont="1" applyBorder="1" applyAlignment="1">
      <alignment/>
    </xf>
    <xf numFmtId="0" fontId="18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3" fillId="3" borderId="8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0" fillId="3" borderId="8" xfId="0" applyFont="1" applyFill="1" applyBorder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8" xfId="0" applyFont="1" applyBorder="1" applyAlignment="1">
      <alignment/>
    </xf>
    <xf numFmtId="0" fontId="0" fillId="0" borderId="8" xfId="0" applyBorder="1" applyAlignment="1">
      <alignment/>
    </xf>
    <xf numFmtId="0" fontId="19" fillId="4" borderId="1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10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20" fillId="4" borderId="9" xfId="0" applyFont="1" applyFill="1" applyBorder="1" applyAlignment="1">
      <alignment horizontal="centerContinuous"/>
    </xf>
    <xf numFmtId="0" fontId="21" fillId="4" borderId="10" xfId="0" applyFont="1" applyFill="1" applyBorder="1" applyAlignment="1">
      <alignment horizontal="centerContinuous"/>
    </xf>
    <xf numFmtId="0" fontId="22" fillId="4" borderId="1" xfId="0" applyFont="1" applyFill="1" applyBorder="1" applyAlignment="1">
      <alignment horizontal="centerContinuous"/>
    </xf>
    <xf numFmtId="0" fontId="23" fillId="4" borderId="3" xfId="0" applyFont="1" applyFill="1" applyBorder="1" applyAlignment="1">
      <alignment horizontal="centerContinuous"/>
    </xf>
    <xf numFmtId="0" fontId="25" fillId="5" borderId="2" xfId="0" applyFont="1" applyFill="1" applyBorder="1" applyAlignment="1">
      <alignment horizontal="centerContinuous"/>
    </xf>
    <xf numFmtId="0" fontId="25" fillId="5" borderId="3" xfId="0" applyFont="1" applyFill="1" applyBorder="1" applyAlignment="1">
      <alignment horizontal="centerContinuous"/>
    </xf>
    <xf numFmtId="0" fontId="16" fillId="0" borderId="0" xfId="0" applyFont="1" applyAlignment="1">
      <alignment/>
    </xf>
    <xf numFmtId="0" fontId="26" fillId="6" borderId="1" xfId="0" applyFont="1" applyFill="1" applyBorder="1" applyAlignment="1">
      <alignment horizontal="centerContinuous"/>
    </xf>
    <xf numFmtId="0" fontId="27" fillId="6" borderId="2" xfId="0" applyFont="1" applyFill="1" applyBorder="1" applyAlignment="1">
      <alignment horizontal="centerContinuous"/>
    </xf>
    <xf numFmtId="0" fontId="27" fillId="6" borderId="3" xfId="0" applyFont="1" applyFill="1" applyBorder="1" applyAlignment="1">
      <alignment horizontal="centerContinuous"/>
    </xf>
    <xf numFmtId="0" fontId="28" fillId="0" borderId="0" xfId="0" applyFont="1" applyAlignment="1">
      <alignment/>
    </xf>
    <xf numFmtId="0" fontId="0" fillId="3" borderId="11" xfId="0" applyFill="1" applyBorder="1" applyAlignment="1">
      <alignment/>
    </xf>
    <xf numFmtId="0" fontId="29" fillId="4" borderId="5" xfId="0" applyFont="1" applyFill="1" applyBorder="1" applyAlignment="1">
      <alignment horizontal="centerContinuous"/>
    </xf>
    <xf numFmtId="0" fontId="29" fillId="4" borderId="6" xfId="0" applyFont="1" applyFill="1" applyBorder="1" applyAlignment="1">
      <alignment horizontal="centerContinuous"/>
    </xf>
    <xf numFmtId="0" fontId="13" fillId="3" borderId="11" xfId="0" applyFont="1" applyFill="1" applyBorder="1" applyAlignment="1">
      <alignment/>
    </xf>
    <xf numFmtId="0" fontId="20" fillId="4" borderId="12" xfId="0" applyFont="1" applyFill="1" applyBorder="1" applyAlignment="1">
      <alignment horizontal="centerContinuous"/>
    </xf>
    <xf numFmtId="0" fontId="21" fillId="4" borderId="13" xfId="0" applyFont="1" applyFill="1" applyBorder="1" applyAlignment="1">
      <alignment horizontal="centerContinuous"/>
    </xf>
    <xf numFmtId="0" fontId="22" fillId="4" borderId="4" xfId="0" applyFont="1" applyFill="1" applyBorder="1" applyAlignment="1">
      <alignment horizontal="centerContinuous"/>
    </xf>
    <xf numFmtId="0" fontId="23" fillId="4" borderId="6" xfId="0" applyFont="1" applyFill="1" applyBorder="1" applyAlignment="1">
      <alignment horizontal="centerContinuous"/>
    </xf>
    <xf numFmtId="0" fontId="30" fillId="5" borderId="4" xfId="0" applyFont="1" applyFill="1" applyBorder="1" applyAlignment="1">
      <alignment horizontal="centerContinuous"/>
    </xf>
    <xf numFmtId="0" fontId="13" fillId="5" borderId="5" xfId="0" applyFont="1" applyFill="1" applyBorder="1" applyAlignment="1">
      <alignment horizontal="centerContinuous"/>
    </xf>
    <xf numFmtId="0" fontId="13" fillId="5" borderId="6" xfId="0" applyFont="1" applyFill="1" applyBorder="1" applyAlignment="1">
      <alignment horizontal="centerContinuous"/>
    </xf>
    <xf numFmtId="0" fontId="31" fillId="6" borderId="4" xfId="0" applyFont="1" applyFill="1" applyBorder="1" applyAlignment="1">
      <alignment horizontal="centerContinuous"/>
    </xf>
    <xf numFmtId="0" fontId="32" fillId="6" borderId="5" xfId="0" applyFont="1" applyFill="1" applyBorder="1" applyAlignment="1">
      <alignment horizontal="centerContinuous"/>
    </xf>
    <xf numFmtId="0" fontId="32" fillId="6" borderId="6" xfId="0" applyFont="1" applyFill="1" applyBorder="1" applyAlignment="1">
      <alignment horizontal="centerContinuous"/>
    </xf>
    <xf numFmtId="0" fontId="7" fillId="3" borderId="0" xfId="0" applyFont="1" applyFill="1" applyAlignment="1">
      <alignment horizontal="center"/>
    </xf>
    <xf numFmtId="0" fontId="33" fillId="2" borderId="14" xfId="0" applyFont="1" applyFill="1" applyBorder="1" applyAlignment="1">
      <alignment horizontal="centerContinuous" wrapText="1"/>
    </xf>
    <xf numFmtId="0" fontId="34" fillId="2" borderId="0" xfId="0" applyFont="1" applyFill="1" applyAlignment="1">
      <alignment horizontal="centerContinuous"/>
    </xf>
    <xf numFmtId="0" fontId="34" fillId="2" borderId="8" xfId="0" applyFont="1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17" fillId="3" borderId="0" xfId="0" applyFont="1" applyFill="1" applyAlignment="1">
      <alignment/>
    </xf>
    <xf numFmtId="0" fontId="35" fillId="3" borderId="16" xfId="0" applyFont="1" applyFill="1" applyBorder="1" applyAlignment="1">
      <alignment horizontal="centerContinuous"/>
    </xf>
    <xf numFmtId="0" fontId="36" fillId="3" borderId="0" xfId="0" applyFont="1" applyFill="1" applyAlignment="1">
      <alignment/>
    </xf>
    <xf numFmtId="0" fontId="17" fillId="3" borderId="16" xfId="0" applyFont="1" applyFill="1" applyBorder="1" applyAlignment="1">
      <alignment horizontal="centerContinuous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20" fillId="0" borderId="17" xfId="0" applyFont="1" applyFill="1" applyBorder="1" applyAlignment="1">
      <alignment horizontal="centerContinuous" wrapText="1"/>
    </xf>
    <xf numFmtId="0" fontId="36" fillId="0" borderId="18" xfId="0" applyFont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37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16" fillId="6" borderId="21" xfId="0" applyFont="1" applyFill="1" applyBorder="1" applyAlignment="1">
      <alignment/>
    </xf>
    <xf numFmtId="0" fontId="39" fillId="0" borderId="22" xfId="0" applyFont="1" applyBorder="1" applyAlignment="1">
      <alignment horizontal="centerContinuous"/>
    </xf>
    <xf numFmtId="0" fontId="39" fillId="0" borderId="23" xfId="0" applyFont="1" applyBorder="1" applyAlignment="1">
      <alignment horizontal="centerContinuous"/>
    </xf>
    <xf numFmtId="0" fontId="39" fillId="0" borderId="24" xfId="0" applyFont="1" applyBorder="1" applyAlignment="1">
      <alignment horizontal="centerContinuous"/>
    </xf>
    <xf numFmtId="0" fontId="16" fillId="0" borderId="8" xfId="0" applyFont="1" applyBorder="1" applyAlignment="1">
      <alignment/>
    </xf>
    <xf numFmtId="0" fontId="40" fillId="6" borderId="4" xfId="0" applyFont="1" applyFill="1" applyBorder="1" applyAlignment="1">
      <alignment/>
    </xf>
    <xf numFmtId="0" fontId="41" fillId="6" borderId="5" xfId="0" applyFont="1" applyFill="1" applyBorder="1" applyAlignment="1">
      <alignment/>
    </xf>
    <xf numFmtId="0" fontId="41" fillId="6" borderId="6" xfId="0" applyFont="1" applyFill="1" applyBorder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8" xfId="0" applyFont="1" applyBorder="1" applyAlignment="1">
      <alignment horizontal="centerContinuous"/>
    </xf>
    <xf numFmtId="0" fontId="16" fillId="2" borderId="0" xfId="0" applyFont="1" applyFill="1" applyAlignment="1">
      <alignment horizontal="centerContinuous"/>
    </xf>
    <xf numFmtId="0" fontId="16" fillId="2" borderId="8" xfId="0" applyFont="1" applyFill="1" applyBorder="1" applyAlignment="1">
      <alignment horizontal="centerContinuous"/>
    </xf>
    <xf numFmtId="0" fontId="39" fillId="0" borderId="25" xfId="0" applyFont="1" applyBorder="1" applyAlignment="1">
      <alignment horizontal="centerContinuous"/>
    </xf>
    <xf numFmtId="0" fontId="39" fillId="0" borderId="26" xfId="0" applyFont="1" applyBorder="1" applyAlignment="1">
      <alignment horizontal="centerContinuous"/>
    </xf>
    <xf numFmtId="0" fontId="39" fillId="0" borderId="27" xfId="0" applyFont="1" applyBorder="1" applyAlignment="1">
      <alignment horizontal="centerContinuous"/>
    </xf>
    <xf numFmtId="0" fontId="42" fillId="7" borderId="0" xfId="0" applyFont="1" applyFill="1" applyBorder="1" applyAlignment="1">
      <alignment horizontal="centerContinuous"/>
    </xf>
    <xf numFmtId="0" fontId="16" fillId="7" borderId="8" xfId="0" applyFont="1" applyFill="1" applyBorder="1" applyAlignment="1">
      <alignment horizontal="centerContinuous"/>
    </xf>
    <xf numFmtId="0" fontId="16" fillId="7" borderId="0" xfId="0" applyFont="1" applyFill="1" applyBorder="1" applyAlignment="1">
      <alignment horizontal="centerContinuous"/>
    </xf>
    <xf numFmtId="0" fontId="39" fillId="0" borderId="28" xfId="0" applyFont="1" applyBorder="1" applyAlignment="1">
      <alignment horizontal="centerContinuous"/>
    </xf>
    <xf numFmtId="0" fontId="39" fillId="0" borderId="20" xfId="0" applyFont="1" applyBorder="1" applyAlignment="1">
      <alignment horizontal="centerContinuous"/>
    </xf>
    <xf numFmtId="0" fontId="25" fillId="4" borderId="1" xfId="0" applyFont="1" applyFill="1" applyBorder="1" applyAlignment="1">
      <alignment/>
    </xf>
    <xf numFmtId="0" fontId="16" fillId="4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6" borderId="5" xfId="0" applyFont="1" applyFill="1" applyBorder="1" applyAlignment="1">
      <alignment/>
    </xf>
    <xf numFmtId="0" fontId="16" fillId="6" borderId="6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29" xfId="0" applyFont="1" applyFill="1" applyBorder="1" applyAlignment="1">
      <alignment/>
    </xf>
    <xf numFmtId="0" fontId="16" fillId="2" borderId="15" xfId="0" applyFont="1" applyFill="1" applyBorder="1" applyAlignment="1">
      <alignment/>
    </xf>
    <xf numFmtId="0" fontId="24" fillId="3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2" borderId="30" xfId="0" applyFont="1" applyFill="1" applyBorder="1" applyAlignment="1">
      <alignment/>
    </xf>
    <xf numFmtId="0" fontId="43" fillId="3" borderId="14" xfId="0" applyFont="1" applyFill="1" applyBorder="1" applyAlignment="1">
      <alignment textRotation="255"/>
    </xf>
    <xf numFmtId="0" fontId="0" fillId="8" borderId="14" xfId="0" applyFill="1" applyBorder="1" applyAlignment="1">
      <alignment/>
    </xf>
    <xf numFmtId="0" fontId="44" fillId="0" borderId="31" xfId="0" applyFont="1" applyFill="1" applyBorder="1" applyAlignment="1">
      <alignment horizontal="centerContinuous"/>
    </xf>
    <xf numFmtId="0" fontId="45" fillId="0" borderId="32" xfId="0" applyFont="1" applyFill="1" applyBorder="1" applyAlignment="1">
      <alignment horizontal="centerContinuous"/>
    </xf>
    <xf numFmtId="0" fontId="16" fillId="0" borderId="32" xfId="0" applyFont="1" applyFill="1" applyBorder="1" applyAlignment="1">
      <alignment horizontal="centerContinuous"/>
    </xf>
    <xf numFmtId="0" fontId="16" fillId="0" borderId="33" xfId="0" applyFont="1" applyFill="1" applyBorder="1" applyAlignment="1">
      <alignment horizontal="centerContinuous"/>
    </xf>
    <xf numFmtId="0" fontId="16" fillId="8" borderId="15" xfId="0" applyFont="1" applyFill="1" applyBorder="1" applyAlignment="1">
      <alignment/>
    </xf>
    <xf numFmtId="0" fontId="43" fillId="9" borderId="34" xfId="0" applyFont="1" applyFill="1" applyBorder="1" applyAlignment="1">
      <alignment textRotation="255"/>
    </xf>
    <xf numFmtId="0" fontId="39" fillId="0" borderId="0" xfId="0" applyFont="1" applyAlignment="1">
      <alignment horizontal="centerContinuous"/>
    </xf>
    <xf numFmtId="0" fontId="45" fillId="8" borderId="0" xfId="0" applyFont="1" applyFill="1" applyAlignment="1">
      <alignment horizontal="centerContinuous"/>
    </xf>
    <xf numFmtId="0" fontId="45" fillId="8" borderId="8" xfId="0" applyFont="1" applyFill="1" applyBorder="1" applyAlignment="1">
      <alignment horizontal="centerContinuous"/>
    </xf>
    <xf numFmtId="0" fontId="16" fillId="8" borderId="0" xfId="0" applyFont="1" applyFill="1" applyAlignment="1">
      <alignment horizontal="centerContinuous"/>
    </xf>
    <xf numFmtId="0" fontId="16" fillId="8" borderId="28" xfId="0" applyFont="1" applyFill="1" applyBorder="1" applyAlignment="1">
      <alignment horizontal="centerContinuous"/>
    </xf>
    <xf numFmtId="0" fontId="43" fillId="9" borderId="35" xfId="0" applyFont="1" applyFill="1" applyBorder="1" applyAlignment="1">
      <alignment textRotation="255"/>
    </xf>
    <xf numFmtId="0" fontId="46" fillId="0" borderId="31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8" xfId="0" applyFont="1" applyBorder="1" applyAlignment="1">
      <alignment horizontal="centerContinuous"/>
    </xf>
    <xf numFmtId="0" fontId="47" fillId="0" borderId="0" xfId="0" applyFont="1" applyAlignment="1">
      <alignment/>
    </xf>
    <xf numFmtId="0" fontId="46" fillId="8" borderId="0" xfId="0" applyFont="1" applyFill="1" applyAlignment="1">
      <alignment horizontal="centerContinuous"/>
    </xf>
    <xf numFmtId="0" fontId="48" fillId="9" borderId="35" xfId="0" applyFont="1" applyFill="1" applyBorder="1" applyAlignment="1">
      <alignment textRotation="255"/>
    </xf>
    <xf numFmtId="0" fontId="49" fillId="0" borderId="22" xfId="0" applyFont="1" applyFill="1" applyBorder="1" applyAlignment="1">
      <alignment horizontal="centerContinuous"/>
    </xf>
    <xf numFmtId="0" fontId="16" fillId="0" borderId="23" xfId="0" applyFont="1" applyBorder="1" applyAlignment="1">
      <alignment horizontal="centerContinuous"/>
    </xf>
    <xf numFmtId="0" fontId="16" fillId="0" borderId="24" xfId="0" applyFont="1" applyBorder="1" applyAlignment="1">
      <alignment horizontal="centerContinuous"/>
    </xf>
    <xf numFmtId="0" fontId="50" fillId="0" borderId="36" xfId="0" applyFont="1" applyBorder="1" applyAlignment="1">
      <alignment horizontal="centerContinuous"/>
    </xf>
    <xf numFmtId="0" fontId="16" fillId="0" borderId="37" xfId="0" applyFont="1" applyBorder="1" applyAlignment="1">
      <alignment horizontal="centerContinuous"/>
    </xf>
    <xf numFmtId="0" fontId="16" fillId="0" borderId="38" xfId="0" applyFont="1" applyBorder="1" applyAlignment="1">
      <alignment horizontal="centerContinuous"/>
    </xf>
    <xf numFmtId="0" fontId="51" fillId="0" borderId="0" xfId="0" applyFont="1" applyAlignment="1">
      <alignment/>
    </xf>
    <xf numFmtId="0" fontId="48" fillId="9" borderId="35" xfId="0" applyFont="1" applyFill="1" applyBorder="1" applyAlignment="1">
      <alignment horizontal="centerContinuous"/>
    </xf>
    <xf numFmtId="0" fontId="50" fillId="0" borderId="0" xfId="0" applyFont="1" applyBorder="1" applyAlignment="1">
      <alignment horizontal="centerContinuous"/>
    </xf>
    <xf numFmtId="0" fontId="52" fillId="0" borderId="39" xfId="0" applyFont="1" applyFill="1" applyBorder="1" applyAlignment="1">
      <alignment horizontal="centerContinuous" wrapText="1"/>
    </xf>
    <xf numFmtId="0" fontId="53" fillId="0" borderId="40" xfId="0" applyFont="1" applyBorder="1" applyAlignment="1">
      <alignment horizontal="centerContinuous"/>
    </xf>
    <xf numFmtId="0" fontId="53" fillId="0" borderId="41" xfId="0" applyFont="1" applyBorder="1" applyAlignment="1">
      <alignment horizontal="centerContinuous"/>
    </xf>
    <xf numFmtId="0" fontId="45" fillId="0" borderId="33" xfId="0" applyFont="1" applyFill="1" applyBorder="1" applyAlignment="1">
      <alignment horizontal="centerContinuous"/>
    </xf>
    <xf numFmtId="0" fontId="16" fillId="0" borderId="42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53" fillId="0" borderId="0" xfId="0" applyFont="1" applyAlignment="1">
      <alignment horizontal="centerContinuous"/>
    </xf>
    <xf numFmtId="0" fontId="53" fillId="0" borderId="8" xfId="0" applyFont="1" applyBorder="1" applyAlignment="1">
      <alignment horizontal="centerContinuous"/>
    </xf>
    <xf numFmtId="0" fontId="50" fillId="0" borderId="0" xfId="0" applyFont="1" applyAlignment="1">
      <alignment horizontal="centerContinuous"/>
    </xf>
    <xf numFmtId="0" fontId="52" fillId="0" borderId="39" xfId="0" applyFont="1" applyFill="1" applyBorder="1" applyAlignment="1">
      <alignment horizontal="centerContinuous"/>
    </xf>
    <xf numFmtId="0" fontId="22" fillId="3" borderId="16" xfId="0" applyFont="1" applyFill="1" applyBorder="1" applyAlignment="1">
      <alignment horizontal="centerContinuous"/>
    </xf>
    <xf numFmtId="0" fontId="54" fillId="0" borderId="39" xfId="0" applyFont="1" applyFill="1" applyBorder="1" applyAlignment="1">
      <alignment horizontal="centerContinuous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16" fillId="8" borderId="0" xfId="0" applyFont="1" applyFill="1" applyBorder="1" applyAlignment="1">
      <alignment/>
    </xf>
    <xf numFmtId="0" fontId="0" fillId="3" borderId="0" xfId="0" applyFill="1" applyBorder="1" applyAlignment="1">
      <alignment horizontal="centerContinuous"/>
    </xf>
    <xf numFmtId="0" fontId="0" fillId="8" borderId="43" xfId="0" applyFill="1" applyBorder="1" applyAlignment="1">
      <alignment/>
    </xf>
    <xf numFmtId="0" fontId="45" fillId="0" borderId="31" xfId="0" applyFont="1" applyFill="1" applyBorder="1" applyAlignment="1">
      <alignment horizontal="centerContinuous"/>
    </xf>
    <xf numFmtId="0" fontId="16" fillId="8" borderId="44" xfId="0" applyFont="1" applyFill="1" applyBorder="1" applyAlignment="1">
      <alignment/>
    </xf>
    <xf numFmtId="0" fontId="43" fillId="9" borderId="45" xfId="0" applyFont="1" applyFill="1" applyBorder="1" applyAlignment="1">
      <alignment textRotation="255"/>
    </xf>
    <xf numFmtId="0" fontId="56" fillId="3" borderId="0" xfId="0" applyFont="1" applyFill="1" applyAlignment="1">
      <alignment/>
    </xf>
    <xf numFmtId="0" fontId="57" fillId="3" borderId="0" xfId="0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Continuous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Continuous"/>
    </xf>
    <xf numFmtId="0" fontId="0" fillId="4" borderId="0" xfId="0" applyFill="1" applyAlignment="1">
      <alignment/>
    </xf>
    <xf numFmtId="0" fontId="30" fillId="5" borderId="1" xfId="0" applyFont="1" applyFill="1" applyBorder="1" applyAlignment="1">
      <alignment horizontal="centerContinuous"/>
    </xf>
    <xf numFmtId="0" fontId="19" fillId="4" borderId="4" xfId="0" applyFont="1" applyFill="1" applyBorder="1" applyAlignment="1">
      <alignment horizontal="centerContinuous"/>
    </xf>
    <xf numFmtId="0" fontId="66" fillId="0" borderId="0" xfId="23" applyFont="1" applyBorder="1">
      <alignment/>
      <protection/>
    </xf>
    <xf numFmtId="0" fontId="66" fillId="0" borderId="0" xfId="22" applyFont="1">
      <alignment/>
      <protection/>
    </xf>
    <xf numFmtId="0" fontId="68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3" fontId="70" fillId="0" borderId="0" xfId="32" applyNumberFormat="1" applyFont="1" applyFill="1">
      <alignment/>
      <protection/>
    </xf>
    <xf numFmtId="3" fontId="69" fillId="0" borderId="0" xfId="32" applyNumberFormat="1" applyFont="1" applyFill="1">
      <alignment/>
      <protection/>
    </xf>
    <xf numFmtId="3" fontId="70" fillId="0" borderId="0" xfId="32" applyNumberFormat="1" applyFont="1" applyFill="1" applyBorder="1">
      <alignment/>
      <protection/>
    </xf>
    <xf numFmtId="3" fontId="70" fillId="0" borderId="0" xfId="32" applyNumberFormat="1" applyFont="1" applyFill="1" applyBorder="1" applyAlignment="1">
      <alignment horizontal="right"/>
      <protection/>
    </xf>
    <xf numFmtId="3" fontId="70" fillId="0" borderId="1" xfId="32" applyNumberFormat="1" applyFont="1" applyFill="1" applyBorder="1">
      <alignment/>
      <protection/>
    </xf>
    <xf numFmtId="3" fontId="70" fillId="0" borderId="3" xfId="32" applyNumberFormat="1" applyFont="1" applyFill="1" applyBorder="1">
      <alignment/>
      <protection/>
    </xf>
    <xf numFmtId="3" fontId="70" fillId="0" borderId="19" xfId="32" applyNumberFormat="1" applyFont="1" applyFill="1" applyBorder="1">
      <alignment/>
      <protection/>
    </xf>
    <xf numFmtId="3" fontId="70" fillId="0" borderId="46" xfId="32" applyNumberFormat="1" applyFont="1" applyFill="1" applyBorder="1">
      <alignment/>
      <protection/>
    </xf>
    <xf numFmtId="3" fontId="70" fillId="0" borderId="47" xfId="32" applyNumberFormat="1" applyFont="1" applyFill="1" applyBorder="1">
      <alignment/>
      <protection/>
    </xf>
    <xf numFmtId="3" fontId="70" fillId="0" borderId="48" xfId="32" applyNumberFormat="1" applyFont="1" applyFill="1" applyBorder="1">
      <alignment/>
      <protection/>
    </xf>
    <xf numFmtId="3" fontId="70" fillId="0" borderId="49" xfId="32" applyNumberFormat="1" applyFont="1" applyFill="1" applyBorder="1">
      <alignment/>
      <protection/>
    </xf>
    <xf numFmtId="3" fontId="70" fillId="0" borderId="50" xfId="32" applyNumberFormat="1" applyFont="1" applyFill="1" applyBorder="1">
      <alignment/>
      <protection/>
    </xf>
    <xf numFmtId="3" fontId="70" fillId="0" borderId="51" xfId="32" applyNumberFormat="1" applyFont="1" applyFill="1" applyBorder="1">
      <alignment/>
      <protection/>
    </xf>
    <xf numFmtId="3" fontId="70" fillId="0" borderId="29" xfId="32" applyNumberFormat="1" applyFont="1" applyFill="1" applyBorder="1">
      <alignment/>
      <protection/>
    </xf>
    <xf numFmtId="3" fontId="70" fillId="0" borderId="2" xfId="32" applyNumberFormat="1" applyFont="1" applyFill="1" applyBorder="1">
      <alignment/>
      <protection/>
    </xf>
    <xf numFmtId="3" fontId="70" fillId="0" borderId="52" xfId="32" applyNumberFormat="1" applyFont="1" applyFill="1" applyBorder="1">
      <alignment/>
      <protection/>
    </xf>
    <xf numFmtId="3" fontId="70" fillId="0" borderId="53" xfId="32" applyNumberFormat="1" applyFont="1" applyFill="1" applyBorder="1">
      <alignment/>
      <protection/>
    </xf>
    <xf numFmtId="3" fontId="70" fillId="0" borderId="8" xfId="32" applyNumberFormat="1" applyFont="1" applyFill="1" applyBorder="1">
      <alignment/>
      <protection/>
    </xf>
    <xf numFmtId="3" fontId="70" fillId="0" borderId="21" xfId="32" applyNumberFormat="1" applyFont="1" applyFill="1" applyBorder="1">
      <alignment/>
      <protection/>
    </xf>
    <xf numFmtId="3" fontId="70" fillId="0" borderId="54" xfId="32" applyNumberFormat="1" applyFont="1" applyFill="1" applyBorder="1">
      <alignment/>
      <protection/>
    </xf>
    <xf numFmtId="3" fontId="70" fillId="0" borderId="55" xfId="32" applyNumberFormat="1" applyFont="1" applyFill="1" applyBorder="1">
      <alignment/>
      <protection/>
    </xf>
    <xf numFmtId="3" fontId="70" fillId="0" borderId="56" xfId="32" applyNumberFormat="1" applyFont="1" applyFill="1" applyBorder="1">
      <alignment/>
      <protection/>
    </xf>
    <xf numFmtId="3" fontId="70" fillId="0" borderId="57" xfId="32" applyNumberFormat="1" applyFont="1" applyFill="1" applyBorder="1">
      <alignment/>
      <protection/>
    </xf>
    <xf numFmtId="3" fontId="70" fillId="0" borderId="58" xfId="32" applyNumberFormat="1" applyFont="1" applyFill="1" applyBorder="1">
      <alignment/>
      <protection/>
    </xf>
    <xf numFmtId="3" fontId="70" fillId="0" borderId="59" xfId="32" applyNumberFormat="1" applyFont="1" applyFill="1" applyBorder="1">
      <alignment/>
      <protection/>
    </xf>
    <xf numFmtId="3" fontId="70" fillId="0" borderId="60" xfId="32" applyNumberFormat="1" applyFont="1" applyFill="1" applyBorder="1">
      <alignment/>
      <protection/>
    </xf>
    <xf numFmtId="3" fontId="70" fillId="0" borderId="61" xfId="32" applyNumberFormat="1" applyFont="1" applyFill="1" applyBorder="1">
      <alignment/>
      <protection/>
    </xf>
    <xf numFmtId="3" fontId="70" fillId="0" borderId="62" xfId="32" applyNumberFormat="1" applyFont="1" applyFill="1" applyBorder="1">
      <alignment/>
      <protection/>
    </xf>
    <xf numFmtId="3" fontId="70" fillId="0" borderId="28" xfId="32" applyNumberFormat="1" applyFont="1" applyFill="1" applyBorder="1">
      <alignment/>
      <protection/>
    </xf>
    <xf numFmtId="3" fontId="70" fillId="0" borderId="63" xfId="32" applyNumberFormat="1" applyFont="1" applyFill="1" applyBorder="1">
      <alignment/>
      <protection/>
    </xf>
    <xf numFmtId="3" fontId="70" fillId="0" borderId="64" xfId="32" applyNumberFormat="1" applyFont="1" applyFill="1" applyBorder="1">
      <alignment/>
      <protection/>
    </xf>
    <xf numFmtId="3" fontId="70" fillId="0" borderId="65" xfId="32" applyNumberFormat="1" applyFont="1" applyFill="1" applyBorder="1">
      <alignment/>
      <protection/>
    </xf>
    <xf numFmtId="3" fontId="70" fillId="0" borderId="66" xfId="32" applyNumberFormat="1" applyFont="1" applyFill="1" applyBorder="1">
      <alignment/>
      <protection/>
    </xf>
    <xf numFmtId="3" fontId="70" fillId="0" borderId="67" xfId="32" applyNumberFormat="1" applyFont="1" applyFill="1" applyBorder="1">
      <alignment/>
      <protection/>
    </xf>
    <xf numFmtId="3" fontId="70" fillId="0" borderId="68" xfId="32" applyNumberFormat="1" applyFont="1" applyFill="1" applyBorder="1">
      <alignment/>
      <protection/>
    </xf>
    <xf numFmtId="3" fontId="70" fillId="0" borderId="69" xfId="32" applyNumberFormat="1" applyFont="1" applyFill="1" applyBorder="1">
      <alignment/>
      <protection/>
    </xf>
    <xf numFmtId="3" fontId="69" fillId="0" borderId="70" xfId="32" applyNumberFormat="1" applyFont="1" applyFill="1" applyBorder="1">
      <alignment/>
      <protection/>
    </xf>
    <xf numFmtId="3" fontId="69" fillId="0" borderId="71" xfId="32" applyNumberFormat="1" applyFont="1" applyFill="1" applyBorder="1">
      <alignment/>
      <protection/>
    </xf>
    <xf numFmtId="3" fontId="69" fillId="0" borderId="72" xfId="32" applyNumberFormat="1" applyFont="1" applyFill="1" applyBorder="1">
      <alignment/>
      <protection/>
    </xf>
    <xf numFmtId="3" fontId="69" fillId="0" borderId="73" xfId="32" applyNumberFormat="1" applyFont="1" applyFill="1" applyBorder="1">
      <alignment/>
      <protection/>
    </xf>
    <xf numFmtId="3" fontId="69" fillId="0" borderId="74" xfId="32" applyNumberFormat="1" applyFont="1" applyFill="1" applyBorder="1">
      <alignment/>
      <protection/>
    </xf>
    <xf numFmtId="3" fontId="69" fillId="0" borderId="0" xfId="32" applyNumberFormat="1" applyFont="1" applyFill="1" applyBorder="1">
      <alignment/>
      <protection/>
    </xf>
    <xf numFmtId="3" fontId="70" fillId="0" borderId="74" xfId="32" applyNumberFormat="1" applyFont="1" applyFill="1" applyBorder="1">
      <alignment/>
      <protection/>
    </xf>
    <xf numFmtId="4" fontId="70" fillId="0" borderId="0" xfId="32" applyNumberFormat="1" applyFont="1" applyFill="1">
      <alignment/>
      <protection/>
    </xf>
    <xf numFmtId="3" fontId="69" fillId="0" borderId="0" xfId="32" applyNumberFormat="1" applyFont="1" applyFill="1" applyAlignment="1">
      <alignment horizontal="right"/>
      <protection/>
    </xf>
    <xf numFmtId="0" fontId="71" fillId="0" borderId="0" xfId="20" applyFont="1" applyAlignment="1">
      <alignment horizontal="center"/>
      <protection/>
    </xf>
    <xf numFmtId="0" fontId="64" fillId="0" borderId="0" xfId="20">
      <alignment/>
      <protection/>
    </xf>
    <xf numFmtId="0" fontId="65" fillId="0" borderId="0" xfId="20" applyFont="1">
      <alignment/>
      <protection/>
    </xf>
    <xf numFmtId="0" fontId="65" fillId="0" borderId="0" xfId="20" applyFont="1" applyAlignment="1">
      <alignment horizontal="center"/>
      <protection/>
    </xf>
    <xf numFmtId="0" fontId="64" fillId="0" borderId="0" xfId="20" applyAlignment="1">
      <alignment horizontal="right"/>
      <protection/>
    </xf>
    <xf numFmtId="0" fontId="73" fillId="0" borderId="55" xfId="20" applyFont="1" applyBorder="1" applyAlignment="1">
      <alignment horizontal="center"/>
      <protection/>
    </xf>
    <xf numFmtId="0" fontId="73" fillId="0" borderId="47" xfId="20" applyFont="1" applyBorder="1">
      <alignment/>
      <protection/>
    </xf>
    <xf numFmtId="0" fontId="17" fillId="0" borderId="47" xfId="20" applyFont="1" applyBorder="1">
      <alignment/>
      <protection/>
    </xf>
    <xf numFmtId="0" fontId="74" fillId="0" borderId="47" xfId="20" applyFont="1" applyBorder="1">
      <alignment/>
      <protection/>
    </xf>
    <xf numFmtId="0" fontId="74" fillId="0" borderId="75" xfId="20" applyFont="1" applyBorder="1">
      <alignment/>
      <protection/>
    </xf>
    <xf numFmtId="0" fontId="74" fillId="0" borderId="48" xfId="20" applyFont="1" applyBorder="1">
      <alignment/>
      <protection/>
    </xf>
    <xf numFmtId="0" fontId="72" fillId="0" borderId="62" xfId="20" applyFont="1" applyBorder="1">
      <alignment/>
      <protection/>
    </xf>
    <xf numFmtId="3" fontId="73" fillId="0" borderId="60" xfId="20" applyNumberFormat="1" applyFont="1" applyBorder="1">
      <alignment/>
      <protection/>
    </xf>
    <xf numFmtId="3" fontId="72" fillId="0" borderId="60" xfId="20" applyNumberFormat="1" applyFont="1" applyBorder="1">
      <alignment/>
      <protection/>
    </xf>
    <xf numFmtId="3" fontId="72" fillId="0" borderId="60" xfId="20" applyNumberFormat="1" applyFont="1" applyFill="1" applyBorder="1">
      <alignment/>
      <protection/>
    </xf>
    <xf numFmtId="3" fontId="72" fillId="0" borderId="76" xfId="20" applyNumberFormat="1" applyFont="1" applyBorder="1">
      <alignment/>
      <protection/>
    </xf>
    <xf numFmtId="3" fontId="72" fillId="0" borderId="76" xfId="20" applyNumberFormat="1" applyFont="1" applyFill="1" applyBorder="1">
      <alignment/>
      <protection/>
    </xf>
    <xf numFmtId="3" fontId="72" fillId="0" borderId="61" xfId="20" applyNumberFormat="1" applyFont="1" applyFill="1" applyBorder="1">
      <alignment/>
      <protection/>
    </xf>
    <xf numFmtId="0" fontId="17" fillId="0" borderId="62" xfId="20" applyFont="1" applyBorder="1">
      <alignment/>
      <protection/>
    </xf>
    <xf numFmtId="3" fontId="65" fillId="0" borderId="60" xfId="20" applyNumberFormat="1" applyFont="1" applyBorder="1">
      <alignment/>
      <protection/>
    </xf>
    <xf numFmtId="3" fontId="17" fillId="0" borderId="60" xfId="20" applyNumberFormat="1" applyFont="1" applyBorder="1">
      <alignment/>
      <protection/>
    </xf>
    <xf numFmtId="3" fontId="17" fillId="0" borderId="60" xfId="20" applyNumberFormat="1" applyFont="1" applyFill="1" applyBorder="1">
      <alignment/>
      <protection/>
    </xf>
    <xf numFmtId="3" fontId="17" fillId="0" borderId="76" xfId="20" applyNumberFormat="1" applyFont="1" applyFill="1" applyBorder="1">
      <alignment/>
      <protection/>
    </xf>
    <xf numFmtId="3" fontId="17" fillId="0" borderId="61" xfId="20" applyNumberFormat="1" applyFont="1" applyFill="1" applyBorder="1">
      <alignment/>
      <protection/>
    </xf>
    <xf numFmtId="0" fontId="65" fillId="0" borderId="60" xfId="20" applyFont="1" applyBorder="1">
      <alignment/>
      <protection/>
    </xf>
    <xf numFmtId="0" fontId="17" fillId="0" borderId="60" xfId="20" applyFont="1" applyBorder="1">
      <alignment/>
      <protection/>
    </xf>
    <xf numFmtId="0" fontId="74" fillId="0" borderId="60" xfId="20" applyFont="1" applyBorder="1">
      <alignment/>
      <protection/>
    </xf>
    <xf numFmtId="3" fontId="74" fillId="0" borderId="76" xfId="20" applyNumberFormat="1" applyFont="1" applyBorder="1">
      <alignment/>
      <protection/>
    </xf>
    <xf numFmtId="3" fontId="74" fillId="0" borderId="76" xfId="20" applyNumberFormat="1" applyFont="1" applyFill="1" applyBorder="1">
      <alignment/>
      <protection/>
    </xf>
    <xf numFmtId="3" fontId="74" fillId="0" borderId="60" xfId="20" applyNumberFormat="1" applyFont="1" applyFill="1" applyBorder="1">
      <alignment/>
      <protection/>
    </xf>
    <xf numFmtId="3" fontId="74" fillId="0" borderId="61" xfId="20" applyNumberFormat="1" applyFont="1" applyFill="1" applyBorder="1">
      <alignment/>
      <protection/>
    </xf>
    <xf numFmtId="0" fontId="73" fillId="0" borderId="0" xfId="20" applyFont="1">
      <alignment/>
      <protection/>
    </xf>
    <xf numFmtId="3" fontId="72" fillId="0" borderId="60" xfId="20" applyNumberFormat="1" applyFont="1" applyFill="1" applyBorder="1" applyAlignment="1">
      <alignment horizontal="right"/>
      <protection/>
    </xf>
    <xf numFmtId="3" fontId="17" fillId="0" borderId="76" xfId="20" applyNumberFormat="1" applyFont="1" applyBorder="1">
      <alignment/>
      <protection/>
    </xf>
    <xf numFmtId="3" fontId="74" fillId="0" borderId="60" xfId="20" applyNumberFormat="1" applyFont="1" applyBorder="1">
      <alignment/>
      <protection/>
    </xf>
    <xf numFmtId="0" fontId="64" fillId="0" borderId="60" xfId="20" applyBorder="1">
      <alignment/>
      <protection/>
    </xf>
    <xf numFmtId="3" fontId="64" fillId="0" borderId="76" xfId="20" applyNumberFormat="1" applyBorder="1">
      <alignment/>
      <protection/>
    </xf>
    <xf numFmtId="3" fontId="64" fillId="0" borderId="76" xfId="20" applyNumberFormat="1" applyFill="1" applyBorder="1">
      <alignment/>
      <protection/>
    </xf>
    <xf numFmtId="0" fontId="64" fillId="0" borderId="60" xfId="20" applyFill="1" applyBorder="1">
      <alignment/>
      <protection/>
    </xf>
    <xf numFmtId="0" fontId="64" fillId="0" borderId="61" xfId="20" applyFill="1" applyBorder="1">
      <alignment/>
      <protection/>
    </xf>
    <xf numFmtId="2" fontId="65" fillId="0" borderId="60" xfId="20" applyNumberFormat="1" applyFont="1" applyBorder="1">
      <alignment/>
      <protection/>
    </xf>
    <xf numFmtId="2" fontId="17" fillId="0" borderId="60" xfId="20" applyNumberFormat="1" applyFont="1" applyBorder="1">
      <alignment/>
      <protection/>
    </xf>
    <xf numFmtId="2" fontId="17" fillId="0" borderId="76" xfId="20" applyNumberFormat="1" applyFont="1" applyFill="1" applyBorder="1">
      <alignment/>
      <protection/>
    </xf>
    <xf numFmtId="2" fontId="17" fillId="0" borderId="60" xfId="20" applyNumberFormat="1" applyFont="1" applyFill="1" applyBorder="1">
      <alignment/>
      <protection/>
    </xf>
    <xf numFmtId="2" fontId="17" fillId="0" borderId="61" xfId="20" applyNumberFormat="1" applyFont="1" applyFill="1" applyBorder="1">
      <alignment/>
      <protection/>
    </xf>
    <xf numFmtId="2" fontId="17" fillId="0" borderId="76" xfId="20" applyNumberFormat="1" applyFont="1" applyFill="1" applyBorder="1" applyAlignment="1">
      <alignment horizontal="right"/>
      <protection/>
    </xf>
    <xf numFmtId="2" fontId="17" fillId="0" borderId="60" xfId="20" applyNumberFormat="1" applyFont="1" applyFill="1" applyBorder="1" applyAlignment="1">
      <alignment horizontal="right"/>
      <protection/>
    </xf>
    <xf numFmtId="2" fontId="17" fillId="0" borderId="61" xfId="20" applyNumberFormat="1" applyFont="1" applyFill="1" applyBorder="1" applyAlignment="1">
      <alignment horizontal="right"/>
      <protection/>
    </xf>
    <xf numFmtId="2" fontId="17" fillId="0" borderId="76" xfId="20" applyNumberFormat="1" applyFont="1" applyBorder="1" applyAlignment="1">
      <alignment horizontal="right"/>
      <protection/>
    </xf>
    <xf numFmtId="0" fontId="74" fillId="0" borderId="60" xfId="20" applyFont="1" applyFill="1" applyBorder="1">
      <alignment/>
      <protection/>
    </xf>
    <xf numFmtId="0" fontId="74" fillId="0" borderId="61" xfId="20" applyFont="1" applyFill="1" applyBorder="1">
      <alignment/>
      <protection/>
    </xf>
    <xf numFmtId="2" fontId="17" fillId="0" borderId="76" xfId="20" applyNumberFormat="1" applyFont="1" applyBorder="1">
      <alignment/>
      <protection/>
    </xf>
    <xf numFmtId="0" fontId="17" fillId="0" borderId="77" xfId="20" applyFont="1" applyBorder="1">
      <alignment/>
      <protection/>
    </xf>
    <xf numFmtId="0" fontId="65" fillId="0" borderId="78" xfId="20" applyFont="1" applyBorder="1">
      <alignment/>
      <protection/>
    </xf>
    <xf numFmtId="2" fontId="65" fillId="0" borderId="78" xfId="20" applyNumberFormat="1" applyFont="1" applyBorder="1">
      <alignment/>
      <protection/>
    </xf>
    <xf numFmtId="4" fontId="17" fillId="0" borderId="78" xfId="20" applyNumberFormat="1" applyFont="1" applyBorder="1">
      <alignment/>
      <protection/>
    </xf>
    <xf numFmtId="4" fontId="17" fillId="0" borderId="78" xfId="20" applyNumberFormat="1" applyFont="1" applyFill="1" applyBorder="1">
      <alignment/>
      <protection/>
    </xf>
    <xf numFmtId="4" fontId="17" fillId="0" borderId="79" xfId="20" applyNumberFormat="1" applyFont="1" applyFill="1" applyBorder="1">
      <alignment/>
      <protection/>
    </xf>
    <xf numFmtId="0" fontId="17" fillId="0" borderId="0" xfId="20" applyFont="1" applyBorder="1">
      <alignment/>
      <protection/>
    </xf>
    <xf numFmtId="0" fontId="65" fillId="0" borderId="0" xfId="20" applyFont="1" applyBorder="1">
      <alignment/>
      <protection/>
    </xf>
    <xf numFmtId="2" fontId="65" fillId="0" borderId="0" xfId="20" applyNumberFormat="1" applyFont="1" applyBorder="1">
      <alignment/>
      <protection/>
    </xf>
    <xf numFmtId="4" fontId="17" fillId="0" borderId="0" xfId="20" applyNumberFormat="1" applyFont="1" applyBorder="1">
      <alignment/>
      <protection/>
    </xf>
    <xf numFmtId="4" fontId="17" fillId="0" borderId="0" xfId="20" applyNumberFormat="1" applyFont="1" applyFill="1" applyBorder="1">
      <alignment/>
      <protection/>
    </xf>
    <xf numFmtId="0" fontId="64" fillId="0" borderId="0" xfId="20" applyBorder="1">
      <alignment/>
      <protection/>
    </xf>
    <xf numFmtId="0" fontId="65" fillId="0" borderId="0" xfId="20" applyFont="1" applyFill="1" applyBorder="1">
      <alignment/>
      <protection/>
    </xf>
    <xf numFmtId="0" fontId="64" fillId="0" borderId="0" xfId="20" applyBorder="1" applyAlignment="1">
      <alignment/>
      <protection/>
    </xf>
    <xf numFmtId="0" fontId="64" fillId="0" borderId="0" xfId="20" applyAlignment="1">
      <alignment/>
      <protection/>
    </xf>
    <xf numFmtId="0" fontId="78" fillId="0" borderId="0" xfId="20" applyFont="1">
      <alignment/>
      <protection/>
    </xf>
    <xf numFmtId="0" fontId="71" fillId="0" borderId="51" xfId="20" applyFont="1" applyBorder="1" applyAlignment="1">
      <alignment horizontal="center"/>
      <protection/>
    </xf>
    <xf numFmtId="0" fontId="71" fillId="0" borderId="49" xfId="20" applyFont="1" applyBorder="1" applyAlignment="1">
      <alignment horizontal="center" wrapText="1"/>
      <protection/>
    </xf>
    <xf numFmtId="0" fontId="71" fillId="0" borderId="80" xfId="20" applyFont="1" applyFill="1" applyBorder="1" applyAlignment="1">
      <alignment horizontal="center" wrapText="1"/>
      <protection/>
    </xf>
    <xf numFmtId="0" fontId="71" fillId="0" borderId="49" xfId="20" applyFont="1" applyFill="1" applyBorder="1" applyAlignment="1">
      <alignment horizontal="center" wrapText="1"/>
      <protection/>
    </xf>
    <xf numFmtId="0" fontId="71" fillId="0" borderId="3" xfId="20" applyFont="1" applyFill="1" applyBorder="1" applyAlignment="1">
      <alignment horizontal="center" wrapText="1"/>
      <protection/>
    </xf>
    <xf numFmtId="0" fontId="70" fillId="0" borderId="0" xfId="20" applyFont="1">
      <alignment/>
      <protection/>
    </xf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64" fillId="0" borderId="0" xfId="0" applyFont="1" applyFill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7" fillId="0" borderId="69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68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53" xfId="0" applyFont="1" applyBorder="1" applyAlignment="1">
      <alignment horizontal="center"/>
    </xf>
    <xf numFmtId="0" fontId="67" fillId="0" borderId="8" xfId="0" applyFont="1" applyBorder="1" applyAlignment="1">
      <alignment horizontal="center"/>
    </xf>
    <xf numFmtId="0" fontId="64" fillId="0" borderId="81" xfId="0" applyFont="1" applyBorder="1" applyAlignment="1">
      <alignment/>
    </xf>
    <xf numFmtId="0" fontId="80" fillId="0" borderId="4" xfId="0" applyFont="1" applyBorder="1" applyAlignment="1">
      <alignment horizontal="center"/>
    </xf>
    <xf numFmtId="0" fontId="80" fillId="0" borderId="82" xfId="0" applyFont="1" applyBorder="1" applyAlignment="1">
      <alignment horizontal="center"/>
    </xf>
    <xf numFmtId="0" fontId="80" fillId="0" borderId="6" xfId="0" applyFont="1" applyBorder="1" applyAlignment="1">
      <alignment horizontal="center"/>
    </xf>
    <xf numFmtId="0" fontId="80" fillId="0" borderId="7" xfId="0" applyFont="1" applyBorder="1" applyAlignment="1">
      <alignment horizontal="center"/>
    </xf>
    <xf numFmtId="0" fontId="81" fillId="0" borderId="5" xfId="0" applyFont="1" applyBorder="1" applyAlignment="1">
      <alignment horizontal="center"/>
    </xf>
    <xf numFmtId="0" fontId="80" fillId="0" borderId="83" xfId="0" applyFont="1" applyBorder="1" applyAlignment="1">
      <alignment horizontal="center"/>
    </xf>
    <xf numFmtId="0" fontId="80" fillId="0" borderId="84" xfId="0" applyFont="1" applyBorder="1" applyAlignment="1">
      <alignment horizontal="center"/>
    </xf>
    <xf numFmtId="0" fontId="80" fillId="0" borderId="5" xfId="0" applyFont="1" applyBorder="1" applyAlignment="1">
      <alignment horizontal="center"/>
    </xf>
    <xf numFmtId="0" fontId="80" fillId="0" borderId="85" xfId="0" applyFont="1" applyBorder="1" applyAlignment="1">
      <alignment horizontal="center"/>
    </xf>
    <xf numFmtId="0" fontId="81" fillId="0" borderId="82" xfId="0" applyFont="1" applyBorder="1" applyAlignment="1">
      <alignment horizontal="center"/>
    </xf>
    <xf numFmtId="4" fontId="80" fillId="0" borderId="5" xfId="0" applyNumberFormat="1" applyFont="1" applyBorder="1" applyAlignment="1">
      <alignment horizontal="center"/>
    </xf>
    <xf numFmtId="0" fontId="80" fillId="0" borderId="81" xfId="0" applyFont="1" applyBorder="1" applyAlignment="1">
      <alignment horizontal="center"/>
    </xf>
    <xf numFmtId="0" fontId="81" fillId="0" borderId="7" xfId="0" applyFont="1" applyBorder="1" applyAlignment="1">
      <alignment horizontal="center"/>
    </xf>
    <xf numFmtId="0" fontId="64" fillId="0" borderId="82" xfId="0" applyFont="1" applyBorder="1" applyAlignment="1">
      <alignment/>
    </xf>
    <xf numFmtId="0" fontId="80" fillId="0" borderId="0" xfId="0" applyFont="1" applyBorder="1" applyAlignment="1">
      <alignment horizontal="center"/>
    </xf>
    <xf numFmtId="3" fontId="64" fillId="0" borderId="0" xfId="0" applyNumberFormat="1" applyFont="1" applyAlignment="1">
      <alignment/>
    </xf>
    <xf numFmtId="3" fontId="67" fillId="0" borderId="0" xfId="0" applyNumberFormat="1" applyFont="1" applyBorder="1" applyAlignment="1">
      <alignment/>
    </xf>
    <xf numFmtId="4" fontId="67" fillId="0" borderId="0" xfId="0" applyNumberFormat="1" applyFont="1" applyBorder="1" applyAlignment="1">
      <alignment/>
    </xf>
    <xf numFmtId="0" fontId="82" fillId="4" borderId="0" xfId="0" applyFont="1" applyFill="1" applyBorder="1" applyAlignment="1">
      <alignment/>
    </xf>
    <xf numFmtId="2" fontId="67" fillId="0" borderId="0" xfId="0" applyNumberFormat="1" applyFont="1" applyBorder="1" applyAlignment="1">
      <alignment/>
    </xf>
    <xf numFmtId="0" fontId="80" fillId="0" borderId="0" xfId="0" applyFont="1" applyAlignment="1">
      <alignment/>
    </xf>
    <xf numFmtId="3" fontId="66" fillId="0" borderId="0" xfId="0" applyNumberFormat="1" applyFont="1" applyAlignment="1">
      <alignment/>
    </xf>
    <xf numFmtId="0" fontId="83" fillId="0" borderId="0" xfId="0" applyFont="1" applyAlignment="1">
      <alignment/>
    </xf>
    <xf numFmtId="0" fontId="64" fillId="0" borderId="54" xfId="0" applyFont="1" applyBorder="1" applyAlignment="1">
      <alignment vertical="center"/>
    </xf>
    <xf numFmtId="0" fontId="64" fillId="0" borderId="86" xfId="0" applyFont="1" applyBorder="1" applyAlignment="1">
      <alignment horizontal="center" vertical="center"/>
    </xf>
    <xf numFmtId="0" fontId="64" fillId="0" borderId="87" xfId="0" applyFont="1" applyBorder="1" applyAlignment="1">
      <alignment horizontal="center" vertical="center"/>
    </xf>
    <xf numFmtId="0" fontId="64" fillId="0" borderId="70" xfId="0" applyFont="1" applyBorder="1" applyAlignment="1">
      <alignment horizontal="center" vertical="center"/>
    </xf>
    <xf numFmtId="0" fontId="67" fillId="0" borderId="86" xfId="0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67" fillId="0" borderId="70" xfId="0" applyFont="1" applyBorder="1" applyAlignment="1">
      <alignment horizontal="center" vertical="center"/>
    </xf>
    <xf numFmtId="0" fontId="64" fillId="0" borderId="87" xfId="0" applyFont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74" fillId="4" borderId="88" xfId="0" applyFont="1" applyFill="1" applyBorder="1" applyAlignment="1">
      <alignment/>
    </xf>
    <xf numFmtId="3" fontId="74" fillId="0" borderId="1" xfId="0" applyNumberFormat="1" applyFont="1" applyBorder="1" applyAlignment="1">
      <alignment/>
    </xf>
    <xf numFmtId="3" fontId="74" fillId="0" borderId="68" xfId="0" applyNumberFormat="1" applyFont="1" applyBorder="1" applyAlignment="1">
      <alignment/>
    </xf>
    <xf numFmtId="3" fontId="74" fillId="0" borderId="21" xfId="0" applyNumberFormat="1" applyFont="1" applyBorder="1" applyAlignment="1">
      <alignment/>
    </xf>
    <xf numFmtId="3" fontId="74" fillId="0" borderId="8" xfId="0" applyNumberFormat="1" applyFont="1" applyBorder="1" applyAlignment="1">
      <alignment/>
    </xf>
    <xf numFmtId="3" fontId="74" fillId="0" borderId="0" xfId="0" applyNumberFormat="1" applyFont="1" applyAlignment="1">
      <alignment/>
    </xf>
    <xf numFmtId="3" fontId="74" fillId="0" borderId="89" xfId="0" applyNumberFormat="1" applyFont="1" applyBorder="1" applyAlignment="1">
      <alignment/>
    </xf>
    <xf numFmtId="3" fontId="74" fillId="0" borderId="53" xfId="0" applyNumberFormat="1" applyFont="1" applyBorder="1" applyAlignment="1">
      <alignment/>
    </xf>
    <xf numFmtId="3" fontId="74" fillId="0" borderId="29" xfId="0" applyNumberFormat="1" applyFont="1" applyBorder="1" applyAlignment="1">
      <alignment/>
    </xf>
    <xf numFmtId="3" fontId="74" fillId="0" borderId="90" xfId="0" applyNumberFormat="1" applyFont="1" applyBorder="1" applyAlignment="1">
      <alignment/>
    </xf>
    <xf numFmtId="3" fontId="74" fillId="0" borderId="0" xfId="0" applyNumberFormat="1" applyFont="1" applyBorder="1" applyAlignment="1">
      <alignment/>
    </xf>
    <xf numFmtId="3" fontId="74" fillId="0" borderId="54" xfId="0" applyNumberFormat="1" applyFont="1" applyBorder="1" applyAlignment="1">
      <alignment/>
    </xf>
    <xf numFmtId="4" fontId="74" fillId="0" borderId="0" xfId="0" applyNumberFormat="1" applyFont="1" applyBorder="1" applyAlignment="1">
      <alignment/>
    </xf>
    <xf numFmtId="0" fontId="74" fillId="0" borderId="0" xfId="0" applyFont="1" applyAlignment="1">
      <alignment/>
    </xf>
    <xf numFmtId="3" fontId="74" fillId="0" borderId="59" xfId="0" applyNumberFormat="1" applyFont="1" applyBorder="1" applyAlignment="1">
      <alignment/>
    </xf>
    <xf numFmtId="3" fontId="74" fillId="0" borderId="60" xfId="0" applyNumberFormat="1" applyFont="1" applyBorder="1" applyAlignment="1">
      <alignment/>
    </xf>
    <xf numFmtId="3" fontId="74" fillId="0" borderId="61" xfId="0" applyNumberFormat="1" applyFont="1" applyBorder="1" applyAlignment="1">
      <alignment/>
    </xf>
    <xf numFmtId="3" fontId="74" fillId="0" borderId="64" xfId="0" applyNumberFormat="1" applyFont="1" applyBorder="1" applyAlignment="1">
      <alignment/>
    </xf>
    <xf numFmtId="3" fontId="74" fillId="0" borderId="65" xfId="0" applyNumberFormat="1" applyFont="1" applyBorder="1" applyAlignment="1">
      <alignment/>
    </xf>
    <xf numFmtId="3" fontId="74" fillId="0" borderId="76" xfId="0" applyNumberFormat="1" applyFont="1" applyBorder="1" applyAlignment="1">
      <alignment/>
    </xf>
    <xf numFmtId="3" fontId="74" fillId="0" borderId="62" xfId="0" applyNumberFormat="1" applyFont="1" applyBorder="1" applyAlignment="1">
      <alignment/>
    </xf>
    <xf numFmtId="3" fontId="74" fillId="0" borderId="63" xfId="0" applyNumberFormat="1" applyFont="1" applyBorder="1" applyAlignment="1">
      <alignment/>
    </xf>
    <xf numFmtId="3" fontId="74" fillId="0" borderId="66" xfId="0" applyNumberFormat="1" applyFont="1" applyBorder="1" applyAlignment="1">
      <alignment/>
    </xf>
    <xf numFmtId="0" fontId="74" fillId="4" borderId="66" xfId="0" applyFont="1" applyFill="1" applyBorder="1" applyAlignment="1">
      <alignment/>
    </xf>
    <xf numFmtId="3" fontId="74" fillId="0" borderId="67" xfId="0" applyNumberFormat="1" applyFont="1" applyBorder="1" applyAlignment="1">
      <alignment/>
    </xf>
    <xf numFmtId="3" fontId="74" fillId="0" borderId="69" xfId="0" applyNumberFormat="1" applyFont="1" applyBorder="1" applyAlignment="1">
      <alignment/>
    </xf>
    <xf numFmtId="3" fontId="74" fillId="0" borderId="91" xfId="0" applyNumberFormat="1" applyFont="1" applyBorder="1" applyAlignment="1">
      <alignment/>
    </xf>
    <xf numFmtId="0" fontId="74" fillId="4" borderId="69" xfId="0" applyFont="1" applyFill="1" applyBorder="1" applyAlignment="1">
      <alignment/>
    </xf>
    <xf numFmtId="3" fontId="74" fillId="0" borderId="92" xfId="0" applyNumberFormat="1" applyFont="1" applyBorder="1" applyAlignment="1">
      <alignment/>
    </xf>
    <xf numFmtId="3" fontId="74" fillId="0" borderId="78" xfId="0" applyNumberFormat="1" applyFont="1" applyBorder="1" applyAlignment="1">
      <alignment/>
    </xf>
    <xf numFmtId="3" fontId="74" fillId="0" borderId="79" xfId="0" applyNumberFormat="1" applyFont="1" applyBorder="1" applyAlignment="1">
      <alignment/>
    </xf>
    <xf numFmtId="3" fontId="74" fillId="0" borderId="93" xfId="0" applyNumberFormat="1" applyFont="1" applyBorder="1" applyAlignment="1">
      <alignment/>
    </xf>
    <xf numFmtId="3" fontId="74" fillId="0" borderId="94" xfId="0" applyNumberFormat="1" applyFont="1" applyBorder="1" applyAlignment="1">
      <alignment/>
    </xf>
    <xf numFmtId="3" fontId="74" fillId="0" borderId="95" xfId="0" applyNumberFormat="1" applyFont="1" applyBorder="1" applyAlignment="1">
      <alignment/>
    </xf>
    <xf numFmtId="3" fontId="74" fillId="0" borderId="77" xfId="0" applyNumberFormat="1" applyFont="1" applyBorder="1" applyAlignment="1">
      <alignment/>
    </xf>
    <xf numFmtId="3" fontId="74" fillId="0" borderId="96" xfId="0" applyNumberFormat="1" applyFont="1" applyBorder="1" applyAlignment="1">
      <alignment/>
    </xf>
    <xf numFmtId="3" fontId="74" fillId="0" borderId="97" xfId="0" applyNumberFormat="1" applyFont="1" applyBorder="1" applyAlignment="1">
      <alignment/>
    </xf>
    <xf numFmtId="0" fontId="69" fillId="4" borderId="74" xfId="0" applyFont="1" applyFill="1" applyBorder="1" applyAlignment="1">
      <alignment/>
    </xf>
    <xf numFmtId="3" fontId="69" fillId="0" borderId="70" xfId="0" applyNumberFormat="1" applyFont="1" applyBorder="1" applyAlignment="1">
      <alignment/>
    </xf>
    <xf numFmtId="3" fontId="69" fillId="0" borderId="72" xfId="0" applyNumberFormat="1" applyFont="1" applyBorder="1" applyAlignment="1">
      <alignment/>
    </xf>
    <xf numFmtId="3" fontId="69" fillId="0" borderId="73" xfId="0" applyNumberFormat="1" applyFont="1" applyBorder="1" applyAlignment="1">
      <alignment/>
    </xf>
    <xf numFmtId="3" fontId="69" fillId="0" borderId="98" xfId="0" applyNumberFormat="1" applyFont="1" applyBorder="1" applyAlignment="1">
      <alignment/>
    </xf>
    <xf numFmtId="3" fontId="69" fillId="0" borderId="71" xfId="0" applyNumberFormat="1" applyFont="1" applyBorder="1" applyAlignment="1">
      <alignment/>
    </xf>
    <xf numFmtId="3" fontId="69" fillId="0" borderId="86" xfId="0" applyNumberFormat="1" applyFont="1" applyBorder="1" applyAlignment="1">
      <alignment/>
    </xf>
    <xf numFmtId="3" fontId="69" fillId="0" borderId="74" xfId="0" applyNumberFormat="1" applyFont="1" applyBorder="1" applyAlignment="1">
      <alignment/>
    </xf>
    <xf numFmtId="3" fontId="69" fillId="0" borderId="87" xfId="0" applyNumberFormat="1" applyFont="1" applyBorder="1" applyAlignment="1">
      <alignment/>
    </xf>
    <xf numFmtId="3" fontId="69" fillId="0" borderId="0" xfId="0" applyNumberFormat="1" applyFont="1" applyBorder="1" applyAlignment="1">
      <alignment/>
    </xf>
    <xf numFmtId="4" fontId="69" fillId="0" borderId="0" xfId="0" applyNumberFormat="1" applyFont="1" applyBorder="1" applyAlignment="1">
      <alignment/>
    </xf>
    <xf numFmtId="3" fontId="84" fillId="0" borderId="0" xfId="0" applyNumberFormat="1" applyFont="1" applyFill="1" applyAlignment="1">
      <alignment/>
    </xf>
    <xf numFmtId="4" fontId="84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0" fontId="69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/>
    </xf>
    <xf numFmtId="0" fontId="85" fillId="0" borderId="0" xfId="29" applyFont="1" applyFill="1" applyBorder="1" applyAlignment="1">
      <alignment horizontal="center"/>
      <protection/>
    </xf>
    <xf numFmtId="0" fontId="70" fillId="0" borderId="0" xfId="0" applyFont="1" applyFill="1" applyAlignment="1">
      <alignment/>
    </xf>
    <xf numFmtId="0" fontId="69" fillId="0" borderId="0" xfId="29" applyFont="1" applyFill="1" applyBorder="1" applyAlignment="1">
      <alignment horizontal="left"/>
      <protection/>
    </xf>
    <xf numFmtId="0" fontId="70" fillId="0" borderId="0" xfId="0" applyFont="1" applyFill="1" applyBorder="1" applyAlignment="1">
      <alignment horizontal="centerContinuous"/>
    </xf>
    <xf numFmtId="0" fontId="70" fillId="0" borderId="0" xfId="0" applyFont="1" applyFill="1" applyAlignment="1">
      <alignment horizontal="centerContinuous"/>
    </xf>
    <xf numFmtId="0" fontId="69" fillId="5" borderId="46" xfId="0" applyFont="1" applyFill="1" applyBorder="1" applyAlignment="1">
      <alignment horizontal="centerContinuous" vertical="center" wrapText="1"/>
    </xf>
    <xf numFmtId="0" fontId="70" fillId="0" borderId="84" xfId="0" applyFont="1" applyFill="1" applyBorder="1" applyAlignment="1">
      <alignment horizontal="center"/>
    </xf>
    <xf numFmtId="0" fontId="70" fillId="0" borderId="6" xfId="0" applyFont="1" applyFill="1" applyBorder="1" applyAlignment="1">
      <alignment horizontal="center"/>
    </xf>
    <xf numFmtId="167" fontId="69" fillId="0" borderId="71" xfId="0" applyNumberFormat="1" applyFont="1" applyFill="1" applyBorder="1" applyAlignment="1">
      <alignment horizontal="center"/>
    </xf>
    <xf numFmtId="167" fontId="69" fillId="0" borderId="87" xfId="0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0" fontId="69" fillId="0" borderId="0" xfId="31" applyFont="1" applyFill="1">
      <alignment/>
      <protection/>
    </xf>
    <xf numFmtId="0" fontId="69" fillId="0" borderId="0" xfId="0" applyFont="1" applyFill="1" applyAlignment="1">
      <alignment horizontal="right"/>
    </xf>
    <xf numFmtId="0" fontId="64" fillId="0" borderId="0" xfId="0" applyFont="1" applyAlignment="1">
      <alignment horizontal="right"/>
    </xf>
    <xf numFmtId="0" fontId="69" fillId="5" borderId="48" xfId="0" applyFont="1" applyFill="1" applyBorder="1" applyAlignment="1">
      <alignment horizontal="centerContinuous" vertical="center" wrapText="1"/>
    </xf>
    <xf numFmtId="0" fontId="64" fillId="0" borderId="0" xfId="0" applyFont="1" applyBorder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64" fillId="0" borderId="0" xfId="26" applyFont="1" applyFill="1" applyProtection="1">
      <alignment/>
      <protection locked="0"/>
    </xf>
    <xf numFmtId="0" fontId="70" fillId="0" borderId="0" xfId="0" applyFont="1" applyFill="1" applyAlignment="1" applyProtection="1">
      <alignment/>
      <protection/>
    </xf>
    <xf numFmtId="0" fontId="91" fillId="0" borderId="0" xfId="24" applyNumberFormat="1" applyFont="1" applyFill="1" applyAlignment="1" applyProtection="1">
      <alignment horizontal="centerContinuous"/>
      <protection locked="0"/>
    </xf>
    <xf numFmtId="0" fontId="91" fillId="0" borderId="0" xfId="24" applyNumberFormat="1" applyFont="1" applyFill="1" applyAlignment="1" applyProtection="1">
      <alignment horizontal="centerContinuous"/>
      <protection/>
    </xf>
    <xf numFmtId="0" fontId="70" fillId="0" borderId="0" xfId="0" applyFont="1" applyFill="1" applyAlignment="1" applyProtection="1">
      <alignment horizontal="right"/>
      <protection locked="0"/>
    </xf>
    <xf numFmtId="0" fontId="69" fillId="0" borderId="54" xfId="26" applyFont="1" applyFill="1" applyBorder="1" applyAlignment="1" applyProtection="1">
      <alignment horizontal="centerContinuous" vertical="top" wrapText="1"/>
      <protection locked="0"/>
    </xf>
    <xf numFmtId="0" fontId="69" fillId="0" borderId="54" xfId="26" applyFont="1" applyFill="1" applyBorder="1" applyAlignment="1" applyProtection="1">
      <alignment horizontal="centerContinuous" vertical="center"/>
      <protection locked="0"/>
    </xf>
    <xf numFmtId="0" fontId="67" fillId="0" borderId="54" xfId="0" applyFont="1" applyFill="1" applyBorder="1" applyAlignment="1" applyProtection="1">
      <alignment horizontal="centerContinuous" vertical="top" wrapText="1"/>
      <protection locked="0"/>
    </xf>
    <xf numFmtId="0" fontId="67" fillId="0" borderId="2" xfId="0" applyFont="1" applyFill="1" applyBorder="1" applyAlignment="1" applyProtection="1">
      <alignment horizontal="centerContinuous" vertical="top" wrapText="1"/>
      <protection locked="0"/>
    </xf>
    <xf numFmtId="0" fontId="67" fillId="0" borderId="1" xfId="0" applyFont="1" applyFill="1" applyBorder="1" applyAlignment="1" applyProtection="1">
      <alignment horizontal="centerContinuous" vertical="top" wrapText="1"/>
      <protection locked="0"/>
    </xf>
    <xf numFmtId="0" fontId="67" fillId="0" borderId="3" xfId="0" applyFont="1" applyFill="1" applyBorder="1" applyAlignment="1" applyProtection="1">
      <alignment horizontal="centerContinuous" vertical="top" wrapText="1"/>
      <protection locked="0"/>
    </xf>
    <xf numFmtId="0" fontId="67" fillId="0" borderId="2" xfId="0" applyFont="1" applyFill="1" applyBorder="1" applyAlignment="1" applyProtection="1">
      <alignment horizontal="centerContinuous" vertical="top" wrapText="1"/>
      <protection/>
    </xf>
    <xf numFmtId="0" fontId="69" fillId="0" borderId="81" xfId="26" applyFont="1" applyFill="1" applyBorder="1" applyAlignment="1" applyProtection="1">
      <alignment horizontal="centerContinuous" vertical="top" wrapText="1"/>
      <protection locked="0"/>
    </xf>
    <xf numFmtId="0" fontId="69" fillId="0" borderId="69" xfId="26" applyFont="1" applyFill="1" applyBorder="1" applyAlignment="1" applyProtection="1">
      <alignment horizontal="centerContinuous" vertical="center"/>
      <protection locked="0"/>
    </xf>
    <xf numFmtId="0" fontId="67" fillId="0" borderId="81" xfId="0" applyFont="1" applyFill="1" applyBorder="1" applyAlignment="1" applyProtection="1">
      <alignment horizontal="centerContinuous" vertical="top" wrapText="1"/>
      <protection locked="0"/>
    </xf>
    <xf numFmtId="0" fontId="67" fillId="0" borderId="5" xfId="0" applyFont="1" applyFill="1" applyBorder="1" applyAlignment="1" applyProtection="1">
      <alignment horizontal="centerContinuous" vertical="top" wrapText="1"/>
      <protection locked="0"/>
    </xf>
    <xf numFmtId="0" fontId="67" fillId="0" borderId="86" xfId="0" applyFont="1" applyFill="1" applyBorder="1" applyAlignment="1" applyProtection="1">
      <alignment horizontal="center" vertical="top" wrapText="1"/>
      <protection locked="0"/>
    </xf>
    <xf numFmtId="0" fontId="67" fillId="0" borderId="74" xfId="0" applyFont="1" applyFill="1" applyBorder="1" applyAlignment="1" applyProtection="1">
      <alignment horizontal="center" vertical="top" wrapText="1"/>
      <protection locked="0"/>
    </xf>
    <xf numFmtId="0" fontId="67" fillId="0" borderId="70" xfId="0" applyFont="1" applyFill="1" applyBorder="1" applyAlignment="1" applyProtection="1">
      <alignment horizontal="center" vertical="top" wrapText="1"/>
      <protection locked="0"/>
    </xf>
    <xf numFmtId="0" fontId="67" fillId="0" borderId="5" xfId="0" applyFont="1" applyFill="1" applyBorder="1" applyAlignment="1" applyProtection="1">
      <alignment horizontal="centerContinuous" vertical="top" wrapText="1"/>
      <protection/>
    </xf>
    <xf numFmtId="49" fontId="70" fillId="0" borderId="99" xfId="26" applyNumberFormat="1" applyFont="1" applyFill="1" applyBorder="1" applyAlignment="1" applyProtection="1">
      <alignment horizontal="center" wrapText="1"/>
      <protection locked="0"/>
    </xf>
    <xf numFmtId="49" fontId="64" fillId="0" borderId="99" xfId="26" applyNumberFormat="1" applyFont="1" applyFill="1" applyBorder="1" applyAlignment="1" applyProtection="1">
      <alignment horizontal="left" wrapText="1"/>
      <protection locked="0"/>
    </xf>
    <xf numFmtId="3" fontId="70" fillId="0" borderId="66" xfId="0" applyNumberFormat="1" applyFont="1" applyFill="1" applyBorder="1" applyAlignment="1" applyProtection="1">
      <alignment horizontal="center"/>
      <protection locked="0"/>
    </xf>
    <xf numFmtId="3" fontId="70" fillId="0" borderId="65" xfId="0" applyNumberFormat="1" applyFont="1" applyFill="1" applyBorder="1" applyAlignment="1" applyProtection="1">
      <alignment horizontal="center"/>
      <protection locked="0"/>
    </xf>
    <xf numFmtId="3" fontId="70" fillId="0" borderId="65" xfId="0" applyNumberFormat="1" applyFont="1" applyFill="1" applyBorder="1" applyAlignment="1" applyProtection="1">
      <alignment horizontal="center"/>
      <protection/>
    </xf>
    <xf numFmtId="0" fontId="70" fillId="0" borderId="88" xfId="26" applyNumberFormat="1" applyFont="1" applyFill="1" applyBorder="1" applyAlignment="1" applyProtection="1">
      <alignment horizontal="center" vertical="top"/>
      <protection locked="0"/>
    </xf>
    <xf numFmtId="49" fontId="64" fillId="0" borderId="88" xfId="26" applyNumberFormat="1" applyFont="1" applyFill="1" applyBorder="1" applyAlignment="1" applyProtection="1">
      <alignment horizontal="left" wrapText="1"/>
      <protection locked="0"/>
    </xf>
    <xf numFmtId="3" fontId="70" fillId="0" borderId="88" xfId="0" applyNumberFormat="1" applyFont="1" applyFill="1" applyBorder="1" applyAlignment="1" applyProtection="1">
      <alignment horizontal="right" vertical="top"/>
      <protection locked="0"/>
    </xf>
    <xf numFmtId="3" fontId="70" fillId="0" borderId="28" xfId="0" applyNumberFormat="1" applyFont="1" applyFill="1" applyBorder="1" applyAlignment="1" applyProtection="1">
      <alignment horizontal="right" vertical="top"/>
      <protection locked="0"/>
    </xf>
    <xf numFmtId="3" fontId="70" fillId="0" borderId="28" xfId="0" applyNumberFormat="1" applyFont="1" applyFill="1" applyBorder="1" applyAlignment="1" applyProtection="1">
      <alignment horizontal="center"/>
      <protection locked="0"/>
    </xf>
    <xf numFmtId="3" fontId="70" fillId="0" borderId="88" xfId="0" applyNumberFormat="1" applyFont="1" applyFill="1" applyBorder="1" applyAlignment="1" applyProtection="1">
      <alignment horizontal="right" vertical="top"/>
      <protection/>
    </xf>
    <xf numFmtId="10" fontId="70" fillId="0" borderId="66" xfId="0" applyNumberFormat="1" applyFont="1" applyFill="1" applyBorder="1" applyAlignment="1" applyProtection="1">
      <alignment horizontal="right"/>
      <protection locked="0"/>
    </xf>
    <xf numFmtId="49" fontId="70" fillId="0" borderId="88" xfId="26" applyNumberFormat="1" applyFont="1" applyFill="1" applyBorder="1" applyAlignment="1" applyProtection="1">
      <alignment horizontal="center" vertical="top"/>
      <protection locked="0"/>
    </xf>
    <xf numFmtId="49" fontId="64" fillId="0" borderId="88" xfId="26" applyNumberFormat="1" applyFont="1" applyFill="1" applyBorder="1" applyAlignment="1" applyProtection="1">
      <alignment horizontal="left" vertical="top" wrapText="1"/>
      <protection locked="0"/>
    </xf>
    <xf numFmtId="10" fontId="70" fillId="0" borderId="61" xfId="0" applyNumberFormat="1" applyFont="1" applyFill="1" applyBorder="1" applyAlignment="1" applyProtection="1">
      <alignment horizontal="right" vertical="top"/>
      <protection locked="0"/>
    </xf>
    <xf numFmtId="3" fontId="70" fillId="0" borderId="66" xfId="0" applyNumberFormat="1" applyFont="1" applyFill="1" applyBorder="1" applyAlignment="1" applyProtection="1">
      <alignment horizontal="right" vertical="top"/>
      <protection locked="0"/>
    </xf>
    <xf numFmtId="3" fontId="70" fillId="0" borderId="65" xfId="0" applyNumberFormat="1" applyFont="1" applyFill="1" applyBorder="1" applyAlignment="1" applyProtection="1">
      <alignment horizontal="right" vertical="top"/>
      <protection locked="0"/>
    </xf>
    <xf numFmtId="3" fontId="70" fillId="0" borderId="59" xfId="0" applyNumberFormat="1" applyFont="1" applyFill="1" applyBorder="1" applyAlignment="1" applyProtection="1">
      <alignment horizontal="right" vertical="top"/>
      <protection locked="0"/>
    </xf>
    <xf numFmtId="3" fontId="70" fillId="0" borderId="65" xfId="0" applyNumberFormat="1" applyFont="1" applyFill="1" applyBorder="1" applyAlignment="1" applyProtection="1">
      <alignment horizontal="right" vertical="top"/>
      <protection/>
    </xf>
    <xf numFmtId="10" fontId="70" fillId="0" borderId="66" xfId="0" applyNumberFormat="1" applyFont="1" applyFill="1" applyBorder="1" applyAlignment="1" applyProtection="1">
      <alignment horizontal="right" vertical="top"/>
      <protection locked="0"/>
    </xf>
    <xf numFmtId="49" fontId="70" fillId="0" borderId="88" xfId="26" applyNumberFormat="1" applyFont="1" applyFill="1" applyBorder="1" applyAlignment="1" applyProtection="1">
      <alignment horizontal="center" wrapText="1"/>
      <protection locked="0"/>
    </xf>
    <xf numFmtId="49" fontId="69" fillId="0" borderId="74" xfId="24" applyNumberFormat="1" applyFont="1" applyFill="1" applyBorder="1" applyAlignment="1" applyProtection="1" quotePrefix="1">
      <alignment horizontal="left" wrapText="1"/>
      <protection locked="0"/>
    </xf>
    <xf numFmtId="49" fontId="69" fillId="0" borderId="88" xfId="26" applyNumberFormat="1" applyFont="1" applyFill="1" applyBorder="1" applyAlignment="1" applyProtection="1">
      <alignment horizontal="left" wrapText="1"/>
      <protection locked="0"/>
    </xf>
    <xf numFmtId="3" fontId="70" fillId="0" borderId="88" xfId="0" applyNumberFormat="1" applyFont="1" applyFill="1" applyBorder="1" applyAlignment="1" applyProtection="1">
      <alignment/>
      <protection locked="0"/>
    </xf>
    <xf numFmtId="3" fontId="70" fillId="0" borderId="28" xfId="0" applyNumberFormat="1" applyFont="1" applyFill="1" applyBorder="1" applyAlignment="1" applyProtection="1">
      <alignment/>
      <protection locked="0"/>
    </xf>
    <xf numFmtId="3" fontId="70" fillId="0" borderId="99" xfId="0" applyNumberFormat="1" applyFont="1" applyFill="1" applyBorder="1" applyAlignment="1" applyProtection="1">
      <alignment horizontal="right" vertical="top"/>
      <protection locked="0"/>
    </xf>
    <xf numFmtId="3" fontId="70" fillId="0" borderId="28" xfId="0" applyNumberFormat="1" applyFont="1" applyFill="1" applyBorder="1" applyAlignment="1" applyProtection="1">
      <alignment/>
      <protection/>
    </xf>
    <xf numFmtId="49" fontId="70" fillId="0" borderId="69" xfId="26" applyNumberFormat="1" applyFont="1" applyFill="1" applyBorder="1" applyAlignment="1" applyProtection="1">
      <alignment horizontal="center" wrapText="1"/>
      <protection locked="0"/>
    </xf>
    <xf numFmtId="49" fontId="69" fillId="0" borderId="69" xfId="26" applyNumberFormat="1" applyFont="1" applyFill="1" applyBorder="1" applyAlignment="1" applyProtection="1">
      <alignment horizontal="left" wrapText="1"/>
      <protection locked="0"/>
    </xf>
    <xf numFmtId="3" fontId="70" fillId="0" borderId="100" xfId="0" applyNumberFormat="1" applyFont="1" applyFill="1" applyBorder="1" applyAlignment="1" applyProtection="1">
      <alignment/>
      <protection locked="0"/>
    </xf>
    <xf numFmtId="3" fontId="70" fillId="0" borderId="101" xfId="0" applyNumberFormat="1" applyFont="1" applyFill="1" applyBorder="1" applyAlignment="1" applyProtection="1">
      <alignment/>
      <protection locked="0"/>
    </xf>
    <xf numFmtId="3" fontId="70" fillId="0" borderId="0" xfId="0" applyNumberFormat="1" applyFont="1" applyFill="1" applyBorder="1" applyAlignment="1" applyProtection="1">
      <alignment horizontal="right" vertical="top"/>
      <protection locked="0"/>
    </xf>
    <xf numFmtId="3" fontId="70" fillId="0" borderId="101" xfId="0" applyNumberFormat="1" applyFont="1" applyFill="1" applyBorder="1" applyAlignment="1" applyProtection="1">
      <alignment/>
      <protection/>
    </xf>
    <xf numFmtId="10" fontId="70" fillId="0" borderId="100" xfId="0" applyNumberFormat="1" applyFont="1" applyFill="1" applyBorder="1" applyAlignment="1" applyProtection="1">
      <alignment horizontal="right" vertical="top"/>
      <protection locked="0"/>
    </xf>
    <xf numFmtId="49" fontId="69" fillId="0" borderId="74" xfId="24" applyNumberFormat="1" applyFont="1" applyFill="1" applyBorder="1" applyAlignment="1" applyProtection="1">
      <alignment horizontal="left" wrapText="1"/>
      <protection locked="0"/>
    </xf>
    <xf numFmtId="49" fontId="70" fillId="0" borderId="0" xfId="26" applyNumberFormat="1" applyFont="1" applyFill="1" applyBorder="1" applyProtection="1">
      <alignment/>
      <protection locked="0"/>
    </xf>
    <xf numFmtId="0" fontId="70" fillId="0" borderId="0" xfId="26" applyFont="1" applyFill="1" applyProtection="1">
      <alignment/>
      <protection locked="0"/>
    </xf>
    <xf numFmtId="0" fontId="66" fillId="0" borderId="0" xfId="23" applyFont="1" applyBorder="1" applyAlignment="1">
      <alignment horizontal="right"/>
      <protection/>
    </xf>
    <xf numFmtId="0" fontId="92" fillId="0" borderId="0" xfId="23" applyFont="1" applyBorder="1" applyAlignment="1">
      <alignment horizontal="center"/>
      <protection/>
    </xf>
    <xf numFmtId="0" fontId="92" fillId="0" borderId="60" xfId="23" applyFont="1" applyBorder="1">
      <alignment/>
      <protection/>
    </xf>
    <xf numFmtId="0" fontId="66" fillId="0" borderId="60" xfId="23" applyFont="1" applyBorder="1">
      <alignment/>
      <protection/>
    </xf>
    <xf numFmtId="3" fontId="92" fillId="0" borderId="60" xfId="23" applyNumberFormat="1" applyFont="1" applyBorder="1">
      <alignment/>
      <protection/>
    </xf>
    <xf numFmtId="3" fontId="66" fillId="0" borderId="0" xfId="23" applyNumberFormat="1" applyFont="1" applyBorder="1">
      <alignment/>
      <protection/>
    </xf>
    <xf numFmtId="3" fontId="66" fillId="0" borderId="60" xfId="23" applyNumberFormat="1" applyFont="1" applyBorder="1">
      <alignment/>
      <protection/>
    </xf>
    <xf numFmtId="0" fontId="92" fillId="0" borderId="91" xfId="23" applyFont="1" applyBorder="1">
      <alignment/>
      <protection/>
    </xf>
    <xf numFmtId="0" fontId="66" fillId="0" borderId="91" xfId="23" applyFont="1" applyBorder="1">
      <alignment/>
      <protection/>
    </xf>
    <xf numFmtId="3" fontId="92" fillId="0" borderId="91" xfId="23" applyNumberFormat="1" applyFont="1" applyBorder="1">
      <alignment/>
      <protection/>
    </xf>
    <xf numFmtId="3" fontId="93" fillId="0" borderId="102" xfId="23" applyNumberFormat="1" applyFont="1" applyBorder="1">
      <alignment/>
      <protection/>
    </xf>
    <xf numFmtId="3" fontId="93" fillId="0" borderId="103" xfId="23" applyNumberFormat="1" applyFont="1" applyBorder="1">
      <alignment/>
      <protection/>
    </xf>
    <xf numFmtId="0" fontId="92" fillId="0" borderId="50" xfId="23" applyFont="1" applyBorder="1">
      <alignment/>
      <protection/>
    </xf>
    <xf numFmtId="0" fontId="66" fillId="0" borderId="50" xfId="23" applyFont="1" applyBorder="1">
      <alignment/>
      <protection/>
    </xf>
    <xf numFmtId="3" fontId="92" fillId="0" borderId="50" xfId="23" applyNumberFormat="1" applyFont="1" applyBorder="1">
      <alignment/>
      <protection/>
    </xf>
    <xf numFmtId="0" fontId="66" fillId="0" borderId="55" xfId="22" applyFont="1" applyBorder="1" applyAlignment="1">
      <alignment horizontal="right"/>
      <protection/>
    </xf>
    <xf numFmtId="0" fontId="66" fillId="0" borderId="47" xfId="22" applyFont="1" applyBorder="1">
      <alignment/>
      <protection/>
    </xf>
    <xf numFmtId="3" fontId="66" fillId="0" borderId="47" xfId="22" applyNumberFormat="1" applyFont="1" applyBorder="1">
      <alignment/>
      <protection/>
    </xf>
    <xf numFmtId="3" fontId="66" fillId="0" borderId="57" xfId="22" applyNumberFormat="1" applyFont="1" applyBorder="1">
      <alignment/>
      <protection/>
    </xf>
    <xf numFmtId="3" fontId="66" fillId="0" borderId="0" xfId="22" applyNumberFormat="1" applyFont="1">
      <alignment/>
      <protection/>
    </xf>
    <xf numFmtId="0" fontId="66" fillId="0" borderId="62" xfId="22" applyFont="1" applyBorder="1" applyAlignment="1">
      <alignment horizontal="right"/>
      <protection/>
    </xf>
    <xf numFmtId="0" fontId="66" fillId="0" borderId="60" xfId="22" applyFont="1" applyBorder="1">
      <alignment/>
      <protection/>
    </xf>
    <xf numFmtId="3" fontId="66" fillId="0" borderId="60" xfId="22" applyNumberFormat="1" applyFont="1" applyBorder="1">
      <alignment/>
      <protection/>
    </xf>
    <xf numFmtId="3" fontId="66" fillId="0" borderId="63" xfId="22" applyNumberFormat="1" applyFont="1" applyBorder="1">
      <alignment/>
      <protection/>
    </xf>
    <xf numFmtId="0" fontId="66" fillId="0" borderId="77" xfId="22" applyFont="1" applyBorder="1" applyAlignment="1">
      <alignment horizontal="right"/>
      <protection/>
    </xf>
    <xf numFmtId="0" fontId="66" fillId="0" borderId="78" xfId="22" applyFont="1" applyBorder="1">
      <alignment/>
      <protection/>
    </xf>
    <xf numFmtId="3" fontId="66" fillId="0" borderId="78" xfId="22" applyNumberFormat="1" applyFont="1" applyBorder="1">
      <alignment/>
      <protection/>
    </xf>
    <xf numFmtId="3" fontId="66" fillId="0" borderId="96" xfId="22" applyNumberFormat="1" applyFont="1" applyBorder="1">
      <alignment/>
      <protection/>
    </xf>
    <xf numFmtId="3" fontId="92" fillId="0" borderId="74" xfId="22" applyNumberFormat="1" applyFont="1" applyBorder="1">
      <alignment/>
      <protection/>
    </xf>
    <xf numFmtId="3" fontId="92" fillId="0" borderId="72" xfId="22" applyNumberFormat="1" applyFont="1" applyBorder="1">
      <alignment/>
      <protection/>
    </xf>
    <xf numFmtId="3" fontId="92" fillId="0" borderId="73" xfId="22" applyNumberFormat="1" applyFont="1" applyBorder="1">
      <alignment/>
      <protection/>
    </xf>
    <xf numFmtId="0" fontId="66" fillId="0" borderId="50" xfId="22" applyFont="1" applyBorder="1" applyAlignment="1">
      <alignment horizontal="right"/>
      <protection/>
    </xf>
    <xf numFmtId="0" fontId="66" fillId="0" borderId="50" xfId="22" applyFont="1" applyBorder="1">
      <alignment/>
      <protection/>
    </xf>
    <xf numFmtId="3" fontId="66" fillId="0" borderId="50" xfId="22" applyNumberFormat="1" applyFont="1" applyBorder="1">
      <alignment/>
      <protection/>
    </xf>
    <xf numFmtId="0" fontId="66" fillId="0" borderId="60" xfId="22" applyFont="1" applyBorder="1" applyAlignment="1">
      <alignment horizontal="right"/>
      <protection/>
    </xf>
    <xf numFmtId="0" fontId="67" fillId="0" borderId="0" xfId="0" applyFont="1" applyBorder="1" applyAlignment="1" applyProtection="1">
      <alignment horizontal="left"/>
      <protection locked="0"/>
    </xf>
    <xf numFmtId="0" fontId="67" fillId="0" borderId="0" xfId="0" applyFont="1" applyBorder="1" applyAlignment="1" applyProtection="1">
      <alignment/>
      <protection locked="0"/>
    </xf>
    <xf numFmtId="0" fontId="64" fillId="0" borderId="0" xfId="26" applyFo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7" fillId="0" borderId="0" xfId="23" applyFont="1" applyBorder="1" applyAlignment="1">
      <alignment horizontal="center"/>
      <protection/>
    </xf>
    <xf numFmtId="0" fontId="64" fillId="0" borderId="0" xfId="23" applyFont="1" applyBorder="1" applyAlignment="1">
      <alignment horizontal="right"/>
      <protection/>
    </xf>
    <xf numFmtId="0" fontId="64" fillId="0" borderId="0" xfId="23" applyFont="1" applyBorder="1">
      <alignment/>
      <protection/>
    </xf>
    <xf numFmtId="0" fontId="67" fillId="0" borderId="0" xfId="0" applyFont="1" applyAlignment="1" applyProtection="1">
      <alignment horizontal="right"/>
      <protection locked="0"/>
    </xf>
    <xf numFmtId="0" fontId="66" fillId="0" borderId="0" xfId="0" applyFont="1" applyFill="1" applyAlignment="1" applyProtection="1">
      <alignment/>
      <protection locked="0"/>
    </xf>
    <xf numFmtId="0" fontId="92" fillId="0" borderId="71" xfId="23" applyFont="1" applyBorder="1" applyAlignment="1">
      <alignment horizontal="center" vertical="center"/>
      <protection/>
    </xf>
    <xf numFmtId="0" fontId="92" fillId="0" borderId="72" xfId="23" applyFont="1" applyBorder="1" applyAlignment="1">
      <alignment horizontal="center" vertical="center"/>
      <protection/>
    </xf>
    <xf numFmtId="0" fontId="67" fillId="0" borderId="72" xfId="23" applyFont="1" applyBorder="1" applyAlignment="1">
      <alignment horizontal="center" vertical="center"/>
      <protection/>
    </xf>
    <xf numFmtId="0" fontId="67" fillId="0" borderId="73" xfId="23" applyFont="1" applyBorder="1" applyAlignment="1">
      <alignment horizontal="center" vertical="center"/>
      <protection/>
    </xf>
    <xf numFmtId="0" fontId="92" fillId="0" borderId="0" xfId="23" applyFont="1" applyBorder="1" applyAlignment="1">
      <alignment horizontal="center" vertical="center" wrapText="1"/>
      <protection/>
    </xf>
    <xf numFmtId="0" fontId="66" fillId="0" borderId="0" xfId="23" applyFont="1" applyBorder="1" applyAlignment="1">
      <alignment vertical="center"/>
      <protection/>
    </xf>
    <xf numFmtId="3" fontId="94" fillId="0" borderId="102" xfId="23" applyNumberFormat="1" applyFont="1" applyBorder="1">
      <alignment/>
      <protection/>
    </xf>
    <xf numFmtId="3" fontId="94" fillId="0" borderId="103" xfId="23" applyNumberFormat="1" applyFont="1" applyBorder="1">
      <alignment/>
      <protection/>
    </xf>
    <xf numFmtId="3" fontId="64" fillId="0" borderId="0" xfId="23" applyNumberFormat="1" applyFont="1" applyBorder="1">
      <alignment/>
      <protection/>
    </xf>
    <xf numFmtId="0" fontId="64" fillId="0" borderId="0" xfId="22" applyFont="1">
      <alignment/>
      <protection/>
    </xf>
    <xf numFmtId="0" fontId="66" fillId="0" borderId="47" xfId="22" applyFont="1" applyBorder="1" applyAlignment="1">
      <alignment horizontal="left" indent="1"/>
      <protection/>
    </xf>
    <xf numFmtId="0" fontId="66" fillId="0" borderId="60" xfId="22" applyFont="1" applyBorder="1" applyAlignment="1">
      <alignment horizontal="left" indent="1"/>
      <protection/>
    </xf>
    <xf numFmtId="0" fontId="66" fillId="0" borderId="78" xfId="22" applyFont="1" applyBorder="1" applyAlignment="1">
      <alignment horizontal="left" indent="1"/>
      <protection/>
    </xf>
    <xf numFmtId="0" fontId="67" fillId="0" borderId="0" xfId="22" applyFont="1" applyBorder="1" applyAlignment="1">
      <alignment horizontal="center"/>
      <protection/>
    </xf>
    <xf numFmtId="0" fontId="64" fillId="0" borderId="0" xfId="22" applyFont="1" applyBorder="1" applyAlignment="1">
      <alignment horizontal="right"/>
      <protection/>
    </xf>
    <xf numFmtId="0" fontId="70" fillId="0" borderId="0" xfId="22" applyFont="1">
      <alignment/>
      <protection/>
    </xf>
    <xf numFmtId="0" fontId="69" fillId="0" borderId="54" xfId="22" applyFont="1" applyBorder="1" applyAlignment="1">
      <alignment horizontal="center"/>
      <protection/>
    </xf>
    <xf numFmtId="0" fontId="69" fillId="0" borderId="54" xfId="22" applyFont="1" applyBorder="1" applyAlignment="1">
      <alignment horizontal="center" wrapText="1"/>
      <protection/>
    </xf>
    <xf numFmtId="0" fontId="64" fillId="0" borderId="0" xfId="0" applyFont="1" applyFill="1" applyAlignment="1">
      <alignment/>
    </xf>
    <xf numFmtId="14" fontId="68" fillId="0" borderId="0" xfId="0" applyNumberFormat="1" applyFont="1" applyAlignment="1">
      <alignment horizontal="left"/>
    </xf>
    <xf numFmtId="0" fontId="69" fillId="0" borderId="0" xfId="0" applyFont="1" applyFill="1" applyAlignment="1">
      <alignment/>
    </xf>
    <xf numFmtId="14" fontId="64" fillId="0" borderId="54" xfId="0" applyNumberFormat="1" applyFont="1" applyBorder="1" applyAlignment="1">
      <alignment/>
    </xf>
    <xf numFmtId="0" fontId="67" fillId="0" borderId="2" xfId="0" applyFont="1" applyFill="1" applyBorder="1" applyAlignment="1">
      <alignment horizontal="center"/>
    </xf>
    <xf numFmtId="0" fontId="67" fillId="0" borderId="2" xfId="0" applyFont="1" applyBorder="1" applyAlignment="1">
      <alignment horizontal="center"/>
    </xf>
    <xf numFmtId="0" fontId="67" fillId="0" borderId="3" xfId="0" applyFont="1" applyBorder="1" applyAlignment="1">
      <alignment horizontal="center"/>
    </xf>
    <xf numFmtId="0" fontId="64" fillId="0" borderId="69" xfId="0" applyFont="1" applyBorder="1" applyAlignment="1">
      <alignment/>
    </xf>
    <xf numFmtId="0" fontId="67" fillId="0" borderId="21" xfId="0" applyFont="1" applyFill="1" applyBorder="1" applyAlignment="1">
      <alignment horizontal="center"/>
    </xf>
    <xf numFmtId="0" fontId="67" fillId="0" borderId="2" xfId="0" applyFont="1" applyBorder="1" applyAlignment="1">
      <alignment horizontal="centerContinuous"/>
    </xf>
    <xf numFmtId="0" fontId="67" fillId="0" borderId="3" xfId="0" applyFont="1" applyBorder="1" applyAlignment="1">
      <alignment horizontal="centerContinuous"/>
    </xf>
    <xf numFmtId="0" fontId="67" fillId="0" borderId="69" xfId="0" applyFont="1" applyBorder="1" applyAlignment="1">
      <alignment horizontal="left"/>
    </xf>
    <xf numFmtId="0" fontId="67" fillId="0" borderId="6" xfId="0" applyFont="1" applyFill="1" applyBorder="1" applyAlignment="1">
      <alignment horizontal="center"/>
    </xf>
    <xf numFmtId="0" fontId="67" fillId="0" borderId="87" xfId="0" applyFont="1" applyBorder="1" applyAlignment="1">
      <alignment horizontal="center"/>
    </xf>
    <xf numFmtId="0" fontId="67" fillId="0" borderId="74" xfId="0" applyFont="1" applyBorder="1" applyAlignment="1">
      <alignment horizontal="center"/>
    </xf>
    <xf numFmtId="0" fontId="95" fillId="0" borderId="99" xfId="0" applyFont="1" applyFill="1" applyBorder="1" applyAlignment="1">
      <alignment/>
    </xf>
    <xf numFmtId="3" fontId="64" fillId="0" borderId="48" xfId="0" applyNumberFormat="1" applyFont="1" applyFill="1" applyBorder="1" applyAlignment="1">
      <alignment/>
    </xf>
    <xf numFmtId="3" fontId="64" fillId="0" borderId="46" xfId="0" applyNumberFormat="1" applyFont="1" applyFill="1" applyBorder="1" applyAlignment="1">
      <alignment/>
    </xf>
    <xf numFmtId="4" fontId="64" fillId="0" borderId="99" xfId="0" applyNumberFormat="1" applyFont="1" applyFill="1" applyBorder="1" applyAlignment="1">
      <alignment/>
    </xf>
    <xf numFmtId="3" fontId="64" fillId="0" borderId="99" xfId="0" applyNumberFormat="1" applyFont="1" applyFill="1" applyBorder="1" applyAlignment="1">
      <alignment/>
    </xf>
    <xf numFmtId="4" fontId="64" fillId="0" borderId="61" xfId="0" applyNumberFormat="1" applyFont="1" applyFill="1" applyBorder="1" applyAlignment="1">
      <alignment/>
    </xf>
    <xf numFmtId="0" fontId="64" fillId="0" borderId="100" xfId="0" applyFont="1" applyFill="1" applyBorder="1" applyAlignment="1">
      <alignment/>
    </xf>
    <xf numFmtId="3" fontId="64" fillId="0" borderId="21" xfId="0" applyNumberFormat="1" applyFont="1" applyFill="1" applyBorder="1" applyAlignment="1">
      <alignment/>
    </xf>
    <xf numFmtId="3" fontId="64" fillId="0" borderId="67" xfId="0" applyNumberFormat="1" applyFont="1" applyFill="1" applyBorder="1" applyAlignment="1">
      <alignment/>
    </xf>
    <xf numFmtId="4" fontId="64" fillId="0" borderId="100" xfId="0" applyNumberFormat="1" applyFont="1" applyFill="1" applyBorder="1" applyAlignment="1">
      <alignment/>
    </xf>
    <xf numFmtId="3" fontId="64" fillId="0" borderId="69" xfId="0" applyNumberFormat="1" applyFont="1" applyFill="1" applyBorder="1" applyAlignment="1">
      <alignment/>
    </xf>
    <xf numFmtId="4" fontId="64" fillId="0" borderId="104" xfId="0" applyNumberFormat="1" applyFont="1" applyFill="1" applyBorder="1" applyAlignment="1">
      <alignment/>
    </xf>
    <xf numFmtId="0" fontId="94" fillId="0" borderId="74" xfId="0" applyFont="1" applyFill="1" applyBorder="1" applyAlignment="1">
      <alignment/>
    </xf>
    <xf numFmtId="0" fontId="64" fillId="0" borderId="88" xfId="0" applyFont="1" applyFill="1" applyBorder="1" applyAlignment="1">
      <alignment/>
    </xf>
    <xf numFmtId="3" fontId="64" fillId="0" borderId="58" xfId="0" applyNumberFormat="1" applyFont="1" applyFill="1" applyBorder="1" applyAlignment="1">
      <alignment/>
    </xf>
    <xf numFmtId="3" fontId="64" fillId="0" borderId="19" xfId="0" applyNumberFormat="1" applyFont="1" applyFill="1" applyBorder="1" applyAlignment="1">
      <alignment/>
    </xf>
    <xf numFmtId="4" fontId="64" fillId="0" borderId="88" xfId="0" applyNumberFormat="1" applyFont="1" applyFill="1" applyBorder="1" applyAlignment="1">
      <alignment/>
    </xf>
    <xf numFmtId="3" fontId="64" fillId="0" borderId="88" xfId="0" applyNumberFormat="1" applyFont="1" applyFill="1" applyBorder="1" applyAlignment="1">
      <alignment/>
    </xf>
    <xf numFmtId="4" fontId="64" fillId="0" borderId="58" xfId="0" applyNumberFormat="1" applyFont="1" applyFill="1" applyBorder="1" applyAlignment="1">
      <alignment/>
    </xf>
    <xf numFmtId="3" fontId="64" fillId="0" borderId="104" xfId="0" applyNumberFormat="1" applyFont="1" applyFill="1" applyBorder="1" applyAlignment="1">
      <alignment/>
    </xf>
    <xf numFmtId="3" fontId="64" fillId="0" borderId="105" xfId="0" applyNumberFormat="1" applyFont="1" applyFill="1" applyBorder="1" applyAlignment="1">
      <alignment/>
    </xf>
    <xf numFmtId="3" fontId="64" fillId="0" borderId="100" xfId="0" applyNumberFormat="1" applyFont="1" applyFill="1" applyBorder="1" applyAlignment="1">
      <alignment/>
    </xf>
    <xf numFmtId="0" fontId="64" fillId="0" borderId="66" xfId="0" applyFont="1" applyFill="1" applyBorder="1" applyAlignment="1">
      <alignment/>
    </xf>
    <xf numFmtId="4" fontId="64" fillId="0" borderId="66" xfId="0" applyNumberFormat="1" applyFont="1" applyFill="1" applyBorder="1" applyAlignment="1">
      <alignment/>
    </xf>
    <xf numFmtId="3" fontId="64" fillId="0" borderId="66" xfId="0" applyNumberFormat="1" applyFont="1" applyFill="1" applyBorder="1" applyAlignment="1">
      <alignment/>
    </xf>
    <xf numFmtId="3" fontId="64" fillId="0" borderId="59" xfId="0" applyNumberFormat="1" applyFont="1" applyFill="1" applyBorder="1" applyAlignment="1">
      <alignment/>
    </xf>
    <xf numFmtId="3" fontId="64" fillId="0" borderId="61" xfId="0" applyNumberFormat="1" applyFont="1" applyFill="1" applyBorder="1" applyAlignment="1">
      <alignment/>
    </xf>
    <xf numFmtId="3" fontId="64" fillId="0" borderId="59" xfId="0" applyNumberFormat="1" applyFont="1" applyBorder="1" applyAlignment="1">
      <alignment/>
    </xf>
    <xf numFmtId="4" fontId="64" fillId="0" borderId="66" xfId="0" applyNumberFormat="1" applyFont="1" applyBorder="1" applyAlignment="1">
      <alignment/>
    </xf>
    <xf numFmtId="3" fontId="64" fillId="0" borderId="66" xfId="0" applyNumberFormat="1" applyFont="1" applyBorder="1" applyAlignment="1">
      <alignment/>
    </xf>
    <xf numFmtId="4" fontId="64" fillId="0" borderId="61" xfId="0" applyNumberFormat="1" applyFont="1" applyBorder="1" applyAlignment="1">
      <alignment/>
    </xf>
    <xf numFmtId="0" fontId="64" fillId="0" borderId="69" xfId="0" applyFont="1" applyFill="1" applyBorder="1" applyAlignment="1">
      <alignment/>
    </xf>
    <xf numFmtId="3" fontId="64" fillId="0" borderId="92" xfId="0" applyNumberFormat="1" applyFont="1" applyBorder="1" applyAlignment="1">
      <alignment/>
    </xf>
    <xf numFmtId="4" fontId="64" fillId="0" borderId="100" xfId="0" applyNumberFormat="1" applyFont="1" applyBorder="1" applyAlignment="1">
      <alignment/>
    </xf>
    <xf numFmtId="3" fontId="64" fillId="0" borderId="97" xfId="0" applyNumberFormat="1" applyFont="1" applyBorder="1" applyAlignment="1">
      <alignment/>
    </xf>
    <xf numFmtId="4" fontId="64" fillId="0" borderId="79" xfId="0" applyNumberFormat="1" applyFont="1" applyBorder="1" applyAlignment="1">
      <alignment/>
    </xf>
    <xf numFmtId="3" fontId="64" fillId="0" borderId="19" xfId="0" applyNumberFormat="1" applyFont="1" applyBorder="1" applyAlignment="1">
      <alignment/>
    </xf>
    <xf numFmtId="4" fontId="64" fillId="0" borderId="88" xfId="0" applyNumberFormat="1" applyFont="1" applyBorder="1" applyAlignment="1">
      <alignment/>
    </xf>
    <xf numFmtId="3" fontId="64" fillId="0" borderId="88" xfId="0" applyNumberFormat="1" applyFont="1" applyBorder="1" applyAlignment="1">
      <alignment/>
    </xf>
    <xf numFmtId="4" fontId="64" fillId="0" borderId="58" xfId="0" applyNumberFormat="1" applyFont="1" applyBorder="1" applyAlignment="1">
      <alignment/>
    </xf>
    <xf numFmtId="4" fontId="64" fillId="0" borderId="104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/>
    </xf>
    <xf numFmtId="4" fontId="64" fillId="0" borderId="0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0" fontId="69" fillId="0" borderId="74" xfId="0" applyFont="1" applyFill="1" applyBorder="1" applyAlignment="1">
      <alignment/>
    </xf>
    <xf numFmtId="3" fontId="69" fillId="0" borderId="87" xfId="0" applyNumberFormat="1" applyFont="1" applyFill="1" applyBorder="1" applyAlignment="1">
      <alignment/>
    </xf>
    <xf numFmtId="4" fontId="69" fillId="0" borderId="74" xfId="0" applyNumberFormat="1" applyFont="1" applyBorder="1" applyAlignment="1">
      <alignment/>
    </xf>
    <xf numFmtId="4" fontId="69" fillId="0" borderId="87" xfId="0" applyNumberFormat="1" applyFont="1" applyBorder="1" applyAlignment="1">
      <alignment/>
    </xf>
    <xf numFmtId="3" fontId="94" fillId="0" borderId="74" xfId="0" applyNumberFormat="1" applyFont="1" applyFill="1" applyBorder="1" applyAlignment="1">
      <alignment/>
    </xf>
    <xf numFmtId="3" fontId="94" fillId="0" borderId="70" xfId="0" applyNumberFormat="1" applyFont="1" applyFill="1" applyBorder="1" applyAlignment="1">
      <alignment/>
    </xf>
    <xf numFmtId="4" fontId="94" fillId="0" borderId="74" xfId="0" applyNumberFormat="1" applyFont="1" applyFill="1" applyBorder="1" applyAlignment="1">
      <alignment/>
    </xf>
    <xf numFmtId="4" fontId="94" fillId="0" borderId="87" xfId="0" applyNumberFormat="1" applyFont="1" applyFill="1" applyBorder="1" applyAlignment="1">
      <alignment/>
    </xf>
    <xf numFmtId="0" fontId="94" fillId="0" borderId="0" xfId="0" applyFont="1" applyAlignment="1">
      <alignment/>
    </xf>
    <xf numFmtId="3" fontId="94" fillId="0" borderId="87" xfId="0" applyNumberFormat="1" applyFont="1" applyFill="1" applyBorder="1" applyAlignment="1">
      <alignment/>
    </xf>
    <xf numFmtId="4" fontId="94" fillId="0" borderId="74" xfId="0" applyNumberFormat="1" applyFont="1" applyBorder="1" applyAlignment="1">
      <alignment/>
    </xf>
    <xf numFmtId="4" fontId="94" fillId="0" borderId="6" xfId="0" applyNumberFormat="1" applyFont="1" applyBorder="1" applyAlignment="1">
      <alignment/>
    </xf>
    <xf numFmtId="4" fontId="94" fillId="0" borderId="87" xfId="0" applyNumberFormat="1" applyFont="1" applyBorder="1" applyAlignment="1">
      <alignment/>
    </xf>
    <xf numFmtId="3" fontId="64" fillId="0" borderId="0" xfId="0" applyNumberFormat="1" applyFont="1" applyFill="1" applyAlignment="1">
      <alignment/>
    </xf>
    <xf numFmtId="3" fontId="94" fillId="0" borderId="70" xfId="0" applyNumberFormat="1" applyFont="1" applyBorder="1" applyAlignment="1">
      <alignment/>
    </xf>
    <xf numFmtId="3" fontId="94" fillId="0" borderId="74" xfId="0" applyNumberFormat="1" applyFont="1" applyBorder="1" applyAlignment="1">
      <alignment/>
    </xf>
    <xf numFmtId="0" fontId="68" fillId="0" borderId="0" xfId="0" applyFont="1" applyAlignment="1">
      <alignment/>
    </xf>
    <xf numFmtId="0" fontId="91" fillId="0" borderId="0" xfId="0" applyFont="1" applyAlignment="1">
      <alignment/>
    </xf>
    <xf numFmtId="0" fontId="64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74" fillId="0" borderId="106" xfId="0" applyFont="1" applyBorder="1" applyAlignment="1">
      <alignment/>
    </xf>
    <xf numFmtId="0" fontId="74" fillId="0" borderId="107" xfId="0" applyFont="1" applyBorder="1" applyAlignment="1">
      <alignment/>
    </xf>
    <xf numFmtId="0" fontId="64" fillId="0" borderId="108" xfId="0" applyFont="1" applyBorder="1" applyAlignment="1">
      <alignment/>
    </xf>
    <xf numFmtId="0" fontId="74" fillId="0" borderId="109" xfId="0" applyFont="1" applyBorder="1" applyAlignment="1">
      <alignment/>
    </xf>
    <xf numFmtId="0" fontId="74" fillId="0" borderId="110" xfId="0" applyFont="1" applyBorder="1" applyAlignment="1">
      <alignment/>
    </xf>
    <xf numFmtId="0" fontId="74" fillId="0" borderId="111" xfId="0" applyFont="1" applyBorder="1" applyAlignment="1">
      <alignment/>
    </xf>
    <xf numFmtId="0" fontId="64" fillId="0" borderId="107" xfId="0" applyFont="1" applyBorder="1" applyAlignment="1">
      <alignment/>
    </xf>
    <xf numFmtId="0" fontId="74" fillId="0" borderId="108" xfId="0" applyFont="1" applyBorder="1" applyAlignment="1">
      <alignment/>
    </xf>
    <xf numFmtId="0" fontId="64" fillId="0" borderId="107" xfId="0" applyFont="1" applyBorder="1" applyAlignment="1">
      <alignment horizontal="left"/>
    </xf>
    <xf numFmtId="0" fontId="74" fillId="0" borderId="112" xfId="0" applyFont="1" applyBorder="1" applyAlignment="1">
      <alignment/>
    </xf>
    <xf numFmtId="0" fontId="64" fillId="0" borderId="113" xfId="0" applyFont="1" applyBorder="1" applyAlignment="1">
      <alignment/>
    </xf>
    <xf numFmtId="0" fontId="64" fillId="0" borderId="109" xfId="0" applyFont="1" applyBorder="1" applyAlignment="1">
      <alignment/>
    </xf>
    <xf numFmtId="0" fontId="64" fillId="0" borderId="111" xfId="0" applyFont="1" applyBorder="1" applyAlignment="1">
      <alignment/>
    </xf>
    <xf numFmtId="0" fontId="64" fillId="0" borderId="114" xfId="0" applyFont="1" applyBorder="1" applyAlignment="1">
      <alignment/>
    </xf>
    <xf numFmtId="0" fontId="82" fillId="0" borderId="112" xfId="0" applyFont="1" applyBorder="1" applyAlignment="1">
      <alignment horizontal="centerContinuous"/>
    </xf>
    <xf numFmtId="0" fontId="64" fillId="0" borderId="110" xfId="0" applyFont="1" applyBorder="1" applyAlignment="1">
      <alignment/>
    </xf>
    <xf numFmtId="0" fontId="64" fillId="0" borderId="115" xfId="0" applyFont="1" applyBorder="1" applyAlignment="1">
      <alignment/>
    </xf>
    <xf numFmtId="0" fontId="82" fillId="0" borderId="116" xfId="0" applyFont="1" applyBorder="1" applyAlignment="1">
      <alignment horizontal="center"/>
    </xf>
    <xf numFmtId="0" fontId="82" fillId="0" borderId="69" xfId="0" applyFont="1" applyBorder="1" applyAlignment="1">
      <alignment horizontal="center"/>
    </xf>
    <xf numFmtId="0" fontId="82" fillId="0" borderId="54" xfId="0" applyFont="1" applyBorder="1" applyAlignment="1">
      <alignment horizontal="center"/>
    </xf>
    <xf numFmtId="0" fontId="82" fillId="0" borderId="1" xfId="0" applyFont="1" applyBorder="1" applyAlignment="1">
      <alignment horizontal="center"/>
    </xf>
    <xf numFmtId="0" fontId="64" fillId="0" borderId="117" xfId="0" applyFont="1" applyBorder="1" applyAlignment="1">
      <alignment horizontal="left"/>
    </xf>
    <xf numFmtId="0" fontId="82" fillId="0" borderId="21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82" fillId="0" borderId="67" xfId="0" applyFont="1" applyBorder="1" applyAlignment="1">
      <alignment horizontal="center"/>
    </xf>
    <xf numFmtId="0" fontId="82" fillId="0" borderId="3" xfId="0" applyFont="1" applyBorder="1" applyAlignment="1">
      <alignment horizontal="center"/>
    </xf>
    <xf numFmtId="0" fontId="82" fillId="0" borderId="69" xfId="0" applyFont="1" applyBorder="1" applyAlignment="1">
      <alignment horizontal="left"/>
    </xf>
    <xf numFmtId="0" fontId="82" fillId="0" borderId="2" xfId="0" applyFont="1" applyBorder="1" applyAlignment="1">
      <alignment horizontal="centerContinuous"/>
    </xf>
    <xf numFmtId="0" fontId="82" fillId="0" borderId="69" xfId="0" applyFont="1" applyBorder="1" applyAlignment="1">
      <alignment horizontal="centerContinuous"/>
    </xf>
    <xf numFmtId="0" fontId="64" fillId="0" borderId="67" xfId="0" applyFont="1" applyBorder="1" applyAlignment="1">
      <alignment/>
    </xf>
    <xf numFmtId="0" fontId="82" fillId="0" borderId="5" xfId="0" applyFont="1" applyBorder="1" applyAlignment="1">
      <alignment horizontal="centerContinuous"/>
    </xf>
    <xf numFmtId="0" fontId="82" fillId="0" borderId="6" xfId="0" applyFont="1" applyBorder="1" applyAlignment="1">
      <alignment horizontal="centerContinuous"/>
    </xf>
    <xf numFmtId="0" fontId="82" fillId="0" borderId="118" xfId="0" applyFont="1" applyBorder="1" applyAlignment="1">
      <alignment horizontal="centerContinuous"/>
    </xf>
    <xf numFmtId="0" fontId="64" fillId="0" borderId="3" xfId="0" applyFont="1" applyBorder="1" applyAlignment="1">
      <alignment horizontal="left"/>
    </xf>
    <xf numFmtId="0" fontId="82" fillId="0" borderId="119" xfId="0" applyFont="1" applyBorder="1" applyAlignment="1">
      <alignment horizontal="centerContinuous"/>
    </xf>
    <xf numFmtId="0" fontId="64" fillId="0" borderId="120" xfId="0" applyFont="1" applyBorder="1" applyAlignment="1">
      <alignment/>
    </xf>
    <xf numFmtId="0" fontId="67" fillId="0" borderId="0" xfId="0" applyFont="1" applyAlignment="1">
      <alignment/>
    </xf>
    <xf numFmtId="0" fontId="82" fillId="0" borderId="116" xfId="0" applyFont="1" applyBorder="1" applyAlignment="1">
      <alignment/>
    </xf>
    <xf numFmtId="0" fontId="82" fillId="0" borderId="69" xfId="0" applyFont="1" applyBorder="1" applyAlignment="1">
      <alignment/>
    </xf>
    <xf numFmtId="0" fontId="64" fillId="0" borderId="121" xfId="0" applyFont="1" applyBorder="1" applyAlignment="1">
      <alignment/>
    </xf>
    <xf numFmtId="0" fontId="67" fillId="0" borderId="54" xfId="0" applyFont="1" applyBorder="1" applyAlignment="1">
      <alignment horizontal="center"/>
    </xf>
    <xf numFmtId="0" fontId="82" fillId="0" borderId="0" xfId="0" applyFont="1" applyBorder="1" applyAlignment="1">
      <alignment horizontal="centerContinuous"/>
    </xf>
    <xf numFmtId="0" fontId="82" fillId="0" borderId="21" xfId="0" applyFont="1" applyBorder="1" applyAlignment="1">
      <alignment horizontal="centerContinuous"/>
    </xf>
    <xf numFmtId="0" fontId="82" fillId="0" borderId="122" xfId="0" applyFont="1" applyBorder="1" applyAlignment="1">
      <alignment horizontal="centerContinuous"/>
    </xf>
    <xf numFmtId="0" fontId="82" fillId="0" borderId="121" xfId="0" applyFont="1" applyBorder="1" applyAlignment="1">
      <alignment horizontal="center"/>
    </xf>
    <xf numFmtId="0" fontId="67" fillId="0" borderId="120" xfId="0" applyFont="1" applyBorder="1" applyAlignment="1">
      <alignment horizontal="center"/>
    </xf>
    <xf numFmtId="0" fontId="82" fillId="0" borderId="123" xfId="0" applyFont="1" applyBorder="1" applyAlignment="1">
      <alignment/>
    </xf>
    <xf numFmtId="0" fontId="82" fillId="0" borderId="81" xfId="0" applyFont="1" applyBorder="1" applyAlignment="1">
      <alignment/>
    </xf>
    <xf numFmtId="0" fontId="82" fillId="0" borderId="81" xfId="0" applyFont="1" applyBorder="1" applyAlignment="1">
      <alignment horizontal="center"/>
    </xf>
    <xf numFmtId="0" fontId="64" fillId="0" borderId="124" xfId="0" applyFont="1" applyBorder="1" applyAlignment="1">
      <alignment/>
    </xf>
    <xf numFmtId="0" fontId="64" fillId="0" borderId="6" xfId="0" applyFont="1" applyBorder="1" applyAlignment="1">
      <alignment horizontal="center"/>
    </xf>
    <xf numFmtId="0" fontId="82" fillId="0" borderId="5" xfId="0" applyFont="1" applyBorder="1" applyAlignment="1">
      <alignment horizontal="center"/>
    </xf>
    <xf numFmtId="0" fontId="67" fillId="0" borderId="81" xfId="0" applyFont="1" applyBorder="1" applyAlignment="1">
      <alignment horizontal="center"/>
    </xf>
    <xf numFmtId="0" fontId="67" fillId="0" borderId="6" xfId="0" applyFont="1" applyBorder="1" applyAlignment="1">
      <alignment horizontal="center"/>
    </xf>
    <xf numFmtId="0" fontId="66" fillId="0" borderId="81" xfId="0" applyFont="1" applyBorder="1" applyAlignment="1">
      <alignment/>
    </xf>
    <xf numFmtId="0" fontId="82" fillId="0" borderId="81" xfId="0" applyFont="1" applyBorder="1" applyAlignment="1">
      <alignment horizontal="centerContinuous"/>
    </xf>
    <xf numFmtId="0" fontId="64" fillId="0" borderId="87" xfId="0" applyFont="1" applyBorder="1" applyAlignment="1">
      <alignment horizontal="centerContinuous"/>
    </xf>
    <xf numFmtId="0" fontId="82" fillId="0" borderId="6" xfId="0" applyFont="1" applyBorder="1" applyAlignment="1">
      <alignment horizontal="center"/>
    </xf>
    <xf numFmtId="0" fontId="82" fillId="0" borderId="117" xfId="0" applyFont="1" applyBorder="1" applyAlignment="1">
      <alignment horizontal="center"/>
    </xf>
    <xf numFmtId="0" fontId="82" fillId="0" borderId="124" xfId="0" applyFont="1" applyBorder="1" applyAlignment="1">
      <alignment horizontal="center"/>
    </xf>
    <xf numFmtId="0" fontId="67" fillId="0" borderId="125" xfId="0" applyFont="1" applyBorder="1" applyAlignment="1">
      <alignment horizontal="center"/>
    </xf>
    <xf numFmtId="10" fontId="64" fillId="0" borderId="0" xfId="0" applyNumberFormat="1" applyFont="1" applyAlignment="1">
      <alignment horizontal="center"/>
    </xf>
    <xf numFmtId="10" fontId="67" fillId="0" borderId="0" xfId="0" applyNumberFormat="1" applyFont="1" applyAlignment="1">
      <alignment horizontal="center"/>
    </xf>
    <xf numFmtId="0" fontId="74" fillId="0" borderId="126" xfId="0" applyFont="1" applyBorder="1" applyAlignment="1">
      <alignment/>
    </xf>
    <xf numFmtId="3" fontId="74" fillId="0" borderId="99" xfId="0" applyNumberFormat="1" applyFont="1" applyBorder="1" applyAlignment="1">
      <alignment/>
    </xf>
    <xf numFmtId="3" fontId="74" fillId="0" borderId="127" xfId="0" applyNumberFormat="1" applyFont="1" applyBorder="1" applyAlignment="1">
      <alignment/>
    </xf>
    <xf numFmtId="3" fontId="74" fillId="0" borderId="128" xfId="0" applyNumberFormat="1" applyFont="1" applyBorder="1" applyAlignment="1">
      <alignment/>
    </xf>
    <xf numFmtId="4" fontId="74" fillId="0" borderId="99" xfId="0" applyNumberFormat="1" applyFont="1" applyBorder="1" applyAlignment="1">
      <alignment/>
    </xf>
    <xf numFmtId="3" fontId="74" fillId="0" borderId="48" xfId="0" applyNumberFormat="1" applyFont="1" applyBorder="1" applyAlignment="1">
      <alignment/>
    </xf>
    <xf numFmtId="3" fontId="74" fillId="0" borderId="57" xfId="0" applyNumberFormat="1" applyFont="1" applyBorder="1" applyAlignment="1">
      <alignment/>
    </xf>
    <xf numFmtId="3" fontId="74" fillId="0" borderId="47" xfId="0" applyNumberFormat="1" applyFont="1" applyBorder="1" applyAlignment="1">
      <alignment/>
    </xf>
    <xf numFmtId="3" fontId="74" fillId="0" borderId="56" xfId="0" applyNumberFormat="1" applyFont="1" applyBorder="1" applyAlignment="1">
      <alignment/>
    </xf>
    <xf numFmtId="0" fontId="74" fillId="0" borderId="129" xfId="0" applyFont="1" applyBorder="1" applyAlignment="1">
      <alignment/>
    </xf>
    <xf numFmtId="3" fontId="74" fillId="0" borderId="88" xfId="0" applyNumberFormat="1" applyFont="1" applyBorder="1" applyAlignment="1">
      <alignment/>
    </xf>
    <xf numFmtId="3" fontId="74" fillId="0" borderId="130" xfId="0" applyNumberFormat="1" applyFont="1" applyBorder="1" applyAlignment="1">
      <alignment/>
    </xf>
    <xf numFmtId="4" fontId="74" fillId="0" borderId="28" xfId="0" applyNumberFormat="1" applyFont="1" applyBorder="1" applyAlignment="1">
      <alignment/>
    </xf>
    <xf numFmtId="4" fontId="74" fillId="0" borderId="88" xfId="0" applyNumberFormat="1" applyFont="1" applyBorder="1" applyAlignment="1">
      <alignment/>
    </xf>
    <xf numFmtId="3" fontId="74" fillId="0" borderId="58" xfId="0" applyNumberFormat="1" applyFont="1" applyBorder="1" applyAlignment="1">
      <alignment/>
    </xf>
    <xf numFmtId="3" fontId="74" fillId="0" borderId="28" xfId="0" applyNumberFormat="1" applyFont="1" applyBorder="1" applyAlignment="1">
      <alignment/>
    </xf>
    <xf numFmtId="3" fontId="74" fillId="0" borderId="66" xfId="0" applyNumberFormat="1" applyFont="1" applyBorder="1" applyAlignment="1">
      <alignment horizontal="right"/>
    </xf>
    <xf numFmtId="3" fontId="74" fillId="0" borderId="131" xfId="0" applyNumberFormat="1" applyFont="1" applyBorder="1" applyAlignment="1">
      <alignment/>
    </xf>
    <xf numFmtId="3" fontId="74" fillId="0" borderId="88" xfId="0" applyNumberFormat="1" applyFont="1" applyBorder="1" applyAlignment="1">
      <alignment horizontal="right"/>
    </xf>
    <xf numFmtId="0" fontId="64" fillId="0" borderId="116" xfId="0" applyFont="1" applyBorder="1" applyAlignment="1">
      <alignment/>
    </xf>
    <xf numFmtId="3" fontId="74" fillId="0" borderId="121" xfId="0" applyNumberFormat="1" applyFont="1" applyBorder="1" applyAlignment="1">
      <alignment/>
    </xf>
    <xf numFmtId="4" fontId="74" fillId="0" borderId="69" xfId="0" applyNumberFormat="1" applyFont="1" applyBorder="1" applyAlignment="1">
      <alignment/>
    </xf>
    <xf numFmtId="0" fontId="96" fillId="0" borderId="132" xfId="0" applyFont="1" applyBorder="1" applyAlignment="1">
      <alignment/>
    </xf>
    <xf numFmtId="3" fontId="74" fillId="0" borderId="74" xfId="0" applyNumberFormat="1" applyFont="1" applyBorder="1" applyAlignment="1">
      <alignment/>
    </xf>
    <xf numFmtId="3" fontId="74" fillId="0" borderId="133" xfId="0" applyNumberFormat="1" applyFont="1" applyBorder="1" applyAlignment="1">
      <alignment/>
    </xf>
    <xf numFmtId="3" fontId="82" fillId="0" borderId="74" xfId="0" applyNumberFormat="1" applyFont="1" applyBorder="1" applyAlignment="1">
      <alignment/>
    </xf>
    <xf numFmtId="3" fontId="74" fillId="0" borderId="86" xfId="0" applyNumberFormat="1" applyFont="1" applyBorder="1" applyAlignment="1">
      <alignment/>
    </xf>
    <xf numFmtId="3" fontId="74" fillId="0" borderId="87" xfId="0" applyNumberFormat="1" applyFont="1" applyBorder="1" applyAlignment="1">
      <alignment/>
    </xf>
    <xf numFmtId="3" fontId="82" fillId="0" borderId="120" xfId="0" applyNumberFormat="1" applyFont="1" applyBorder="1" applyAlignment="1">
      <alignment/>
    </xf>
    <xf numFmtId="3" fontId="67" fillId="0" borderId="0" xfId="0" applyNumberFormat="1" applyFont="1" applyAlignment="1">
      <alignment/>
    </xf>
    <xf numFmtId="0" fontId="74" fillId="0" borderId="134" xfId="0" applyFont="1" applyBorder="1" applyAlignment="1">
      <alignment/>
    </xf>
    <xf numFmtId="3" fontId="82" fillId="0" borderId="61" xfId="0" applyNumberFormat="1" applyFont="1" applyBorder="1" applyAlignment="1">
      <alignment/>
    </xf>
    <xf numFmtId="3" fontId="82" fillId="0" borderId="66" xfId="0" applyNumberFormat="1" applyFont="1" applyBorder="1" applyAlignment="1">
      <alignment/>
    </xf>
    <xf numFmtId="3" fontId="64" fillId="0" borderId="135" xfId="0" applyNumberFormat="1" applyFont="1" applyBorder="1" applyAlignment="1">
      <alignment/>
    </xf>
    <xf numFmtId="3" fontId="82" fillId="0" borderId="87" xfId="0" applyNumberFormat="1" applyFont="1" applyBorder="1" applyAlignment="1">
      <alignment/>
    </xf>
    <xf numFmtId="3" fontId="82" fillId="0" borderId="133" xfId="0" applyNumberFormat="1" applyFont="1" applyBorder="1" applyAlignment="1">
      <alignment/>
    </xf>
    <xf numFmtId="3" fontId="82" fillId="0" borderId="135" xfId="0" applyNumberFormat="1" applyFont="1" applyBorder="1" applyAlignment="1">
      <alignment/>
    </xf>
    <xf numFmtId="3" fontId="82" fillId="0" borderId="48" xfId="0" applyNumberFormat="1" applyFont="1" applyBorder="1" applyAlignment="1">
      <alignment/>
    </xf>
    <xf numFmtId="3" fontId="82" fillId="0" borderId="99" xfId="0" applyNumberFormat="1" applyFont="1" applyBorder="1" applyAlignment="1">
      <alignment/>
    </xf>
    <xf numFmtId="3" fontId="74" fillId="0" borderId="120" xfId="0" applyNumberFormat="1" applyFont="1" applyBorder="1" applyAlignment="1">
      <alignment/>
    </xf>
    <xf numFmtId="0" fontId="74" fillId="0" borderId="116" xfId="0" applyFont="1" applyBorder="1" applyAlignment="1">
      <alignment/>
    </xf>
    <xf numFmtId="3" fontId="82" fillId="0" borderId="21" xfId="0" applyNumberFormat="1" applyFont="1" applyBorder="1" applyAlignment="1">
      <alignment/>
    </xf>
    <xf numFmtId="3" fontId="82" fillId="0" borderId="69" xfId="0" applyNumberFormat="1" applyFont="1" applyBorder="1" applyAlignment="1">
      <alignment/>
    </xf>
    <xf numFmtId="3" fontId="74" fillId="0" borderId="136" xfId="0" applyNumberFormat="1" applyFont="1" applyBorder="1" applyAlignment="1">
      <alignment/>
    </xf>
    <xf numFmtId="3" fontId="82" fillId="0" borderId="86" xfId="0" applyNumberFormat="1" applyFont="1" applyBorder="1" applyAlignment="1">
      <alignment/>
    </xf>
    <xf numFmtId="0" fontId="74" fillId="4" borderId="137" xfId="0" applyFont="1" applyFill="1" applyBorder="1" applyAlignment="1">
      <alignment/>
    </xf>
    <xf numFmtId="3" fontId="74" fillId="0" borderId="100" xfId="0" applyNumberFormat="1" applyFont="1" applyBorder="1" applyAlignment="1">
      <alignment/>
    </xf>
    <xf numFmtId="3" fontId="74" fillId="0" borderId="105" xfId="0" applyNumberFormat="1" applyFont="1" applyBorder="1" applyAlignment="1">
      <alignment/>
    </xf>
    <xf numFmtId="3" fontId="74" fillId="4" borderId="100" xfId="0" applyNumberFormat="1" applyFont="1" applyFill="1" applyBorder="1" applyAlignment="1">
      <alignment/>
    </xf>
    <xf numFmtId="3" fontId="82" fillId="0" borderId="100" xfId="0" applyNumberFormat="1" applyFont="1" applyBorder="1" applyAlignment="1">
      <alignment/>
    </xf>
    <xf numFmtId="3" fontId="74" fillId="0" borderId="101" xfId="0" applyNumberFormat="1" applyFont="1" applyBorder="1" applyAlignment="1">
      <alignment/>
    </xf>
    <xf numFmtId="3" fontId="74" fillId="4" borderId="101" xfId="0" applyNumberFormat="1" applyFont="1" applyFill="1" applyBorder="1" applyAlignment="1">
      <alignment/>
    </xf>
    <xf numFmtId="3" fontId="74" fillId="0" borderId="138" xfId="0" applyNumberFormat="1" applyFont="1" applyBorder="1" applyAlignment="1">
      <alignment/>
    </xf>
    <xf numFmtId="3" fontId="74" fillId="0" borderId="104" xfId="0" applyNumberFormat="1" applyFont="1" applyBorder="1" applyAlignment="1">
      <alignment/>
    </xf>
    <xf numFmtId="3" fontId="74" fillId="0" borderId="139" xfId="0" applyNumberFormat="1" applyFont="1" applyBorder="1" applyAlignment="1">
      <alignment/>
    </xf>
    <xf numFmtId="3" fontId="74" fillId="0" borderId="140" xfId="0" applyNumberFormat="1" applyFont="1" applyBorder="1" applyAlignment="1">
      <alignment/>
    </xf>
    <xf numFmtId="0" fontId="74" fillId="4" borderId="141" xfId="0" applyFont="1" applyFill="1" applyBorder="1" applyAlignment="1">
      <alignment/>
    </xf>
    <xf numFmtId="3" fontId="74" fillId="0" borderId="142" xfId="0" applyNumberFormat="1" applyFont="1" applyBorder="1" applyAlignment="1">
      <alignment/>
    </xf>
    <xf numFmtId="3" fontId="74" fillId="4" borderId="94" xfId="0" applyNumberFormat="1" applyFont="1" applyFill="1" applyBorder="1" applyAlignment="1">
      <alignment/>
    </xf>
    <xf numFmtId="3" fontId="74" fillId="4" borderId="97" xfId="0" applyNumberFormat="1" applyFont="1" applyFill="1" applyBorder="1" applyAlignment="1">
      <alignment/>
    </xf>
    <xf numFmtId="3" fontId="82" fillId="0" borderId="97" xfId="0" applyNumberFormat="1" applyFont="1" applyBorder="1" applyAlignment="1">
      <alignment/>
    </xf>
    <xf numFmtId="0" fontId="96" fillId="4" borderId="132" xfId="0" applyFont="1" applyFill="1" applyBorder="1" applyAlignment="1">
      <alignment/>
    </xf>
    <xf numFmtId="0" fontId="74" fillId="4" borderId="116" xfId="0" applyFont="1" applyFill="1" applyBorder="1" applyAlignment="1">
      <alignment/>
    </xf>
    <xf numFmtId="0" fontId="74" fillId="4" borderId="134" xfId="0" applyFont="1" applyFill="1" applyBorder="1" applyAlignment="1">
      <alignment/>
    </xf>
    <xf numFmtId="3" fontId="82" fillId="0" borderId="58" xfId="0" applyNumberFormat="1" applyFont="1" applyBorder="1" applyAlignment="1">
      <alignment/>
    </xf>
    <xf numFmtId="0" fontId="74" fillId="4" borderId="129" xfId="0" applyFont="1" applyFill="1" applyBorder="1" applyAlignment="1">
      <alignment/>
    </xf>
    <xf numFmtId="3" fontId="74" fillId="4" borderId="88" xfId="0" applyNumberFormat="1" applyFont="1" applyFill="1" applyBorder="1" applyAlignment="1">
      <alignment/>
    </xf>
    <xf numFmtId="3" fontId="74" fillId="4" borderId="130" xfId="0" applyNumberFormat="1" applyFont="1" applyFill="1" applyBorder="1" applyAlignment="1">
      <alignment/>
    </xf>
    <xf numFmtId="3" fontId="74" fillId="4" borderId="28" xfId="0" applyNumberFormat="1" applyFont="1" applyFill="1" applyBorder="1" applyAlignment="1">
      <alignment/>
    </xf>
    <xf numFmtId="3" fontId="74" fillId="0" borderId="143" xfId="0" applyNumberFormat="1" applyFont="1" applyBorder="1" applyAlignment="1">
      <alignment/>
    </xf>
    <xf numFmtId="3" fontId="74" fillId="0" borderId="98" xfId="0" applyNumberFormat="1" applyFont="1" applyBorder="1" applyAlignment="1">
      <alignment/>
    </xf>
    <xf numFmtId="0" fontId="96" fillId="4" borderId="144" xfId="0" applyFont="1" applyFill="1" applyBorder="1" applyAlignment="1">
      <alignment/>
    </xf>
    <xf numFmtId="3" fontId="74" fillId="0" borderId="118" xfId="0" applyNumberFormat="1" applyFont="1" applyBorder="1" applyAlignment="1">
      <alignment/>
    </xf>
    <xf numFmtId="3" fontId="82" fillId="0" borderId="54" xfId="0" applyNumberFormat="1" applyFont="1" applyBorder="1" applyAlignment="1">
      <alignment/>
    </xf>
    <xf numFmtId="3" fontId="82" fillId="0" borderId="3" xfId="0" applyNumberFormat="1" applyFont="1" applyBorder="1" applyAlignment="1">
      <alignment/>
    </xf>
    <xf numFmtId="3" fontId="74" fillId="0" borderId="2" xfId="0" applyNumberFormat="1" applyFont="1" applyBorder="1" applyAlignment="1">
      <alignment/>
    </xf>
    <xf numFmtId="3" fontId="74" fillId="4" borderId="66" xfId="0" applyNumberFormat="1" applyFont="1" applyFill="1" applyBorder="1" applyAlignment="1">
      <alignment/>
    </xf>
    <xf numFmtId="3" fontId="74" fillId="4" borderId="131" xfId="0" applyNumberFormat="1" applyFont="1" applyFill="1" applyBorder="1" applyAlignment="1">
      <alignment/>
    </xf>
    <xf numFmtId="3" fontId="74" fillId="4" borderId="65" xfId="0" applyNumberFormat="1" applyFont="1" applyFill="1" applyBorder="1" applyAlignment="1">
      <alignment/>
    </xf>
    <xf numFmtId="3" fontId="74" fillId="4" borderId="19" xfId="0" applyNumberFormat="1" applyFont="1" applyFill="1" applyBorder="1" applyAlignment="1">
      <alignment/>
    </xf>
    <xf numFmtId="3" fontId="82" fillId="4" borderId="74" xfId="0" applyNumberFormat="1" applyFont="1" applyFill="1" applyBorder="1" applyAlignment="1">
      <alignment/>
    </xf>
    <xf numFmtId="3" fontId="74" fillId="4" borderId="74" xfId="0" applyNumberFormat="1" applyFont="1" applyFill="1" applyBorder="1" applyAlignment="1">
      <alignment/>
    </xf>
    <xf numFmtId="0" fontId="96" fillId="4" borderId="123" xfId="0" applyFont="1" applyFill="1" applyBorder="1" applyAlignment="1">
      <alignment/>
    </xf>
    <xf numFmtId="3" fontId="74" fillId="0" borderId="81" xfId="0" applyNumberFormat="1" applyFont="1" applyBorder="1" applyAlignment="1">
      <alignment/>
    </xf>
    <xf numFmtId="3" fontId="74" fillId="4" borderId="81" xfId="0" applyNumberFormat="1" applyFont="1" applyFill="1" applyBorder="1" applyAlignment="1">
      <alignment/>
    </xf>
    <xf numFmtId="3" fontId="74" fillId="4" borderId="124" xfId="0" applyNumberFormat="1" applyFont="1" applyFill="1" applyBorder="1" applyAlignment="1">
      <alignment/>
    </xf>
    <xf numFmtId="3" fontId="82" fillId="4" borderId="5" xfId="0" applyNumberFormat="1" applyFont="1" applyFill="1" applyBorder="1" applyAlignment="1">
      <alignment/>
    </xf>
    <xf numFmtId="3" fontId="82" fillId="0" borderId="6" xfId="0" applyNumberFormat="1" applyFont="1" applyBorder="1" applyAlignment="1">
      <alignment/>
    </xf>
    <xf numFmtId="3" fontId="82" fillId="0" borderId="5" xfId="0" applyNumberFormat="1" applyFont="1" applyBorder="1" applyAlignment="1">
      <alignment/>
    </xf>
    <xf numFmtId="3" fontId="82" fillId="4" borderId="81" xfId="0" applyNumberFormat="1" applyFont="1" applyFill="1" applyBorder="1" applyAlignment="1">
      <alignment/>
    </xf>
    <xf numFmtId="3" fontId="82" fillId="0" borderId="81" xfId="0" applyNumberFormat="1" applyFont="1" applyBorder="1" applyAlignment="1">
      <alignment/>
    </xf>
    <xf numFmtId="3" fontId="82" fillId="0" borderId="85" xfId="0" applyNumberFormat="1" applyFont="1" applyBorder="1" applyAlignment="1">
      <alignment/>
    </xf>
    <xf numFmtId="3" fontId="82" fillId="0" borderId="82" xfId="0" applyNumberFormat="1" applyFont="1" applyBorder="1" applyAlignment="1">
      <alignment/>
    </xf>
    <xf numFmtId="3" fontId="82" fillId="0" borderId="7" xfId="0" applyNumberFormat="1" applyFont="1" applyBorder="1" applyAlignment="1">
      <alignment/>
    </xf>
    <xf numFmtId="3" fontId="82" fillId="0" borderId="124" xfId="0" applyNumberFormat="1" applyFont="1" applyBorder="1" applyAlignment="1">
      <alignment/>
    </xf>
    <xf numFmtId="3" fontId="82" fillId="0" borderId="4" xfId="0" applyNumberFormat="1" applyFont="1" applyBorder="1" applyAlignment="1">
      <alignment/>
    </xf>
    <xf numFmtId="3" fontId="82" fillId="0" borderId="79" xfId="0" applyNumberFormat="1" applyFont="1" applyBorder="1" applyAlignment="1">
      <alignment/>
    </xf>
    <xf numFmtId="3" fontId="82" fillId="0" borderId="142" xfId="0" applyNumberFormat="1" applyFont="1" applyBorder="1" applyAlignment="1">
      <alignment/>
    </xf>
    <xf numFmtId="3" fontId="82" fillId="0" borderId="143" xfId="0" applyNumberFormat="1" applyFont="1" applyBorder="1" applyAlignment="1">
      <alignment/>
    </xf>
    <xf numFmtId="3" fontId="64" fillId="0" borderId="120" xfId="0" applyNumberFormat="1" applyFont="1" applyBorder="1" applyAlignment="1">
      <alignment/>
    </xf>
    <xf numFmtId="3" fontId="64" fillId="0" borderId="136" xfId="0" applyNumberFormat="1" applyFont="1" applyBorder="1" applyAlignment="1">
      <alignment/>
    </xf>
    <xf numFmtId="0" fontId="82" fillId="4" borderId="144" xfId="0" applyFont="1" applyFill="1" applyBorder="1" applyAlignment="1">
      <alignment/>
    </xf>
    <xf numFmtId="3" fontId="74" fillId="0" borderId="124" xfId="0" applyNumberFormat="1" applyFont="1" applyBorder="1" applyAlignment="1">
      <alignment/>
    </xf>
    <xf numFmtId="3" fontId="74" fillId="0" borderId="5" xfId="0" applyNumberFormat="1" applyFont="1" applyBorder="1" applyAlignment="1">
      <alignment/>
    </xf>
    <xf numFmtId="3" fontId="74" fillId="4" borderId="5" xfId="0" applyNumberFormat="1" applyFont="1" applyFill="1" applyBorder="1" applyAlignment="1">
      <alignment/>
    </xf>
    <xf numFmtId="4" fontId="64" fillId="0" borderId="0" xfId="0" applyNumberFormat="1" applyFont="1" applyAlignment="1">
      <alignment/>
    </xf>
    <xf numFmtId="0" fontId="68" fillId="0" borderId="0" xfId="0" applyFont="1" applyBorder="1" applyAlignment="1" applyProtection="1">
      <alignment horizontal="left"/>
      <protection locked="0"/>
    </xf>
    <xf numFmtId="0" fontId="68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3" fontId="82" fillId="0" borderId="64" xfId="0" applyNumberFormat="1" applyFont="1" applyBorder="1" applyAlignment="1">
      <alignment/>
    </xf>
    <xf numFmtId="3" fontId="82" fillId="0" borderId="131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3" fontId="82" fillId="0" borderId="121" xfId="0" applyNumberFormat="1" applyFont="1" applyBorder="1" applyAlignment="1">
      <alignment/>
    </xf>
    <xf numFmtId="3" fontId="82" fillId="0" borderId="70" xfId="0" applyNumberFormat="1" applyFont="1" applyBorder="1" applyAlignment="1">
      <alignment/>
    </xf>
    <xf numFmtId="49" fontId="102" fillId="0" borderId="0" xfId="0" applyNumberFormat="1" applyFont="1" applyAlignment="1">
      <alignment horizontal="center" wrapText="1"/>
    </xf>
    <xf numFmtId="0" fontId="77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0" fontId="88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71" fillId="0" borderId="106" xfId="0" applyFont="1" applyBorder="1" applyAlignment="1">
      <alignment horizontal="left" indent="1"/>
    </xf>
    <xf numFmtId="0" fontId="89" fillId="0" borderId="145" xfId="0" applyFont="1" applyBorder="1" applyAlignment="1">
      <alignment horizontal="centerContinuous"/>
    </xf>
    <xf numFmtId="0" fontId="71" fillId="0" borderId="146" xfId="0" applyFont="1" applyBorder="1" applyAlignment="1">
      <alignment horizontal="centerContinuous"/>
    </xf>
    <xf numFmtId="0" fontId="71" fillId="0" borderId="111" xfId="0" applyFont="1" applyBorder="1" applyAlignment="1">
      <alignment horizontal="centerContinuous"/>
    </xf>
    <xf numFmtId="0" fontId="71" fillId="0" borderId="109" xfId="0" applyFont="1" applyBorder="1" applyAlignment="1">
      <alignment horizontal="centerContinuous"/>
    </xf>
    <xf numFmtId="0" fontId="71" fillId="0" borderId="145" xfId="0" applyFont="1" applyBorder="1" applyAlignment="1">
      <alignment horizontal="centerContinuous"/>
    </xf>
    <xf numFmtId="0" fontId="71" fillId="0" borderId="147" xfId="0" applyFont="1" applyBorder="1" applyAlignment="1">
      <alignment horizontal="centerContinuous"/>
    </xf>
    <xf numFmtId="0" fontId="71" fillId="0" borderId="148" xfId="0" applyFont="1" applyBorder="1" applyAlignment="1">
      <alignment horizontal="centerContinuous"/>
    </xf>
    <xf numFmtId="0" fontId="89" fillId="0" borderId="0" xfId="0" applyFont="1" applyAlignment="1">
      <alignment/>
    </xf>
    <xf numFmtId="0" fontId="71" fillId="0" borderId="116" xfId="0" applyFont="1" applyBorder="1" applyAlignment="1">
      <alignment horizontal="center"/>
    </xf>
    <xf numFmtId="0" fontId="71" fillId="0" borderId="149" xfId="0" applyFont="1" applyBorder="1" applyAlignment="1">
      <alignment horizontal="center"/>
    </xf>
    <xf numFmtId="0" fontId="71" fillId="0" borderId="68" xfId="0" applyFont="1" applyBorder="1" applyAlignment="1">
      <alignment horizontal="center"/>
    </xf>
    <xf numFmtId="0" fontId="71" fillId="0" borderId="91" xfId="0" applyFont="1" applyBorder="1" applyAlignment="1">
      <alignment horizontal="center"/>
    </xf>
    <xf numFmtId="0" fontId="71" fillId="0" borderId="138" xfId="0" applyFont="1" applyBorder="1" applyAlignment="1">
      <alignment horizontal="center"/>
    </xf>
    <xf numFmtId="0" fontId="71" fillId="0" borderId="89" xfId="0" applyFont="1" applyBorder="1" applyAlignment="1">
      <alignment horizontal="center"/>
    </xf>
    <xf numFmtId="0" fontId="71" fillId="0" borderId="90" xfId="0" applyFont="1" applyBorder="1" applyAlignment="1">
      <alignment horizontal="center"/>
    </xf>
    <xf numFmtId="0" fontId="71" fillId="0" borderId="53" xfId="0" applyFont="1" applyBorder="1" applyAlignment="1">
      <alignment horizontal="center"/>
    </xf>
    <xf numFmtId="0" fontId="59" fillId="0" borderId="123" xfId="0" applyFont="1" applyBorder="1" applyAlignment="1">
      <alignment horizontal="left" indent="1"/>
    </xf>
    <xf numFmtId="0" fontId="59" fillId="0" borderId="5" xfId="0" applyFont="1" applyBorder="1" applyAlignment="1">
      <alignment horizontal="left"/>
    </xf>
    <xf numFmtId="0" fontId="0" fillId="0" borderId="8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89" fillId="0" borderId="134" xfId="0" applyFont="1" applyBorder="1" applyAlignment="1">
      <alignment horizontal="left" indent="1"/>
    </xf>
    <xf numFmtId="3" fontId="0" fillId="0" borderId="65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4" borderId="60" xfId="0" applyNumberFormat="1" applyFill="1" applyBorder="1" applyAlignment="1">
      <alignment/>
    </xf>
    <xf numFmtId="3" fontId="0" fillId="4" borderId="63" xfId="0" applyNumberFormat="1" applyFill="1" applyBorder="1" applyAlignment="1">
      <alignment/>
    </xf>
    <xf numFmtId="3" fontId="0" fillId="4" borderId="76" xfId="0" applyNumberFormat="1" applyFill="1" applyBorder="1" applyAlignment="1">
      <alignment/>
    </xf>
    <xf numFmtId="4" fontId="0" fillId="0" borderId="150" xfId="0" applyNumberFormat="1" applyBorder="1" applyAlignment="1">
      <alignment/>
    </xf>
    <xf numFmtId="3" fontId="0" fillId="0" borderId="60" xfId="0" applyNumberFormat="1" applyFont="1" applyBorder="1" applyAlignment="1">
      <alignment/>
    </xf>
    <xf numFmtId="0" fontId="89" fillId="0" borderId="137" xfId="0" applyFont="1" applyBorder="1" applyAlignment="1">
      <alignment horizontal="left" indent="1"/>
    </xf>
    <xf numFmtId="3" fontId="0" fillId="0" borderId="101" xfId="0" applyNumberFormat="1" applyBorder="1" applyAlignment="1">
      <alignment/>
    </xf>
    <xf numFmtId="3" fontId="0" fillId="0" borderId="91" xfId="0" applyNumberFormat="1" applyBorder="1" applyAlignment="1">
      <alignment/>
    </xf>
    <xf numFmtId="3" fontId="0" fillId="4" borderId="91" xfId="0" applyNumberFormat="1" applyFill="1" applyBorder="1" applyAlignment="1">
      <alignment/>
    </xf>
    <xf numFmtId="3" fontId="0" fillId="4" borderId="151" xfId="0" applyNumberFormat="1" applyFill="1" applyBorder="1" applyAlignment="1">
      <alignment/>
    </xf>
    <xf numFmtId="3" fontId="0" fillId="4" borderId="138" xfId="0" applyNumberFormat="1" applyFill="1" applyBorder="1" applyAlignment="1">
      <alignment/>
    </xf>
    <xf numFmtId="0" fontId="71" fillId="0" borderId="132" xfId="0" applyFont="1" applyBorder="1" applyAlignment="1">
      <alignment horizontal="left" indent="1"/>
    </xf>
    <xf numFmtId="3" fontId="71" fillId="0" borderId="86" xfId="0" applyNumberFormat="1" applyFont="1" applyBorder="1" applyAlignment="1">
      <alignment/>
    </xf>
    <xf numFmtId="3" fontId="71" fillId="0" borderId="72" xfId="0" applyNumberFormat="1" applyFont="1" applyBorder="1" applyAlignment="1">
      <alignment/>
    </xf>
    <xf numFmtId="3" fontId="71" fillId="4" borderId="72" xfId="0" applyNumberFormat="1" applyFont="1" applyFill="1" applyBorder="1" applyAlignment="1">
      <alignment/>
    </xf>
    <xf numFmtId="3" fontId="71" fillId="4" borderId="73" xfId="0" applyNumberFormat="1" applyFont="1" applyFill="1" applyBorder="1" applyAlignment="1">
      <alignment/>
    </xf>
    <xf numFmtId="3" fontId="71" fillId="4" borderId="152" xfId="0" applyNumberFormat="1" applyFont="1" applyFill="1" applyBorder="1" applyAlignment="1">
      <alignment/>
    </xf>
    <xf numFmtId="3" fontId="71" fillId="4" borderId="70" xfId="0" applyNumberFormat="1" applyFont="1" applyFill="1" applyBorder="1" applyAlignment="1">
      <alignment/>
    </xf>
    <xf numFmtId="3" fontId="71" fillId="0" borderId="73" xfId="0" applyNumberFormat="1" applyFont="1" applyBorder="1" applyAlignment="1">
      <alignment/>
    </xf>
    <xf numFmtId="4" fontId="71" fillId="0" borderId="153" xfId="0" applyNumberFormat="1" applyFont="1" applyBorder="1" applyAlignment="1">
      <alignment/>
    </xf>
    <xf numFmtId="0" fontId="89" fillId="0" borderId="0" xfId="21" applyFont="1">
      <alignment/>
      <protection/>
    </xf>
    <xf numFmtId="0" fontId="89" fillId="0" borderId="0" xfId="21" applyFont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7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72" fillId="0" borderId="108" xfId="0" applyFont="1" applyBorder="1" applyAlignment="1">
      <alignment horizontal="centerContinuous" vertical="center"/>
    </xf>
    <xf numFmtId="0" fontId="72" fillId="0" borderId="146" xfId="0" applyFont="1" applyBorder="1" applyAlignment="1">
      <alignment horizontal="centerContinuous" vertical="center"/>
    </xf>
    <xf numFmtId="0" fontId="72" fillId="0" borderId="111" xfId="0" applyFont="1" applyBorder="1" applyAlignment="1">
      <alignment horizontal="centerContinuous" vertical="center"/>
    </xf>
    <xf numFmtId="0" fontId="72" fillId="0" borderId="109" xfId="0" applyFont="1" applyBorder="1" applyAlignment="1">
      <alignment horizontal="centerContinuous" vertical="center"/>
    </xf>
    <xf numFmtId="0" fontId="72" fillId="0" borderId="107" xfId="0" applyFont="1" applyBorder="1" applyAlignment="1">
      <alignment horizontal="centerContinuous" vertical="center"/>
    </xf>
    <xf numFmtId="0" fontId="17" fillId="0" borderId="0" xfId="0" applyFont="1" applyAlignment="1">
      <alignment/>
    </xf>
    <xf numFmtId="0" fontId="72" fillId="0" borderId="77" xfId="0" applyFont="1" applyBorder="1" applyAlignment="1">
      <alignment horizontal="center" vertical="center"/>
    </xf>
    <xf numFmtId="0" fontId="72" fillId="0" borderId="78" xfId="0" applyFont="1" applyBorder="1" applyAlignment="1">
      <alignment horizontal="center" vertical="center"/>
    </xf>
    <xf numFmtId="0" fontId="72" fillId="0" borderId="96" xfId="0" applyFont="1" applyBorder="1" applyAlignment="1">
      <alignment horizontal="center" vertical="center"/>
    </xf>
    <xf numFmtId="0" fontId="72" fillId="0" borderId="93" xfId="0" applyFont="1" applyBorder="1" applyAlignment="1">
      <alignment horizontal="center" vertical="center"/>
    </xf>
    <xf numFmtId="0" fontId="72" fillId="0" borderId="95" xfId="0" applyFont="1" applyBorder="1" applyAlignment="1">
      <alignment horizontal="center" vertical="center"/>
    </xf>
    <xf numFmtId="0" fontId="72" fillId="0" borderId="79" xfId="0" applyFont="1" applyBorder="1" applyAlignment="1">
      <alignment horizontal="center" vertical="center"/>
    </xf>
    <xf numFmtId="0" fontId="72" fillId="0" borderId="154" xfId="0" applyFont="1" applyBorder="1" applyAlignment="1">
      <alignment vertical="center"/>
    </xf>
    <xf numFmtId="0" fontId="59" fillId="0" borderId="123" xfId="0" applyFont="1" applyBorder="1" applyAlignment="1">
      <alignment horizontal="left"/>
    </xf>
    <xf numFmtId="0" fontId="0" fillId="0" borderId="8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97" fillId="0" borderId="155" xfId="0" applyFont="1" applyBorder="1" applyAlignment="1">
      <alignment/>
    </xf>
    <xf numFmtId="3" fontId="59" fillId="0" borderId="77" xfId="0" applyNumberFormat="1" applyFont="1" applyBorder="1" applyAlignment="1">
      <alignment/>
    </xf>
    <xf numFmtId="3" fontId="59" fillId="4" borderId="78" xfId="0" applyNumberFormat="1" applyFont="1" applyFill="1" applyBorder="1" applyAlignment="1">
      <alignment/>
    </xf>
    <xf numFmtId="3" fontId="59" fillId="4" borderId="96" xfId="0" applyNumberFormat="1" applyFont="1" applyFill="1" applyBorder="1" applyAlignment="1">
      <alignment/>
    </xf>
    <xf numFmtId="3" fontId="59" fillId="0" borderId="93" xfId="0" applyNumberFormat="1" applyFont="1" applyBorder="1" applyAlignment="1">
      <alignment/>
    </xf>
    <xf numFmtId="3" fontId="59" fillId="4" borderId="95" xfId="0" applyNumberFormat="1" applyFont="1" applyFill="1" applyBorder="1" applyAlignment="1">
      <alignment/>
    </xf>
    <xf numFmtId="3" fontId="59" fillId="4" borderId="79" xfId="0" applyNumberFormat="1" applyFont="1" applyFill="1" applyBorder="1" applyAlignment="1">
      <alignment/>
    </xf>
    <xf numFmtId="3" fontId="59" fillId="0" borderId="78" xfId="0" applyNumberFormat="1" applyFont="1" applyBorder="1" applyAlignment="1">
      <alignment/>
    </xf>
    <xf numFmtId="4" fontId="59" fillId="0" borderId="117" xfId="0" applyNumberFormat="1" applyFont="1" applyBorder="1" applyAlignment="1">
      <alignment/>
    </xf>
    <xf numFmtId="0" fontId="0" fillId="0" borderId="156" xfId="0" applyBorder="1" applyAlignment="1">
      <alignment/>
    </xf>
    <xf numFmtId="3" fontId="0" fillId="0" borderId="62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4" borderId="61" xfId="0" applyNumberFormat="1" applyFill="1" applyBorder="1" applyAlignment="1">
      <alignment/>
    </xf>
    <xf numFmtId="0" fontId="0" fillId="0" borderId="157" xfId="0" applyBorder="1" applyAlignment="1">
      <alignment/>
    </xf>
    <xf numFmtId="3" fontId="0" fillId="0" borderId="149" xfId="0" applyNumberFormat="1" applyBorder="1" applyAlignment="1">
      <alignment/>
    </xf>
    <xf numFmtId="3" fontId="0" fillId="0" borderId="139" xfId="0" applyNumberFormat="1" applyBorder="1" applyAlignment="1">
      <alignment/>
    </xf>
    <xf numFmtId="3" fontId="0" fillId="4" borderId="78" xfId="0" applyNumberFormat="1" applyFill="1" applyBorder="1" applyAlignment="1">
      <alignment/>
    </xf>
    <xf numFmtId="3" fontId="0" fillId="4" borderId="104" xfId="0" applyNumberFormat="1" applyFill="1" applyBorder="1" applyAlignment="1">
      <alignment/>
    </xf>
    <xf numFmtId="4" fontId="0" fillId="0" borderId="122" xfId="0" applyNumberFormat="1" applyBorder="1" applyAlignment="1">
      <alignment/>
    </xf>
    <xf numFmtId="0" fontId="97" fillId="0" borderId="158" xfId="0" applyFont="1" applyBorder="1" applyAlignment="1">
      <alignment/>
    </xf>
    <xf numFmtId="3" fontId="59" fillId="0" borderId="71" xfId="0" applyNumberFormat="1" applyFont="1" applyBorder="1" applyAlignment="1">
      <alignment/>
    </xf>
    <xf numFmtId="3" fontId="59" fillId="0" borderId="72" xfId="0" applyNumberFormat="1" applyFont="1" applyBorder="1" applyAlignment="1">
      <alignment/>
    </xf>
    <xf numFmtId="3" fontId="59" fillId="0" borderId="73" xfId="0" applyNumberFormat="1" applyFont="1" applyBorder="1" applyAlignment="1">
      <alignment/>
    </xf>
    <xf numFmtId="3" fontId="59" fillId="0" borderId="98" xfId="0" applyNumberFormat="1" applyFont="1" applyBorder="1" applyAlignment="1">
      <alignment/>
    </xf>
    <xf numFmtId="3" fontId="59" fillId="0" borderId="152" xfId="0" applyNumberFormat="1" applyFont="1" applyBorder="1" applyAlignment="1">
      <alignment/>
    </xf>
    <xf numFmtId="4" fontId="59" fillId="0" borderId="153" xfId="0" applyNumberFormat="1" applyFont="1" applyBorder="1" applyAlignment="1">
      <alignment/>
    </xf>
    <xf numFmtId="0" fontId="0" fillId="0" borderId="159" xfId="0" applyBorder="1" applyAlignment="1">
      <alignment/>
    </xf>
    <xf numFmtId="3" fontId="0" fillId="0" borderId="160" xfId="0" applyNumberFormat="1" applyBorder="1" applyAlignment="1">
      <alignment/>
    </xf>
    <xf numFmtId="3" fontId="0" fillId="4" borderId="50" xfId="0" applyNumberFormat="1" applyFill="1" applyBorder="1" applyAlignment="1">
      <alignment/>
    </xf>
    <xf numFmtId="3" fontId="0" fillId="4" borderId="16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4" borderId="162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4" fontId="0" fillId="0" borderId="163" xfId="0" applyNumberFormat="1" applyBorder="1" applyAlignment="1">
      <alignment/>
    </xf>
    <xf numFmtId="4" fontId="0" fillId="0" borderId="164" xfId="0" applyNumberFormat="1" applyBorder="1" applyAlignment="1">
      <alignment/>
    </xf>
    <xf numFmtId="4" fontId="0" fillId="0" borderId="165" xfId="0" applyNumberFormat="1" applyBorder="1" applyAlignment="1">
      <alignment/>
    </xf>
    <xf numFmtId="3" fontId="59" fillId="0" borderId="71" xfId="0" applyNumberFormat="1" applyFont="1" applyBorder="1" applyAlignment="1">
      <alignment/>
    </xf>
    <xf numFmtId="3" fontId="59" fillId="0" borderId="72" xfId="0" applyNumberFormat="1" applyFont="1" applyBorder="1" applyAlignment="1">
      <alignment/>
    </xf>
    <xf numFmtId="3" fontId="59" fillId="0" borderId="73" xfId="0" applyNumberFormat="1" applyFont="1" applyBorder="1" applyAlignment="1">
      <alignment/>
    </xf>
    <xf numFmtId="3" fontId="59" fillId="0" borderId="98" xfId="0" applyNumberFormat="1" applyFont="1" applyBorder="1" applyAlignment="1">
      <alignment/>
    </xf>
    <xf numFmtId="3" fontId="59" fillId="0" borderId="152" xfId="0" applyNumberFormat="1" applyFont="1" applyBorder="1" applyAlignment="1">
      <alignment/>
    </xf>
    <xf numFmtId="4" fontId="59" fillId="0" borderId="166" xfId="0" applyNumberFormat="1" applyFont="1" applyBorder="1" applyAlignment="1">
      <alignment/>
    </xf>
    <xf numFmtId="0" fontId="0" fillId="0" borderId="167" xfId="0" applyBorder="1" applyAlignment="1">
      <alignment/>
    </xf>
    <xf numFmtId="3" fontId="0" fillId="0" borderId="55" xfId="0" applyNumberFormat="1" applyBorder="1" applyAlignment="1">
      <alignment/>
    </xf>
    <xf numFmtId="3" fontId="0" fillId="4" borderId="47" xfId="0" applyNumberFormat="1" applyFill="1" applyBorder="1" applyAlignment="1">
      <alignment/>
    </xf>
    <xf numFmtId="3" fontId="0" fillId="4" borderId="57" xfId="0" applyNumberFormat="1" applyFill="1" applyBorder="1" applyAlignment="1">
      <alignment/>
    </xf>
    <xf numFmtId="3" fontId="0" fillId="0" borderId="56" xfId="0" applyNumberFormat="1" applyBorder="1" applyAlignment="1">
      <alignment/>
    </xf>
    <xf numFmtId="3" fontId="0" fillId="4" borderId="75" xfId="0" applyNumberFormat="1" applyFill="1" applyBorder="1" applyAlignment="1">
      <alignment/>
    </xf>
    <xf numFmtId="3" fontId="0" fillId="4" borderId="48" xfId="0" applyNumberFormat="1" applyFill="1" applyBorder="1" applyAlignment="1">
      <alignment/>
    </xf>
    <xf numFmtId="3" fontId="0" fillId="0" borderId="47" xfId="0" applyNumberFormat="1" applyBorder="1" applyAlignment="1">
      <alignment/>
    </xf>
    <xf numFmtId="4" fontId="0" fillId="0" borderId="168" xfId="0" applyNumberFormat="1" applyBorder="1" applyAlignment="1">
      <alignment/>
    </xf>
    <xf numFmtId="3" fontId="59" fillId="0" borderId="87" xfId="0" applyNumberFormat="1" applyFont="1" applyBorder="1" applyAlignment="1">
      <alignment/>
    </xf>
    <xf numFmtId="3" fontId="59" fillId="4" borderId="72" xfId="0" applyNumberFormat="1" applyFont="1" applyFill="1" applyBorder="1" applyAlignment="1">
      <alignment/>
    </xf>
    <xf numFmtId="3" fontId="59" fillId="4" borderId="73" xfId="0" applyNumberFormat="1" applyFont="1" applyFill="1" applyBorder="1" applyAlignment="1">
      <alignment/>
    </xf>
    <xf numFmtId="3" fontId="59" fillId="4" borderId="152" xfId="0" applyNumberFormat="1" applyFont="1" applyFill="1" applyBorder="1" applyAlignment="1">
      <alignment/>
    </xf>
    <xf numFmtId="3" fontId="59" fillId="4" borderId="87" xfId="0" applyNumberFormat="1" applyFont="1" applyFill="1" applyBorder="1" applyAlignment="1">
      <alignment/>
    </xf>
    <xf numFmtId="4" fontId="59" fillId="0" borderId="153" xfId="0" applyNumberFormat="1" applyFont="1" applyBorder="1" applyAlignment="1">
      <alignment/>
    </xf>
    <xf numFmtId="3" fontId="71" fillId="0" borderId="169" xfId="0" applyNumberFormat="1" applyFont="1" applyBorder="1" applyAlignment="1">
      <alignment/>
    </xf>
    <xf numFmtId="3" fontId="71" fillId="0" borderId="170" xfId="0" applyNumberFormat="1" applyFont="1" applyBorder="1" applyAlignment="1">
      <alignment/>
    </xf>
    <xf numFmtId="3" fontId="72" fillId="0" borderId="170" xfId="0" applyNumberFormat="1" applyFont="1" applyBorder="1" applyAlignment="1">
      <alignment/>
    </xf>
    <xf numFmtId="3" fontId="72" fillId="0" borderId="171" xfId="0" applyNumberFormat="1" applyFont="1" applyBorder="1" applyAlignment="1">
      <alignment/>
    </xf>
    <xf numFmtId="4" fontId="59" fillId="0" borderId="172" xfId="0" applyNumberFormat="1" applyFont="1" applyBorder="1" applyAlignment="1">
      <alignment/>
    </xf>
    <xf numFmtId="0" fontId="59" fillId="0" borderId="0" xfId="0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4" borderId="0" xfId="0" applyNumberFormat="1" applyFont="1" applyFill="1" applyBorder="1" applyAlignment="1">
      <alignment/>
    </xf>
    <xf numFmtId="4" fontId="59" fillId="0" borderId="0" xfId="0" applyNumberFormat="1" applyFont="1" applyBorder="1" applyAlignment="1">
      <alignment/>
    </xf>
    <xf numFmtId="0" fontId="17" fillId="0" borderId="0" xfId="21" applyFont="1">
      <alignment/>
      <protection/>
    </xf>
    <xf numFmtId="0" fontId="17" fillId="0" borderId="0" xfId="21" applyFont="1" applyAlignment="1">
      <alignment horizontal="left"/>
      <protection/>
    </xf>
    <xf numFmtId="0" fontId="17" fillId="0" borderId="0" xfId="21" applyFont="1" applyAlignment="1">
      <alignment horizontal="center"/>
      <protection/>
    </xf>
    <xf numFmtId="0" fontId="0" fillId="0" borderId="0" xfId="0" applyAlignment="1">
      <alignment horizontal="left"/>
    </xf>
    <xf numFmtId="0" fontId="87" fillId="0" borderId="0" xfId="0" applyFont="1" applyAlignment="1">
      <alignment/>
    </xf>
    <xf numFmtId="0" fontId="91" fillId="0" borderId="0" xfId="0" applyFont="1" applyAlignment="1">
      <alignment horizontal="right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left" wrapText="1"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 horizontal="right"/>
    </xf>
    <xf numFmtId="0" fontId="64" fillId="0" borderId="0" xfId="25" applyFont="1" applyBorder="1">
      <alignment/>
      <protection/>
    </xf>
    <xf numFmtId="0" fontId="69" fillId="0" borderId="74" xfId="0" applyFont="1" applyFill="1" applyBorder="1" applyAlignment="1">
      <alignment horizontal="center"/>
    </xf>
    <xf numFmtId="0" fontId="64" fillId="0" borderId="74" xfId="25" applyFont="1" applyFill="1" applyBorder="1" applyAlignment="1">
      <alignment horizontal="center"/>
      <protection/>
    </xf>
    <xf numFmtId="0" fontId="64" fillId="0" borderId="86" xfId="25" applyFont="1" applyFill="1" applyBorder="1" applyAlignment="1">
      <alignment horizontal="center"/>
      <protection/>
    </xf>
    <xf numFmtId="49" fontId="64" fillId="0" borderId="74" xfId="0" applyNumberFormat="1" applyFont="1" applyFill="1" applyBorder="1" applyAlignment="1">
      <alignment horizontal="center" vertical="center"/>
    </xf>
    <xf numFmtId="0" fontId="68" fillId="0" borderId="69" xfId="0" applyFont="1" applyFill="1" applyBorder="1" applyAlignment="1">
      <alignment horizontal="left"/>
    </xf>
    <xf numFmtId="3" fontId="68" fillId="0" borderId="21" xfId="0" applyNumberFormat="1" applyFont="1" applyFill="1" applyBorder="1" applyAlignment="1">
      <alignment horizontal="right"/>
    </xf>
    <xf numFmtId="3" fontId="68" fillId="0" borderId="54" xfId="0" applyNumberFormat="1" applyFont="1" applyFill="1" applyBorder="1" applyAlignment="1">
      <alignment horizontal="right"/>
    </xf>
    <xf numFmtId="10" fontId="68" fillId="0" borderId="2" xfId="0" applyNumberFormat="1" applyFont="1" applyFill="1" applyBorder="1" applyAlignment="1">
      <alignment horizontal="right"/>
    </xf>
    <xf numFmtId="3" fontId="68" fillId="0" borderId="3" xfId="0" applyNumberFormat="1" applyFont="1" applyFill="1" applyBorder="1" applyAlignment="1">
      <alignment horizontal="right"/>
    </xf>
    <xf numFmtId="0" fontId="78" fillId="0" borderId="88" xfId="0" applyFont="1" applyFill="1" applyBorder="1" applyAlignment="1">
      <alignment horizontal="left"/>
    </xf>
    <xf numFmtId="3" fontId="70" fillId="0" borderId="58" xfId="0" applyNumberFormat="1" applyFont="1" applyFill="1" applyBorder="1" applyAlignment="1">
      <alignment horizontal="right"/>
    </xf>
    <xf numFmtId="3" fontId="70" fillId="0" borderId="88" xfId="0" applyNumberFormat="1" applyFont="1" applyFill="1" applyBorder="1" applyAlignment="1">
      <alignment horizontal="right"/>
    </xf>
    <xf numFmtId="4" fontId="70" fillId="0" borderId="28" xfId="0" applyNumberFormat="1" applyFont="1" applyFill="1" applyBorder="1" applyAlignment="1">
      <alignment horizontal="right"/>
    </xf>
    <xf numFmtId="3" fontId="70" fillId="0" borderId="28" xfId="0" applyNumberFormat="1" applyFont="1" applyFill="1" applyBorder="1" applyAlignment="1">
      <alignment horizontal="right"/>
    </xf>
    <xf numFmtId="10" fontId="70" fillId="0" borderId="28" xfId="0" applyNumberFormat="1" applyFont="1" applyFill="1" applyBorder="1" applyAlignment="1">
      <alignment horizontal="right"/>
    </xf>
    <xf numFmtId="0" fontId="68" fillId="0" borderId="1" xfId="0" applyFont="1" applyFill="1" applyBorder="1" applyAlignment="1">
      <alignment horizontal="left" wrapText="1"/>
    </xf>
    <xf numFmtId="3" fontId="68" fillId="0" borderId="54" xfId="0" applyNumberFormat="1" applyFont="1" applyFill="1" applyBorder="1" applyAlignment="1">
      <alignment horizontal="center"/>
    </xf>
    <xf numFmtId="3" fontId="68" fillId="0" borderId="2" xfId="0" applyNumberFormat="1" applyFont="1" applyFill="1" applyBorder="1" applyAlignment="1">
      <alignment horizontal="center"/>
    </xf>
    <xf numFmtId="3" fontId="68" fillId="0" borderId="3" xfId="0" applyNumberFormat="1" applyFont="1" applyFill="1" applyBorder="1" applyAlignment="1">
      <alignment horizontal="center"/>
    </xf>
    <xf numFmtId="0" fontId="78" fillId="0" borderId="4" xfId="0" applyFont="1" applyFill="1" applyBorder="1" applyAlignment="1">
      <alignment horizontal="left"/>
    </xf>
    <xf numFmtId="3" fontId="70" fillId="0" borderId="81" xfId="0" applyNumberFormat="1" applyFont="1" applyFill="1" applyBorder="1" applyAlignment="1">
      <alignment horizontal="right"/>
    </xf>
    <xf numFmtId="3" fontId="70" fillId="0" borderId="5" xfId="0" applyNumberFormat="1" applyFont="1" applyFill="1" applyBorder="1" applyAlignment="1">
      <alignment horizontal="right"/>
    </xf>
    <xf numFmtId="4" fontId="70" fillId="0" borderId="5" xfId="0" applyNumberFormat="1" applyFont="1" applyFill="1" applyBorder="1" applyAlignment="1">
      <alignment horizontal="right"/>
    </xf>
    <xf numFmtId="3" fontId="70" fillId="0" borderId="81" xfId="0" applyNumberFormat="1" applyFont="1" applyFill="1" applyBorder="1" applyAlignment="1">
      <alignment/>
    </xf>
    <xf numFmtId="3" fontId="70" fillId="0" borderId="6" xfId="0" applyNumberFormat="1" applyFont="1" applyFill="1" applyBorder="1" applyAlignment="1">
      <alignment horizontal="right"/>
    </xf>
    <xf numFmtId="3" fontId="70" fillId="0" borderId="162" xfId="0" applyNumberFormat="1" applyFont="1" applyFill="1" applyBorder="1" applyAlignment="1">
      <alignment/>
    </xf>
    <xf numFmtId="3" fontId="70" fillId="0" borderId="19" xfId="0" applyNumberFormat="1" applyFont="1" applyFill="1" applyBorder="1" applyAlignment="1">
      <alignment horizontal="right"/>
    </xf>
    <xf numFmtId="4" fontId="70" fillId="0" borderId="54" xfId="0" applyNumberFormat="1" applyFont="1" applyFill="1" applyBorder="1" applyAlignment="1">
      <alignment horizontal="right"/>
    </xf>
    <xf numFmtId="3" fontId="70" fillId="0" borderId="58" xfId="0" applyNumberFormat="1" applyFont="1" applyFill="1" applyBorder="1" applyAlignment="1">
      <alignment horizontal="center"/>
    </xf>
    <xf numFmtId="3" fontId="70" fillId="0" borderId="28" xfId="0" applyNumberFormat="1" applyFont="1" applyFill="1" applyBorder="1" applyAlignment="1">
      <alignment horizontal="center"/>
    </xf>
    <xf numFmtId="3" fontId="70" fillId="0" borderId="88" xfId="0" applyNumberFormat="1" applyFont="1" applyFill="1" applyBorder="1" applyAlignment="1">
      <alignment horizontal="center"/>
    </xf>
    <xf numFmtId="10" fontId="70" fillId="0" borderId="66" xfId="0" applyNumberFormat="1" applyFont="1" applyFill="1" applyBorder="1" applyAlignment="1">
      <alignment horizontal="right"/>
    </xf>
    <xf numFmtId="3" fontId="70" fillId="0" borderId="21" xfId="0" applyNumberFormat="1" applyFont="1" applyFill="1" applyBorder="1" applyAlignment="1">
      <alignment horizontal="right"/>
    </xf>
    <xf numFmtId="3" fontId="74" fillId="0" borderId="151" xfId="0" applyNumberFormat="1" applyFont="1" applyFill="1" applyBorder="1" applyAlignment="1">
      <alignment/>
    </xf>
    <xf numFmtId="3" fontId="70" fillId="0" borderId="69" xfId="0" applyNumberFormat="1" applyFont="1" applyFill="1" applyBorder="1" applyAlignment="1">
      <alignment horizontal="right"/>
    </xf>
    <xf numFmtId="3" fontId="70" fillId="0" borderId="4" xfId="0" applyNumberFormat="1" applyFont="1" applyFill="1" applyBorder="1" applyAlignment="1">
      <alignment horizontal="right"/>
    </xf>
    <xf numFmtId="10" fontId="70" fillId="0" borderId="81" xfId="0" applyNumberFormat="1" applyFont="1" applyFill="1" applyBorder="1" applyAlignment="1">
      <alignment horizontal="right"/>
    </xf>
    <xf numFmtId="3" fontId="70" fillId="0" borderId="6" xfId="0" applyNumberFormat="1" applyFont="1" applyFill="1" applyBorder="1" applyAlignment="1">
      <alignment horizontal="center"/>
    </xf>
    <xf numFmtId="3" fontId="70" fillId="0" borderId="5" xfId="0" applyNumberFormat="1" applyFont="1" applyFill="1" applyBorder="1" applyAlignment="1">
      <alignment horizontal="center"/>
    </xf>
    <xf numFmtId="3" fontId="70" fillId="0" borderId="81" xfId="0" applyNumberFormat="1" applyFont="1" applyFill="1" applyBorder="1" applyAlignment="1">
      <alignment horizontal="center"/>
    </xf>
    <xf numFmtId="0" fontId="91" fillId="0" borderId="74" xfId="0" applyFont="1" applyFill="1" applyBorder="1" applyAlignment="1">
      <alignment horizontal="left"/>
    </xf>
    <xf numFmtId="3" fontId="68" fillId="0" borderId="87" xfId="0" applyNumberFormat="1" applyFont="1" applyFill="1" applyBorder="1" applyAlignment="1">
      <alignment horizontal="right"/>
    </xf>
    <xf numFmtId="3" fontId="68" fillId="0" borderId="74" xfId="0" applyNumberFormat="1" applyFont="1" applyFill="1" applyBorder="1" applyAlignment="1">
      <alignment horizontal="right"/>
    </xf>
    <xf numFmtId="10" fontId="68" fillId="0" borderId="81" xfId="0" applyNumberFormat="1" applyFont="1" applyFill="1" applyBorder="1" applyAlignment="1">
      <alignment horizontal="right"/>
    </xf>
    <xf numFmtId="49" fontId="78" fillId="0" borderId="0" xfId="0" applyNumberFormat="1" applyFont="1" applyBorder="1" applyAlignment="1">
      <alignment horizontal="right" vertical="top" textRotation="180" wrapText="1"/>
    </xf>
    <xf numFmtId="0" fontId="100" fillId="0" borderId="0" xfId="21" applyFont="1">
      <alignment/>
      <protection/>
    </xf>
    <xf numFmtId="0" fontId="100" fillId="0" borderId="0" xfId="0" applyFont="1" applyAlignment="1">
      <alignment/>
    </xf>
    <xf numFmtId="0" fontId="100" fillId="0" borderId="0" xfId="21" applyFont="1" applyAlignment="1">
      <alignment horizontal="left"/>
      <protection/>
    </xf>
    <xf numFmtId="0" fontId="100" fillId="0" borderId="0" xfId="0" applyFont="1" applyAlignment="1">
      <alignment/>
    </xf>
    <xf numFmtId="0" fontId="100" fillId="0" borderId="0" xfId="21" applyFont="1" applyAlignment="1">
      <alignment horizontal="right"/>
      <protection/>
    </xf>
    <xf numFmtId="0" fontId="100" fillId="0" borderId="0" xfId="21" applyFont="1" applyAlignment="1">
      <alignment horizontal="center"/>
      <protection/>
    </xf>
    <xf numFmtId="0" fontId="74" fillId="0" borderId="0" xfId="0" applyFont="1" applyFill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 horizontal="right"/>
    </xf>
    <xf numFmtId="0" fontId="98" fillId="0" borderId="0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103" fillId="0" borderId="0" xfId="0" applyFont="1" applyAlignment="1">
      <alignment/>
    </xf>
    <xf numFmtId="0" fontId="70" fillId="0" borderId="0" xfId="0" applyFont="1" applyAlignment="1">
      <alignment horizontal="centerContinuous"/>
    </xf>
    <xf numFmtId="0" fontId="78" fillId="0" borderId="0" xfId="0" applyFont="1" applyFill="1" applyAlignment="1">
      <alignment horizontal="right"/>
    </xf>
    <xf numFmtId="0" fontId="78" fillId="0" borderId="0" xfId="0" applyFont="1" applyAlignment="1">
      <alignment/>
    </xf>
    <xf numFmtId="0" fontId="68" fillId="0" borderId="81" xfId="0" applyFont="1" applyBorder="1" applyAlignment="1">
      <alignment horizontal="center" vertical="center" wrapText="1"/>
    </xf>
    <xf numFmtId="0" fontId="68" fillId="0" borderId="81" xfId="0" applyFont="1" applyFill="1" applyBorder="1" applyAlignment="1">
      <alignment horizontal="center" vertical="center" wrapText="1"/>
    </xf>
    <xf numFmtId="0" fontId="68" fillId="4" borderId="74" xfId="0" applyFont="1" applyFill="1" applyBorder="1" applyAlignment="1">
      <alignment horizontal="center" vertical="top" wrapText="1"/>
    </xf>
    <xf numFmtId="0" fontId="78" fillId="4" borderId="74" xfId="0" applyFont="1" applyFill="1" applyBorder="1" applyAlignment="1">
      <alignment/>
    </xf>
    <xf numFmtId="49" fontId="78" fillId="4" borderId="86" xfId="0" applyNumberFormat="1" applyFont="1" applyFill="1" applyBorder="1" applyAlignment="1">
      <alignment horizontal="center" vertical="center"/>
    </xf>
    <xf numFmtId="0" fontId="78" fillId="4" borderId="74" xfId="27" applyFont="1" applyFill="1" applyBorder="1" applyAlignment="1">
      <alignment horizontal="center"/>
      <protection/>
    </xf>
    <xf numFmtId="0" fontId="78" fillId="4" borderId="86" xfId="27" applyFont="1" applyFill="1" applyBorder="1" applyAlignment="1">
      <alignment horizontal="center"/>
      <protection/>
    </xf>
    <xf numFmtId="0" fontId="78" fillId="4" borderId="81" xfId="27" applyFont="1" applyFill="1" applyBorder="1" applyAlignment="1">
      <alignment horizontal="center"/>
      <protection/>
    </xf>
    <xf numFmtId="0" fontId="78" fillId="4" borderId="5" xfId="27" applyFont="1" applyFill="1" applyBorder="1" applyAlignment="1">
      <alignment horizontal="center"/>
      <protection/>
    </xf>
    <xf numFmtId="0" fontId="78" fillId="4" borderId="87" xfId="27" applyFont="1" applyFill="1" applyBorder="1" applyAlignment="1">
      <alignment horizontal="center"/>
      <protection/>
    </xf>
    <xf numFmtId="49" fontId="78" fillId="4" borderId="74" xfId="0" applyNumberFormat="1" applyFont="1" applyFill="1" applyBorder="1" applyAlignment="1">
      <alignment horizontal="center" vertical="center"/>
    </xf>
    <xf numFmtId="49" fontId="78" fillId="4" borderId="3" xfId="0" applyNumberFormat="1" applyFont="1" applyFill="1" applyBorder="1" applyAlignment="1">
      <alignment horizontal="center" vertical="center"/>
    </xf>
    <xf numFmtId="0" fontId="78" fillId="4" borderId="0" xfId="0" applyFont="1" applyFill="1" applyAlignment="1">
      <alignment/>
    </xf>
    <xf numFmtId="0" fontId="78" fillId="0" borderId="99" xfId="0" applyFont="1" applyBorder="1" applyAlignment="1">
      <alignment/>
    </xf>
    <xf numFmtId="0" fontId="91" fillId="10" borderId="86" xfId="0" applyFont="1" applyFill="1" applyBorder="1" applyAlignment="1">
      <alignment horizontal="left"/>
    </xf>
    <xf numFmtId="3" fontId="68" fillId="0" borderId="74" xfId="0" applyNumberFormat="1" applyFont="1" applyFill="1" applyBorder="1" applyAlignment="1" applyProtection="1">
      <alignment horizontal="right"/>
      <protection locked="0"/>
    </xf>
    <xf numFmtId="3" fontId="105" fillId="3" borderId="74" xfId="0" applyNumberFormat="1" applyFont="1" applyFill="1" applyBorder="1" applyAlignment="1">
      <alignment horizontal="right"/>
    </xf>
    <xf numFmtId="3" fontId="78" fillId="3" borderId="74" xfId="0" applyNumberFormat="1" applyFont="1" applyFill="1" applyBorder="1" applyAlignment="1">
      <alignment horizontal="right"/>
    </xf>
    <xf numFmtId="10" fontId="105" fillId="3" borderId="74" xfId="0" applyNumberFormat="1" applyFont="1" applyFill="1" applyBorder="1" applyAlignment="1">
      <alignment horizontal="right"/>
    </xf>
    <xf numFmtId="3" fontId="106" fillId="3" borderId="74" xfId="0" applyNumberFormat="1" applyFont="1" applyFill="1" applyBorder="1" applyAlignment="1">
      <alignment horizontal="left"/>
    </xf>
    <xf numFmtId="10" fontId="105" fillId="3" borderId="66" xfId="0" applyNumberFormat="1" applyFont="1" applyFill="1" applyBorder="1" applyAlignment="1">
      <alignment horizontal="right"/>
    </xf>
    <xf numFmtId="3" fontId="78" fillId="0" borderId="74" xfId="0" applyNumberFormat="1" applyFont="1" applyBorder="1" applyAlignment="1" applyProtection="1">
      <alignment horizontal="right"/>
      <protection locked="0"/>
    </xf>
    <xf numFmtId="0" fontId="78" fillId="0" borderId="66" xfId="0" applyFont="1" applyBorder="1" applyAlignment="1">
      <alignment/>
    </xf>
    <xf numFmtId="0" fontId="100" fillId="0" borderId="28" xfId="0" applyFont="1" applyBorder="1" applyAlignment="1">
      <alignment horizontal="left"/>
    </xf>
    <xf numFmtId="3" fontId="68" fillId="0" borderId="19" xfId="0" applyNumberFormat="1" applyFont="1" applyFill="1" applyBorder="1" applyAlignment="1" applyProtection="1">
      <alignment horizontal="center"/>
      <protection/>
    </xf>
    <xf numFmtId="3" fontId="78" fillId="0" borderId="19" xfId="0" applyNumberFormat="1" applyFont="1" applyBorder="1" applyAlignment="1">
      <alignment horizontal="right"/>
    </xf>
    <xf numFmtId="3" fontId="78" fillId="0" borderId="19" xfId="0" applyNumberFormat="1" applyFont="1" applyFill="1" applyBorder="1" applyAlignment="1" applyProtection="1">
      <alignment horizontal="center"/>
      <protection/>
    </xf>
    <xf numFmtId="3" fontId="78" fillId="0" borderId="88" xfId="0" applyNumberFormat="1" applyFont="1" applyFill="1" applyBorder="1" applyAlignment="1" applyProtection="1">
      <alignment horizontal="center"/>
      <protection/>
    </xf>
    <xf numFmtId="0" fontId="78" fillId="0" borderId="28" xfId="0" applyFont="1" applyBorder="1" applyAlignment="1">
      <alignment horizontal="left"/>
    </xf>
    <xf numFmtId="0" fontId="78" fillId="0" borderId="19" xfId="0" applyFont="1" applyBorder="1" applyAlignment="1" applyProtection="1">
      <alignment horizontal="right"/>
      <protection/>
    </xf>
    <xf numFmtId="3" fontId="78" fillId="0" borderId="19" xfId="0" applyNumberFormat="1" applyFont="1" applyBorder="1" applyAlignment="1" applyProtection="1">
      <alignment horizontal="right"/>
      <protection/>
    </xf>
    <xf numFmtId="3" fontId="78" fillId="0" borderId="88" xfId="0" applyNumberFormat="1" applyFont="1" applyBorder="1" applyAlignment="1" applyProtection="1">
      <alignment horizontal="right"/>
      <protection/>
    </xf>
    <xf numFmtId="3" fontId="78" fillId="0" borderId="58" xfId="0" applyNumberFormat="1" applyFont="1" applyBorder="1" applyAlignment="1" applyProtection="1">
      <alignment horizontal="right"/>
      <protection/>
    </xf>
    <xf numFmtId="3" fontId="78" fillId="0" borderId="66" xfId="0" applyNumberFormat="1" applyFont="1" applyFill="1" applyBorder="1" applyAlignment="1" applyProtection="1">
      <alignment horizontal="right"/>
      <protection/>
    </xf>
    <xf numFmtId="0" fontId="68" fillId="0" borderId="88" xfId="0" applyFont="1" applyBorder="1" applyAlignment="1">
      <alignment horizontal="center"/>
    </xf>
    <xf numFmtId="0" fontId="91" fillId="10" borderId="28" xfId="0" applyFont="1" applyFill="1" applyBorder="1" applyAlignment="1">
      <alignment horizontal="left"/>
    </xf>
    <xf numFmtId="3" fontId="68" fillId="0" borderId="19" xfId="0" applyNumberFormat="1" applyFont="1" applyFill="1" applyBorder="1" applyAlignment="1" applyProtection="1">
      <alignment horizontal="right"/>
      <protection/>
    </xf>
    <xf numFmtId="3" fontId="78" fillId="4" borderId="19" xfId="0" applyNumberFormat="1" applyFont="1" applyFill="1" applyBorder="1" applyAlignment="1" applyProtection="1">
      <alignment horizontal="right"/>
      <protection locked="0"/>
    </xf>
    <xf numFmtId="3" fontId="78" fillId="0" borderId="19" xfId="0" applyNumberFormat="1" applyFont="1" applyFill="1" applyBorder="1" applyAlignment="1" applyProtection="1">
      <alignment horizontal="right"/>
      <protection/>
    </xf>
    <xf numFmtId="10" fontId="78" fillId="0" borderId="88" xfId="0" applyNumberFormat="1" applyFont="1" applyFill="1" applyBorder="1" applyAlignment="1" applyProtection="1">
      <alignment horizontal="right"/>
      <protection/>
    </xf>
    <xf numFmtId="0" fontId="68" fillId="10" borderId="28" xfId="0" applyFont="1" applyFill="1" applyBorder="1" applyAlignment="1">
      <alignment horizontal="left"/>
    </xf>
    <xf numFmtId="3" fontId="78" fillId="0" borderId="19" xfId="0" applyNumberFormat="1" applyFont="1" applyFill="1" applyBorder="1" applyAlignment="1" applyProtection="1">
      <alignment horizontal="right"/>
      <protection locked="0"/>
    </xf>
    <xf numFmtId="10" fontId="107" fillId="3" borderId="66" xfId="0" applyNumberFormat="1" applyFont="1" applyFill="1" applyBorder="1" applyAlignment="1">
      <alignment horizontal="right"/>
    </xf>
    <xf numFmtId="3" fontId="78" fillId="0" borderId="19" xfId="0" applyNumberFormat="1" applyFont="1" applyBorder="1" applyAlignment="1" applyProtection="1">
      <alignment horizontal="right"/>
      <protection locked="0"/>
    </xf>
    <xf numFmtId="3" fontId="78" fillId="0" borderId="88" xfId="0" applyNumberFormat="1" applyFont="1" applyBorder="1" applyAlignment="1" applyProtection="1">
      <alignment horizontal="right"/>
      <protection locked="0"/>
    </xf>
    <xf numFmtId="3" fontId="78" fillId="0" borderId="58" xfId="0" applyNumberFormat="1" applyFont="1" applyBorder="1" applyAlignment="1" applyProtection="1">
      <alignment horizontal="right"/>
      <protection locked="0"/>
    </xf>
    <xf numFmtId="0" fontId="68" fillId="0" borderId="66" xfId="0" applyFont="1" applyBorder="1" applyAlignment="1">
      <alignment horizontal="center"/>
    </xf>
    <xf numFmtId="3" fontId="78" fillId="0" borderId="67" xfId="0" applyNumberFormat="1" applyFont="1" applyBorder="1" applyAlignment="1" applyProtection="1">
      <alignment horizontal="right"/>
      <protection locked="0"/>
    </xf>
    <xf numFmtId="3" fontId="68" fillId="0" borderId="66" xfId="0" applyNumberFormat="1" applyFont="1" applyFill="1" applyBorder="1" applyAlignment="1" applyProtection="1">
      <alignment horizontal="right"/>
      <protection/>
    </xf>
    <xf numFmtId="3" fontId="105" fillId="3" borderId="66" xfId="0" applyNumberFormat="1" applyFont="1" applyFill="1" applyBorder="1" applyAlignment="1">
      <alignment horizontal="right"/>
    </xf>
    <xf numFmtId="3" fontId="78" fillId="0" borderId="88" xfId="0" applyNumberFormat="1" applyFont="1" applyFill="1" applyBorder="1" applyAlignment="1" applyProtection="1">
      <alignment horizontal="right"/>
      <protection locked="0"/>
    </xf>
    <xf numFmtId="0" fontId="100" fillId="0" borderId="28" xfId="0" applyFont="1" applyFill="1" applyBorder="1" applyAlignment="1">
      <alignment horizontal="left"/>
    </xf>
    <xf numFmtId="3" fontId="78" fillId="0" borderId="19" xfId="0" applyNumberFormat="1" applyFont="1" applyFill="1" applyBorder="1" applyAlignment="1">
      <alignment horizontal="right"/>
    </xf>
    <xf numFmtId="0" fontId="78" fillId="0" borderId="28" xfId="0" applyFont="1" applyFill="1" applyBorder="1" applyAlignment="1">
      <alignment horizontal="left"/>
    </xf>
    <xf numFmtId="10" fontId="105" fillId="0" borderId="66" xfId="0" applyNumberFormat="1" applyFont="1" applyFill="1" applyBorder="1" applyAlignment="1" applyProtection="1">
      <alignment horizontal="right"/>
      <protection/>
    </xf>
    <xf numFmtId="3" fontId="108" fillId="0" borderId="88" xfId="0" applyNumberFormat="1" applyFont="1" applyFill="1" applyBorder="1" applyAlignment="1" applyProtection="1">
      <alignment horizontal="right"/>
      <protection/>
    </xf>
    <xf numFmtId="3" fontId="78" fillId="0" borderId="88" xfId="0" applyNumberFormat="1" applyFont="1" applyFill="1" applyBorder="1" applyAlignment="1" applyProtection="1">
      <alignment horizontal="right"/>
      <protection/>
    </xf>
    <xf numFmtId="0" fontId="109" fillId="0" borderId="66" xfId="0" applyFont="1" applyBorder="1" applyAlignment="1">
      <alignment horizontal="right"/>
    </xf>
    <xf numFmtId="0" fontId="110" fillId="0" borderId="28" xfId="0" applyFont="1" applyFill="1" applyBorder="1" applyAlignment="1">
      <alignment horizontal="left" indent="2"/>
    </xf>
    <xf numFmtId="3" fontId="111" fillId="0" borderId="19" xfId="0" applyNumberFormat="1" applyFont="1" applyFill="1" applyBorder="1" applyAlignment="1" applyProtection="1">
      <alignment horizontal="center"/>
      <protection/>
    </xf>
    <xf numFmtId="3" fontId="109" fillId="4" borderId="19" xfId="0" applyNumberFormat="1" applyFont="1" applyFill="1" applyBorder="1" applyAlignment="1" applyProtection="1">
      <alignment horizontal="right"/>
      <protection locked="0"/>
    </xf>
    <xf numFmtId="3" fontId="109" fillId="0" borderId="19" xfId="0" applyNumberFormat="1" applyFont="1" applyFill="1" applyBorder="1" applyAlignment="1" applyProtection="1">
      <alignment horizontal="center"/>
      <protection/>
    </xf>
    <xf numFmtId="0" fontId="109" fillId="0" borderId="28" xfId="0" applyFont="1" applyFill="1" applyBorder="1" applyAlignment="1">
      <alignment horizontal="left" indent="2"/>
    </xf>
    <xf numFmtId="3" fontId="109" fillId="0" borderId="19" xfId="0" applyNumberFormat="1" applyFont="1" applyFill="1" applyBorder="1" applyAlignment="1" applyProtection="1">
      <alignment horizontal="center"/>
      <protection locked="0"/>
    </xf>
    <xf numFmtId="3" fontId="109" fillId="0" borderId="19" xfId="0" applyNumberFormat="1" applyFont="1" applyFill="1" applyBorder="1" applyAlignment="1" applyProtection="1">
      <alignment horizontal="right"/>
      <protection locked="0"/>
    </xf>
    <xf numFmtId="3" fontId="109" fillId="0" borderId="88" xfId="0" applyNumberFormat="1" applyFont="1" applyFill="1" applyBorder="1" applyAlignment="1" applyProtection="1">
      <alignment horizontal="right"/>
      <protection locked="0"/>
    </xf>
    <xf numFmtId="3" fontId="109" fillId="0" borderId="58" xfId="0" applyNumberFormat="1" applyFont="1" applyBorder="1" applyAlignment="1" applyProtection="1">
      <alignment horizontal="right"/>
      <protection locked="0"/>
    </xf>
    <xf numFmtId="0" fontId="109" fillId="0" borderId="0" xfId="0" applyFont="1" applyAlignment="1">
      <alignment/>
    </xf>
    <xf numFmtId="3" fontId="109" fillId="0" borderId="67" xfId="0" applyNumberFormat="1" applyFont="1" applyFill="1" applyBorder="1" applyAlignment="1" applyProtection="1">
      <alignment horizontal="center"/>
      <protection locked="0"/>
    </xf>
    <xf numFmtId="3" fontId="109" fillId="0" borderId="67" xfId="0" applyNumberFormat="1" applyFont="1" applyFill="1" applyBorder="1" applyAlignment="1" applyProtection="1">
      <alignment horizontal="right"/>
      <protection locked="0"/>
    </xf>
    <xf numFmtId="10" fontId="78" fillId="0" borderId="66" xfId="0" applyNumberFormat="1" applyFont="1" applyFill="1" applyBorder="1" applyAlignment="1" applyProtection="1">
      <alignment horizontal="right"/>
      <protection/>
    </xf>
    <xf numFmtId="0" fontId="78" fillId="0" borderId="66" xfId="0" applyFont="1" applyFill="1" applyBorder="1" applyAlignment="1">
      <alignment/>
    </xf>
    <xf numFmtId="10" fontId="109" fillId="0" borderId="66" xfId="0" applyNumberFormat="1" applyFont="1" applyFill="1" applyBorder="1" applyAlignment="1" applyProtection="1">
      <alignment horizontal="right"/>
      <protection/>
    </xf>
    <xf numFmtId="3" fontId="78" fillId="0" borderId="58" xfId="0" applyNumberFormat="1" applyFont="1" applyFill="1" applyBorder="1" applyAlignment="1" applyProtection="1">
      <alignment horizontal="right"/>
      <protection/>
    </xf>
    <xf numFmtId="0" fontId="78" fillId="0" borderId="0" xfId="0" applyFont="1" applyFill="1" applyAlignment="1">
      <alignment/>
    </xf>
    <xf numFmtId="3" fontId="107" fillId="0" borderId="66" xfId="0" applyNumberFormat="1" applyFont="1" applyFill="1" applyBorder="1" applyAlignment="1" applyProtection="1">
      <alignment horizontal="center"/>
      <protection locked="0"/>
    </xf>
    <xf numFmtId="10" fontId="105" fillId="0" borderId="66" xfId="0" applyNumberFormat="1" applyFont="1" applyFill="1" applyBorder="1" applyAlignment="1">
      <alignment horizontal="right"/>
    </xf>
    <xf numFmtId="3" fontId="78" fillId="0" borderId="58" xfId="0" applyNumberFormat="1" applyFont="1" applyBorder="1" applyAlignment="1">
      <alignment horizontal="right"/>
    </xf>
    <xf numFmtId="0" fontId="78" fillId="0" borderId="97" xfId="0" applyFont="1" applyBorder="1" applyAlignment="1">
      <alignment/>
    </xf>
    <xf numFmtId="0" fontId="100" fillId="0" borderId="5" xfId="0" applyFont="1" applyBorder="1" applyAlignment="1">
      <alignment horizontal="left"/>
    </xf>
    <xf numFmtId="3" fontId="68" fillId="0" borderId="4" xfId="0" applyNumberFormat="1" applyFont="1" applyFill="1" applyBorder="1" applyAlignment="1" applyProtection="1">
      <alignment horizontal="center"/>
      <protection/>
    </xf>
    <xf numFmtId="3" fontId="78" fillId="0" borderId="4" xfId="0" applyNumberFormat="1" applyFont="1" applyBorder="1" applyAlignment="1">
      <alignment horizontal="right"/>
    </xf>
    <xf numFmtId="3" fontId="78" fillId="0" borderId="4" xfId="0" applyNumberFormat="1" applyFont="1" applyFill="1" applyBorder="1" applyAlignment="1" applyProtection="1">
      <alignment horizontal="center"/>
      <protection/>
    </xf>
    <xf numFmtId="3" fontId="78" fillId="0" borderId="81" xfId="0" applyNumberFormat="1" applyFont="1" applyFill="1" applyBorder="1" applyAlignment="1" applyProtection="1">
      <alignment horizontal="center"/>
      <protection/>
    </xf>
    <xf numFmtId="0" fontId="78" fillId="0" borderId="5" xfId="0" applyFont="1" applyBorder="1" applyAlignment="1">
      <alignment horizontal="left"/>
    </xf>
    <xf numFmtId="3" fontId="78" fillId="0" borderId="97" xfId="0" applyNumberFormat="1" applyFont="1" applyFill="1" applyBorder="1" applyAlignment="1">
      <alignment horizontal="right"/>
    </xf>
    <xf numFmtId="10" fontId="105" fillId="0" borderId="97" xfId="0" applyNumberFormat="1" applyFont="1" applyFill="1" applyBorder="1" applyAlignment="1">
      <alignment horizontal="right"/>
    </xf>
    <xf numFmtId="3" fontId="78" fillId="0" borderId="81" xfId="0" applyNumberFormat="1" applyFont="1" applyBorder="1" applyAlignment="1" applyProtection="1">
      <alignment horizontal="right"/>
      <protection locked="0"/>
    </xf>
    <xf numFmtId="3" fontId="78" fillId="0" borderId="6" xfId="0" applyNumberFormat="1" applyFont="1" applyBorder="1" applyAlignment="1">
      <alignment horizontal="right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69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center" vertical="center" wrapText="1"/>
    </xf>
    <xf numFmtId="0" fontId="69" fillId="4" borderId="173" xfId="0" applyFont="1" applyFill="1" applyBorder="1" applyAlignment="1">
      <alignment/>
    </xf>
    <xf numFmtId="3" fontId="69" fillId="0" borderId="174" xfId="0" applyNumberFormat="1" applyFont="1" applyBorder="1" applyAlignment="1">
      <alignment/>
    </xf>
    <xf numFmtId="3" fontId="69" fillId="0" borderId="175" xfId="0" applyNumberFormat="1" applyFont="1" applyBorder="1" applyAlignment="1">
      <alignment/>
    </xf>
    <xf numFmtId="3" fontId="69" fillId="0" borderId="176" xfId="0" applyNumberFormat="1" applyFont="1" applyBorder="1" applyAlignment="1">
      <alignment/>
    </xf>
    <xf numFmtId="3" fontId="70" fillId="0" borderId="176" xfId="0" applyNumberFormat="1" applyFont="1" applyBorder="1" applyAlignment="1">
      <alignment/>
    </xf>
    <xf numFmtId="3" fontId="69" fillId="0" borderId="79" xfId="0" applyNumberFormat="1" applyFont="1" applyBorder="1" applyAlignment="1">
      <alignment/>
    </xf>
    <xf numFmtId="3" fontId="69" fillId="0" borderId="142" xfId="0" applyNumberFormat="1" applyFont="1" applyBorder="1" applyAlignment="1">
      <alignment/>
    </xf>
    <xf numFmtId="3" fontId="69" fillId="0" borderId="135" xfId="0" applyNumberFormat="1" applyFont="1" applyBorder="1" applyAlignment="1">
      <alignment/>
    </xf>
    <xf numFmtId="3" fontId="70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0" fontId="64" fillId="0" borderId="0" xfId="31" applyFont="1" applyFill="1">
      <alignment/>
      <protection/>
    </xf>
    <xf numFmtId="0" fontId="64" fillId="0" borderId="0" xfId="0" applyFont="1" applyFill="1" applyAlignment="1">
      <alignment horizontal="right"/>
    </xf>
    <xf numFmtId="0" fontId="70" fillId="0" borderId="0" xfId="0" applyFont="1" applyAlignment="1" applyProtection="1">
      <alignment/>
      <protection locked="0"/>
    </xf>
    <xf numFmtId="0" fontId="70" fillId="0" borderId="0" xfId="26" applyFont="1" applyProtection="1">
      <alignment/>
      <protection locked="0"/>
    </xf>
    <xf numFmtId="4" fontId="70" fillId="0" borderId="0" xfId="26" applyNumberFormat="1" applyFont="1" applyProtection="1">
      <alignment/>
      <protection locked="0"/>
    </xf>
    <xf numFmtId="4" fontId="70" fillId="0" borderId="0" xfId="26" applyNumberFormat="1" applyFont="1" applyBorder="1" applyProtection="1">
      <alignment/>
      <protection locked="0"/>
    </xf>
    <xf numFmtId="0" fontId="59" fillId="0" borderId="0" xfId="0" applyFont="1" applyAlignment="1">
      <alignment horizontal="right"/>
    </xf>
    <xf numFmtId="0" fontId="114" fillId="0" borderId="0" xfId="0" applyFont="1" applyAlignment="1">
      <alignment/>
    </xf>
    <xf numFmtId="3" fontId="59" fillId="0" borderId="0" xfId="0" applyNumberFormat="1" applyFont="1" applyBorder="1" applyAlignment="1">
      <alignment/>
    </xf>
    <xf numFmtId="0" fontId="0" fillId="4" borderId="0" xfId="0" applyFont="1" applyFill="1" applyAlignment="1">
      <alignment/>
    </xf>
    <xf numFmtId="0" fontId="87" fillId="0" borderId="0" xfId="0" applyFont="1" applyAlignment="1">
      <alignment/>
    </xf>
    <xf numFmtId="3" fontId="0" fillId="0" borderId="0" xfId="0" applyNumberFormat="1" applyAlignment="1">
      <alignment/>
    </xf>
    <xf numFmtId="3" fontId="87" fillId="0" borderId="75" xfId="0" applyNumberFormat="1" applyFont="1" applyBorder="1" applyAlignment="1">
      <alignment/>
    </xf>
    <xf numFmtId="3" fontId="87" fillId="0" borderId="47" xfId="0" applyNumberFormat="1" applyFont="1" applyBorder="1" applyAlignment="1">
      <alignment/>
    </xf>
    <xf numFmtId="4" fontId="87" fillId="0" borderId="48" xfId="0" applyNumberFormat="1" applyFont="1" applyBorder="1" applyAlignment="1">
      <alignment/>
    </xf>
    <xf numFmtId="4" fontId="87" fillId="0" borderId="3" xfId="0" applyNumberFormat="1" applyFont="1" applyBorder="1" applyAlignment="1">
      <alignment/>
    </xf>
    <xf numFmtId="3" fontId="87" fillId="0" borderId="46" xfId="0" applyNumberFormat="1" applyFont="1" applyBorder="1" applyAlignment="1">
      <alignment/>
    </xf>
    <xf numFmtId="4" fontId="87" fillId="0" borderId="128" xfId="0" applyNumberFormat="1" applyFont="1" applyBorder="1" applyAlignment="1">
      <alignment/>
    </xf>
    <xf numFmtId="0" fontId="87" fillId="0" borderId="1" xfId="0" applyFont="1" applyBorder="1" applyAlignment="1">
      <alignment/>
    </xf>
    <xf numFmtId="0" fontId="87" fillId="0" borderId="49" xfId="0" applyFont="1" applyBorder="1" applyAlignment="1">
      <alignment/>
    </xf>
    <xf numFmtId="169" fontId="87" fillId="0" borderId="3" xfId="0" applyNumberFormat="1" applyFont="1" applyBorder="1" applyAlignment="1">
      <alignment/>
    </xf>
    <xf numFmtId="4" fontId="78" fillId="4" borderId="99" xfId="0" applyNumberFormat="1" applyFont="1" applyFill="1" applyBorder="1" applyAlignment="1">
      <alignment horizontal="right"/>
    </xf>
    <xf numFmtId="3" fontId="87" fillId="0" borderId="128" xfId="0" applyNumberFormat="1" applyFont="1" applyBorder="1" applyAlignment="1">
      <alignment/>
    </xf>
    <xf numFmtId="3" fontId="87" fillId="0" borderId="162" xfId="0" applyNumberFormat="1" applyFont="1" applyBorder="1" applyAlignment="1">
      <alignment/>
    </xf>
    <xf numFmtId="3" fontId="87" fillId="0" borderId="50" xfId="0" applyNumberFormat="1" applyFont="1" applyBorder="1" applyAlignment="1">
      <alignment/>
    </xf>
    <xf numFmtId="4" fontId="87" fillId="0" borderId="58" xfId="0" applyNumberFormat="1" applyFont="1" applyBorder="1" applyAlignment="1">
      <alignment/>
    </xf>
    <xf numFmtId="4" fontId="87" fillId="0" borderId="63" xfId="0" applyNumberFormat="1" applyFont="1" applyBorder="1" applyAlignment="1">
      <alignment/>
    </xf>
    <xf numFmtId="3" fontId="87" fillId="0" borderId="59" xfId="0" applyNumberFormat="1" applyFont="1" applyBorder="1" applyAlignment="1">
      <alignment/>
    </xf>
    <xf numFmtId="3" fontId="87" fillId="0" borderId="60" xfId="0" applyNumberFormat="1" applyFont="1" applyBorder="1" applyAlignment="1">
      <alignment/>
    </xf>
    <xf numFmtId="4" fontId="87" fillId="0" borderId="65" xfId="0" applyNumberFormat="1" applyFont="1" applyBorder="1" applyAlignment="1">
      <alignment/>
    </xf>
    <xf numFmtId="0" fontId="87" fillId="0" borderId="59" xfId="0" applyFont="1" applyBorder="1" applyAlignment="1">
      <alignment/>
    </xf>
    <xf numFmtId="0" fontId="87" fillId="0" borderId="60" xfId="0" applyFont="1" applyBorder="1" applyAlignment="1">
      <alignment/>
    </xf>
    <xf numFmtId="169" fontId="87" fillId="0" borderId="61" xfId="0" applyNumberFormat="1" applyFont="1" applyBorder="1" applyAlignment="1">
      <alignment/>
    </xf>
    <xf numFmtId="4" fontId="78" fillId="4" borderId="69" xfId="0" applyNumberFormat="1" applyFont="1" applyFill="1" applyBorder="1" applyAlignment="1">
      <alignment horizontal="right"/>
    </xf>
    <xf numFmtId="3" fontId="87" fillId="0" borderId="65" xfId="0" applyNumberFormat="1" applyFont="1" applyBorder="1" applyAlignment="1">
      <alignment/>
    </xf>
    <xf numFmtId="0" fontId="87" fillId="0" borderId="67" xfId="0" applyFont="1" applyBorder="1" applyAlignment="1">
      <alignment/>
    </xf>
    <xf numFmtId="0" fontId="87" fillId="0" borderId="68" xfId="0" applyFont="1" applyBorder="1" applyAlignment="1">
      <alignment/>
    </xf>
    <xf numFmtId="169" fontId="87" fillId="0" borderId="21" xfId="0" applyNumberFormat="1" applyFont="1" applyBorder="1" applyAlignment="1">
      <alignment/>
    </xf>
    <xf numFmtId="4" fontId="78" fillId="4" borderId="66" xfId="0" applyNumberFormat="1" applyFont="1" applyFill="1" applyBorder="1" applyAlignment="1">
      <alignment horizontal="right"/>
    </xf>
    <xf numFmtId="4" fontId="87" fillId="0" borderId="21" xfId="0" applyNumberFormat="1" applyFont="1" applyBorder="1" applyAlignment="1">
      <alignment/>
    </xf>
    <xf numFmtId="3" fontId="87" fillId="0" borderId="162" xfId="0" applyNumberFormat="1" applyFont="1" applyBorder="1" applyAlignment="1">
      <alignment/>
    </xf>
    <xf numFmtId="4" fontId="87" fillId="0" borderId="58" xfId="0" applyNumberFormat="1" applyFont="1" applyBorder="1" applyAlignment="1">
      <alignment/>
    </xf>
    <xf numFmtId="4" fontId="78" fillId="4" borderId="88" xfId="0" applyNumberFormat="1" applyFont="1" applyFill="1" applyBorder="1" applyAlignment="1">
      <alignment horizontal="right"/>
    </xf>
    <xf numFmtId="3" fontId="87" fillId="0" borderId="28" xfId="0" applyNumberFormat="1" applyFont="1" applyBorder="1" applyAlignment="1">
      <alignment/>
    </xf>
    <xf numFmtId="3" fontId="87" fillId="0" borderId="89" xfId="0" applyNumberFormat="1" applyFont="1" applyBorder="1" applyAlignment="1">
      <alignment/>
    </xf>
    <xf numFmtId="3" fontId="87" fillId="0" borderId="68" xfId="0" applyNumberFormat="1" applyFont="1" applyBorder="1" applyAlignment="1">
      <alignment/>
    </xf>
    <xf numFmtId="3" fontId="115" fillId="0" borderId="89" xfId="0" applyNumberFormat="1" applyFont="1" applyBorder="1" applyAlignment="1">
      <alignment/>
    </xf>
    <xf numFmtId="3" fontId="87" fillId="0" borderId="105" xfId="0" applyNumberFormat="1" applyFont="1" applyBorder="1" applyAlignment="1">
      <alignment/>
    </xf>
    <xf numFmtId="3" fontId="87" fillId="0" borderId="91" xfId="0" applyNumberFormat="1" applyFont="1" applyBorder="1" applyAlignment="1">
      <alignment/>
    </xf>
    <xf numFmtId="4" fontId="87" fillId="0" borderId="101" xfId="0" applyNumberFormat="1" applyFont="1" applyBorder="1" applyAlignment="1">
      <alignment/>
    </xf>
    <xf numFmtId="0" fontId="87" fillId="0" borderId="105" xfId="0" applyFont="1" applyBorder="1" applyAlignment="1">
      <alignment/>
    </xf>
    <xf numFmtId="0" fontId="87" fillId="0" borderId="91" xfId="0" applyFont="1" applyBorder="1" applyAlignment="1">
      <alignment/>
    </xf>
    <xf numFmtId="169" fontId="87" fillId="0" borderId="104" xfId="0" applyNumberFormat="1" applyFont="1" applyBorder="1" applyAlignment="1">
      <alignment/>
    </xf>
    <xf numFmtId="3" fontId="87" fillId="0" borderId="0" xfId="0" applyNumberFormat="1" applyFont="1" applyBorder="1" applyAlignment="1">
      <alignment/>
    </xf>
    <xf numFmtId="3" fontId="87" fillId="10" borderId="162" xfId="0" applyNumberFormat="1" applyFont="1" applyFill="1" applyBorder="1" applyAlignment="1">
      <alignment/>
    </xf>
    <xf numFmtId="3" fontId="87" fillId="10" borderId="50" xfId="0" applyNumberFormat="1" applyFont="1" applyFill="1" applyBorder="1" applyAlignment="1">
      <alignment/>
    </xf>
    <xf numFmtId="4" fontId="87" fillId="10" borderId="58" xfId="0" applyNumberFormat="1" applyFont="1" applyFill="1" applyBorder="1" applyAlignment="1">
      <alignment/>
    </xf>
    <xf numFmtId="0" fontId="87" fillId="10" borderId="46" xfId="0" applyFont="1" applyFill="1" applyBorder="1" applyAlignment="1">
      <alignment/>
    </xf>
    <xf numFmtId="0" fontId="87" fillId="10" borderId="47" xfId="0" applyFont="1" applyFill="1" applyBorder="1" applyAlignment="1">
      <alignment/>
    </xf>
    <xf numFmtId="4" fontId="87" fillId="10" borderId="128" xfId="0" applyNumberFormat="1" applyFont="1" applyFill="1" applyBorder="1" applyAlignment="1">
      <alignment/>
    </xf>
    <xf numFmtId="0" fontId="87" fillId="10" borderId="48" xfId="0" applyFont="1" applyFill="1" applyBorder="1" applyAlignment="1">
      <alignment/>
    </xf>
    <xf numFmtId="0" fontId="87" fillId="10" borderId="99" xfId="0" applyFont="1" applyFill="1" applyBorder="1" applyAlignment="1">
      <alignment horizontal="right"/>
    </xf>
    <xf numFmtId="0" fontId="87" fillId="10" borderId="128" xfId="0" applyFont="1" applyFill="1" applyBorder="1" applyAlignment="1">
      <alignment/>
    </xf>
    <xf numFmtId="4" fontId="87" fillId="10" borderId="48" xfId="0" applyNumberFormat="1" applyFont="1" applyFill="1" applyBorder="1" applyAlignment="1">
      <alignment/>
    </xf>
    <xf numFmtId="0" fontId="90" fillId="0" borderId="74" xfId="0" applyFont="1" applyBorder="1" applyAlignment="1">
      <alignment/>
    </xf>
    <xf numFmtId="3" fontId="90" fillId="0" borderId="152" xfId="0" applyNumberFormat="1" applyFont="1" applyBorder="1" applyAlignment="1">
      <alignment/>
    </xf>
    <xf numFmtId="3" fontId="90" fillId="0" borderId="72" xfId="0" applyNumberFormat="1" applyFont="1" applyBorder="1" applyAlignment="1">
      <alignment/>
    </xf>
    <xf numFmtId="4" fontId="90" fillId="0" borderId="87" xfId="0" applyNumberFormat="1" applyFont="1" applyBorder="1" applyAlignment="1">
      <alignment/>
    </xf>
    <xf numFmtId="4" fontId="90" fillId="0" borderId="86" xfId="0" applyNumberFormat="1" applyFont="1" applyBorder="1" applyAlignment="1">
      <alignment/>
    </xf>
    <xf numFmtId="3" fontId="90" fillId="0" borderId="70" xfId="0" applyNumberFormat="1" applyFont="1" applyBorder="1" applyAlignment="1">
      <alignment/>
    </xf>
    <xf numFmtId="164" fontId="90" fillId="0" borderId="87" xfId="0" applyNumberFormat="1" applyFont="1" applyBorder="1" applyAlignment="1">
      <alignment/>
    </xf>
    <xf numFmtId="4" fontId="90" fillId="4" borderId="74" xfId="0" applyNumberFormat="1" applyFont="1" applyFill="1" applyBorder="1" applyAlignment="1">
      <alignment horizontal="right"/>
    </xf>
    <xf numFmtId="3" fontId="90" fillId="0" borderId="86" xfId="0" applyNumberFormat="1" applyFont="1" applyBorder="1" applyAlignment="1">
      <alignment/>
    </xf>
    <xf numFmtId="0" fontId="88" fillId="0" borderId="0" xfId="0" applyFont="1" applyAlignment="1">
      <alignment/>
    </xf>
    <xf numFmtId="0" fontId="90" fillId="0" borderId="70" xfId="0" applyFont="1" applyBorder="1" applyAlignment="1">
      <alignment horizontal="centerContinuous" vertical="center"/>
    </xf>
    <xf numFmtId="0" fontId="90" fillId="0" borderId="86" xfId="0" applyFont="1" applyBorder="1" applyAlignment="1">
      <alignment horizontal="centerContinuous" vertical="center"/>
    </xf>
    <xf numFmtId="0" fontId="90" fillId="0" borderId="87" xfId="0" applyFont="1" applyBorder="1" applyAlignment="1">
      <alignment horizontal="centerContinuous" vertical="center"/>
    </xf>
    <xf numFmtId="0" fontId="90" fillId="4" borderId="54" xfId="0" applyFont="1" applyFill="1" applyBorder="1" applyAlignment="1">
      <alignment horizontal="center" vertical="center"/>
    </xf>
    <xf numFmtId="0" fontId="90" fillId="0" borderId="5" xfId="0" applyFont="1" applyBorder="1" applyAlignment="1">
      <alignment horizontal="center"/>
    </xf>
    <xf numFmtId="0" fontId="90" fillId="0" borderId="78" xfId="0" applyFont="1" applyBorder="1" applyAlignment="1">
      <alignment horizontal="center"/>
    </xf>
    <xf numFmtId="0" fontId="90" fillId="0" borderId="6" xfId="0" applyFont="1" applyBorder="1" applyAlignment="1">
      <alignment horizontal="center"/>
    </xf>
    <xf numFmtId="0" fontId="90" fillId="0" borderId="82" xfId="0" applyFont="1" applyBorder="1" applyAlignment="1">
      <alignment horizontal="center"/>
    </xf>
    <xf numFmtId="3" fontId="90" fillId="4" borderId="81" xfId="0" applyNumberFormat="1" applyFont="1" applyFill="1" applyBorder="1" applyAlignment="1">
      <alignment horizontal="center"/>
    </xf>
    <xf numFmtId="3" fontId="100" fillId="0" borderId="0" xfId="32" applyNumberFormat="1" applyFont="1" applyFill="1">
      <alignment/>
      <protection/>
    </xf>
    <xf numFmtId="0" fontId="77" fillId="0" borderId="0" xfId="0" applyFont="1" applyAlignment="1">
      <alignment/>
    </xf>
    <xf numFmtId="3" fontId="72" fillId="0" borderId="61" xfId="20" applyNumberFormat="1" applyFont="1" applyFill="1" applyBorder="1" applyAlignment="1">
      <alignment horizontal="right"/>
      <protection/>
    </xf>
    <xf numFmtId="0" fontId="17" fillId="0" borderId="0" xfId="0" applyFont="1" applyBorder="1" applyAlignment="1">
      <alignment/>
    </xf>
    <xf numFmtId="0" fontId="74" fillId="0" borderId="0" xfId="20" applyFont="1">
      <alignment/>
      <protection/>
    </xf>
    <xf numFmtId="49" fontId="69" fillId="0" borderId="88" xfId="26" applyNumberFormat="1" applyFont="1" applyFill="1" applyBorder="1" applyAlignment="1" applyProtection="1">
      <alignment horizontal="center" wrapText="1"/>
      <protection locked="0"/>
    </xf>
    <xf numFmtId="3" fontId="69" fillId="0" borderId="74" xfId="0" applyNumberFormat="1" applyFont="1" applyFill="1" applyBorder="1" applyAlignment="1" applyProtection="1">
      <alignment/>
      <protection locked="0"/>
    </xf>
    <xf numFmtId="3" fontId="69" fillId="0" borderId="86" xfId="0" applyNumberFormat="1" applyFont="1" applyFill="1" applyBorder="1" applyAlignment="1" applyProtection="1">
      <alignment/>
      <protection/>
    </xf>
    <xf numFmtId="10" fontId="69" fillId="0" borderId="74" xfId="0" applyNumberFormat="1" applyFont="1" applyFill="1" applyBorder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49" fontId="67" fillId="0" borderId="74" xfId="0" applyNumberFormat="1" applyFont="1" applyFill="1" applyBorder="1" applyAlignment="1" applyProtection="1">
      <alignment horizontal="right" wrapText="1"/>
      <protection locked="0"/>
    </xf>
    <xf numFmtId="3" fontId="69" fillId="0" borderId="74" xfId="0" applyNumberFormat="1" applyFont="1" applyFill="1" applyBorder="1" applyAlignment="1" applyProtection="1">
      <alignment/>
      <protection/>
    </xf>
    <xf numFmtId="10" fontId="69" fillId="0" borderId="74" xfId="0" applyNumberFormat="1" applyFont="1" applyFill="1" applyBorder="1" applyAlignment="1" applyProtection="1">
      <alignment horizontal="right" vertical="top"/>
      <protection locked="0"/>
    </xf>
    <xf numFmtId="0" fontId="116" fillId="0" borderId="0" xfId="21" applyFont="1">
      <alignment/>
      <protection/>
    </xf>
    <xf numFmtId="0" fontId="116" fillId="0" borderId="0" xfId="0" applyFont="1" applyAlignment="1">
      <alignment/>
    </xf>
    <xf numFmtId="0" fontId="116" fillId="0" borderId="0" xfId="21" applyFont="1" applyAlignment="1">
      <alignment horizontal="left"/>
      <protection/>
    </xf>
    <xf numFmtId="0" fontId="64" fillId="0" borderId="0" xfId="0" applyFont="1" applyFill="1" applyAlignment="1">
      <alignment horizontal="center"/>
    </xf>
    <xf numFmtId="0" fontId="70" fillId="0" borderId="0" xfId="0" applyFont="1" applyFill="1" applyAlignment="1">
      <alignment horizontal="right"/>
    </xf>
    <xf numFmtId="0" fontId="68" fillId="0" borderId="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right"/>
    </xf>
    <xf numFmtId="0" fontId="70" fillId="0" borderId="68" xfId="0" applyFont="1" applyFill="1" applyBorder="1" applyAlignment="1">
      <alignment horizontal="center" vertical="center" wrapText="1"/>
    </xf>
    <xf numFmtId="0" fontId="74" fillId="0" borderId="68" xfId="0" applyFont="1" applyFill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70" fillId="0" borderId="161" xfId="0" applyFont="1" applyFill="1" applyBorder="1" applyAlignment="1">
      <alignment horizontal="center" vertical="center" wrapText="1"/>
    </xf>
    <xf numFmtId="0" fontId="64" fillId="0" borderId="91" xfId="0" applyFont="1" applyFill="1" applyBorder="1" applyAlignment="1">
      <alignment horizontal="center" vertical="center"/>
    </xf>
    <xf numFmtId="0" fontId="64" fillId="0" borderId="151" xfId="0" applyFont="1" applyFill="1" applyBorder="1" applyAlignment="1">
      <alignment horizontal="center" vertical="center"/>
    </xf>
    <xf numFmtId="0" fontId="64" fillId="0" borderId="138" xfId="0" applyFont="1" applyFill="1" applyBorder="1" applyAlignment="1">
      <alignment horizontal="center" vertical="center"/>
    </xf>
    <xf numFmtId="49" fontId="70" fillId="0" borderId="51" xfId="0" applyNumberFormat="1" applyFont="1" applyFill="1" applyBorder="1" applyAlignment="1">
      <alignment horizontal="center"/>
    </xf>
    <xf numFmtId="49" fontId="69" fillId="10" borderId="80" xfId="0" applyNumberFormat="1" applyFont="1" applyFill="1" applyBorder="1" applyAlignment="1">
      <alignment horizontal="left" indent="1"/>
    </xf>
    <xf numFmtId="4" fontId="70" fillId="10" borderId="49" xfId="0" applyNumberFormat="1" applyFont="1" applyFill="1" applyBorder="1" applyAlignment="1">
      <alignment horizontal="right"/>
    </xf>
    <xf numFmtId="4" fontId="70" fillId="10" borderId="49" xfId="0" applyNumberFormat="1" applyFont="1" applyFill="1" applyBorder="1" applyAlignment="1">
      <alignment/>
    </xf>
    <xf numFmtId="4" fontId="70" fillId="10" borderId="80" xfId="0" applyNumberFormat="1" applyFont="1" applyFill="1" applyBorder="1" applyAlignment="1">
      <alignment/>
    </xf>
    <xf numFmtId="4" fontId="70" fillId="10" borderId="3" xfId="0" applyNumberFormat="1" applyFont="1" applyFill="1" applyBorder="1" applyAlignment="1">
      <alignment horizontal="center"/>
    </xf>
    <xf numFmtId="49" fontId="70" fillId="0" borderId="160" xfId="0" applyNumberFormat="1" applyFont="1" applyFill="1" applyBorder="1" applyAlignment="1">
      <alignment horizontal="center"/>
    </xf>
    <xf numFmtId="49" fontId="69" fillId="10" borderId="162" xfId="0" applyNumberFormat="1" applyFont="1" applyFill="1" applyBorder="1" applyAlignment="1">
      <alignment horizontal="left" indent="1"/>
    </xf>
    <xf numFmtId="4" fontId="69" fillId="10" borderId="50" xfId="0" applyNumberFormat="1" applyFont="1" applyFill="1" applyBorder="1" applyAlignment="1">
      <alignment/>
    </xf>
    <xf numFmtId="4" fontId="69" fillId="10" borderId="20" xfId="0" applyNumberFormat="1" applyFont="1" applyFill="1" applyBorder="1" applyAlignment="1">
      <alignment/>
    </xf>
    <xf numFmtId="4" fontId="69" fillId="10" borderId="50" xfId="0" applyNumberFormat="1" applyFont="1" applyFill="1" applyBorder="1" applyAlignment="1">
      <alignment horizontal="right"/>
    </xf>
    <xf numFmtId="4" fontId="69" fillId="10" borderId="162" xfId="0" applyNumberFormat="1" applyFont="1" applyFill="1" applyBorder="1" applyAlignment="1">
      <alignment/>
    </xf>
    <xf numFmtId="4" fontId="69" fillId="10" borderId="58" xfId="0" applyNumberFormat="1" applyFont="1" applyFill="1" applyBorder="1" applyAlignment="1">
      <alignment horizontal="right"/>
    </xf>
    <xf numFmtId="49" fontId="70" fillId="0" borderId="53" xfId="0" applyNumberFormat="1" applyFont="1" applyFill="1" applyBorder="1" applyAlignment="1">
      <alignment horizontal="center"/>
    </xf>
    <xf numFmtId="0" fontId="70" fillId="0" borderId="91" xfId="0" applyFont="1" applyFill="1" applyBorder="1" applyAlignment="1">
      <alignment/>
    </xf>
    <xf numFmtId="4" fontId="70" fillId="0" borderId="68" xfId="0" applyNumberFormat="1" applyFont="1" applyFill="1" applyBorder="1" applyAlignment="1">
      <alignment/>
    </xf>
    <xf numFmtId="4" fontId="70" fillId="0" borderId="8" xfId="0" applyNumberFormat="1" applyFont="1" applyFill="1" applyBorder="1" applyAlignment="1">
      <alignment/>
    </xf>
    <xf numFmtId="4" fontId="70" fillId="0" borderId="91" xfId="0" applyNumberFormat="1" applyFont="1" applyFill="1" applyBorder="1" applyAlignment="1">
      <alignment horizontal="right"/>
    </xf>
    <xf numFmtId="4" fontId="69" fillId="0" borderId="89" xfId="0" applyNumberFormat="1" applyFont="1" applyFill="1" applyBorder="1" applyAlignment="1">
      <alignment/>
    </xf>
    <xf numFmtId="4" fontId="69" fillId="0" borderId="68" xfId="0" applyNumberFormat="1" applyFont="1" applyFill="1" applyBorder="1" applyAlignment="1">
      <alignment/>
    </xf>
    <xf numFmtId="4" fontId="69" fillId="0" borderId="21" xfId="0" applyNumberFormat="1" applyFont="1" applyFill="1" applyBorder="1" applyAlignment="1">
      <alignment horizontal="right"/>
    </xf>
    <xf numFmtId="49" fontId="70" fillId="0" borderId="50" xfId="0" applyNumberFormat="1" applyFont="1" applyFill="1" applyBorder="1" applyAlignment="1">
      <alignment horizontal="left" indent="1"/>
    </xf>
    <xf numFmtId="4" fontId="70" fillId="0" borderId="50" xfId="0" applyNumberFormat="1" applyFont="1" applyFill="1" applyBorder="1" applyAlignment="1">
      <alignment horizontal="right"/>
    </xf>
    <xf numFmtId="4" fontId="70" fillId="0" borderId="89" xfId="0" applyNumberFormat="1" applyFont="1" applyFill="1" applyBorder="1" applyAlignment="1">
      <alignment/>
    </xf>
    <xf numFmtId="4" fontId="70" fillId="0" borderId="21" xfId="0" applyNumberFormat="1" applyFont="1" applyFill="1" applyBorder="1" applyAlignment="1">
      <alignment horizontal="right"/>
    </xf>
    <xf numFmtId="49" fontId="70" fillId="0" borderId="105" xfId="0" applyNumberFormat="1" applyFont="1" applyFill="1" applyBorder="1" applyAlignment="1">
      <alignment horizontal="center"/>
    </xf>
    <xf numFmtId="49" fontId="70" fillId="0" borderId="91" xfId="0" applyNumberFormat="1" applyFont="1" applyFill="1" applyBorder="1" applyAlignment="1">
      <alignment horizontal="left" indent="1"/>
    </xf>
    <xf numFmtId="4" fontId="70" fillId="0" borderId="139" xfId="0" applyNumberFormat="1" applyFont="1" applyFill="1" applyBorder="1" applyAlignment="1">
      <alignment/>
    </xf>
    <xf numFmtId="4" fontId="70" fillId="0" borderId="68" xfId="0" applyNumberFormat="1" applyFont="1" applyFill="1" applyBorder="1" applyAlignment="1">
      <alignment horizontal="right"/>
    </xf>
    <xf numFmtId="4" fontId="70" fillId="0" borderId="91" xfId="0" applyNumberFormat="1" applyFont="1" applyFill="1" applyBorder="1" applyAlignment="1">
      <alignment/>
    </xf>
    <xf numFmtId="4" fontId="70" fillId="0" borderId="151" xfId="0" applyNumberFormat="1" applyFont="1" applyFill="1" applyBorder="1" applyAlignment="1">
      <alignment/>
    </xf>
    <xf numFmtId="4" fontId="70" fillId="0" borderId="104" xfId="0" applyNumberFormat="1" applyFont="1" applyFill="1" applyBorder="1" applyAlignment="1">
      <alignment horizontal="right"/>
    </xf>
    <xf numFmtId="49" fontId="70" fillId="0" borderId="19" xfId="0" applyNumberFormat="1" applyFont="1" applyFill="1" applyBorder="1" applyAlignment="1">
      <alignment horizontal="center"/>
    </xf>
    <xf numFmtId="49" fontId="70" fillId="0" borderId="68" xfId="0" applyNumberFormat="1" applyFont="1" applyFill="1" applyBorder="1" applyAlignment="1">
      <alignment horizontal="left" indent="1"/>
    </xf>
    <xf numFmtId="4" fontId="70" fillId="0" borderId="58" xfId="0" applyNumberFormat="1" applyFont="1" applyFill="1" applyBorder="1" applyAlignment="1">
      <alignment horizontal="right"/>
    </xf>
    <xf numFmtId="49" fontId="70" fillId="0" borderId="62" xfId="0" applyNumberFormat="1" applyFont="1" applyFill="1" applyBorder="1" applyAlignment="1">
      <alignment horizontal="center"/>
    </xf>
    <xf numFmtId="49" fontId="70" fillId="0" borderId="60" xfId="0" applyNumberFormat="1" applyFont="1" applyFill="1" applyBorder="1" applyAlignment="1">
      <alignment horizontal="left" indent="1"/>
    </xf>
    <xf numFmtId="4" fontId="70" fillId="0" borderId="64" xfId="0" applyNumberFormat="1" applyFont="1" applyFill="1" applyBorder="1" applyAlignment="1">
      <alignment/>
    </xf>
    <xf numFmtId="4" fontId="70" fillId="0" borderId="60" xfId="0" applyNumberFormat="1" applyFont="1" applyFill="1" applyBorder="1" applyAlignment="1">
      <alignment horizontal="right"/>
    </xf>
    <xf numFmtId="4" fontId="70" fillId="0" borderId="60" xfId="0" applyNumberFormat="1" applyFont="1" applyFill="1" applyBorder="1" applyAlignment="1">
      <alignment/>
    </xf>
    <xf numFmtId="4" fontId="70" fillId="0" borderId="76" xfId="0" applyNumberFormat="1" applyFont="1" applyFill="1" applyBorder="1" applyAlignment="1">
      <alignment/>
    </xf>
    <xf numFmtId="49" fontId="70" fillId="0" borderId="67" xfId="0" applyNumberFormat="1" applyFont="1" applyFill="1" applyBorder="1" applyAlignment="1">
      <alignment horizontal="center"/>
    </xf>
    <xf numFmtId="4" fontId="70" fillId="0" borderId="76" xfId="0" applyNumberFormat="1" applyFont="1" applyFill="1" applyBorder="1" applyAlignment="1">
      <alignment horizontal="right"/>
    </xf>
    <xf numFmtId="4" fontId="70" fillId="0" borderId="65" xfId="0" applyNumberFormat="1" applyFont="1" applyFill="1" applyBorder="1" applyAlignment="1">
      <alignment/>
    </xf>
    <xf numFmtId="4" fontId="70" fillId="0" borderId="61" xfId="0" applyNumberFormat="1" applyFont="1" applyFill="1" applyBorder="1" applyAlignment="1">
      <alignment horizontal="right"/>
    </xf>
    <xf numFmtId="4" fontId="70" fillId="0" borderId="89" xfId="0" applyNumberFormat="1" applyFont="1" applyFill="1" applyBorder="1" applyAlignment="1">
      <alignment horizontal="right"/>
    </xf>
    <xf numFmtId="4" fontId="70" fillId="0" borderId="0" xfId="0" applyNumberFormat="1" applyFont="1" applyFill="1" applyBorder="1" applyAlignment="1">
      <alignment/>
    </xf>
    <xf numFmtId="49" fontId="70" fillId="0" borderId="149" xfId="0" applyNumberFormat="1" applyFont="1" applyFill="1" applyBorder="1" applyAlignment="1">
      <alignment horizontal="center"/>
    </xf>
    <xf numFmtId="49" fontId="69" fillId="10" borderId="151" xfId="0" applyNumberFormat="1" applyFont="1" applyFill="1" applyBorder="1" applyAlignment="1">
      <alignment horizontal="left" indent="1"/>
    </xf>
    <xf numFmtId="4" fontId="70" fillId="10" borderId="91" xfId="0" applyNumberFormat="1" applyFont="1" applyFill="1" applyBorder="1" applyAlignment="1">
      <alignment/>
    </xf>
    <xf numFmtId="4" fontId="70" fillId="10" borderId="139" xfId="0" applyNumberFormat="1" applyFont="1" applyFill="1" applyBorder="1" applyAlignment="1">
      <alignment horizontal="right"/>
    </xf>
    <xf numFmtId="4" fontId="70" fillId="10" borderId="151" xfId="0" applyNumberFormat="1" applyFont="1" applyFill="1" applyBorder="1" applyAlignment="1">
      <alignment horizontal="right"/>
    </xf>
    <xf numFmtId="4" fontId="70" fillId="10" borderId="101" xfId="0" applyNumberFormat="1" applyFont="1" applyFill="1" applyBorder="1" applyAlignment="1">
      <alignment/>
    </xf>
    <xf numFmtId="4" fontId="70" fillId="10" borderId="139" xfId="0" applyNumberFormat="1" applyFont="1" applyFill="1" applyBorder="1" applyAlignment="1">
      <alignment/>
    </xf>
    <xf numFmtId="4" fontId="70" fillId="10" borderId="104" xfId="0" applyNumberFormat="1" applyFont="1" applyFill="1" applyBorder="1" applyAlignment="1">
      <alignment horizontal="right"/>
    </xf>
    <xf numFmtId="4" fontId="69" fillId="10" borderId="20" xfId="0" applyNumberFormat="1" applyFont="1" applyFill="1" applyBorder="1" applyAlignment="1">
      <alignment horizontal="right"/>
    </xf>
    <xf numFmtId="4" fontId="69" fillId="10" borderId="162" xfId="0" applyNumberFormat="1" applyFont="1" applyFill="1" applyBorder="1" applyAlignment="1">
      <alignment horizontal="right"/>
    </xf>
    <xf numFmtId="4" fontId="69" fillId="10" borderId="50" xfId="0" applyNumberFormat="1" applyFont="1" applyFill="1" applyBorder="1" applyAlignment="1">
      <alignment/>
    </xf>
    <xf numFmtId="4" fontId="69" fillId="10" borderId="28" xfId="0" applyNumberFormat="1" applyFont="1" applyFill="1" applyBorder="1" applyAlignment="1">
      <alignment/>
    </xf>
    <xf numFmtId="49" fontId="70" fillId="0" borderId="0" xfId="0" applyNumberFormat="1" applyFont="1" applyFill="1" applyBorder="1" applyAlignment="1">
      <alignment horizontal="left" indent="1"/>
    </xf>
    <xf numFmtId="4" fontId="70" fillId="0" borderId="0" xfId="0" applyNumberFormat="1" applyFont="1" applyFill="1" applyBorder="1" applyAlignment="1">
      <alignment horizontal="right"/>
    </xf>
    <xf numFmtId="4" fontId="69" fillId="0" borderId="91" xfId="0" applyNumberFormat="1" applyFont="1" applyFill="1" applyBorder="1" applyAlignment="1">
      <alignment/>
    </xf>
    <xf numFmtId="4" fontId="69" fillId="0" borderId="104" xfId="0" applyNumberFormat="1" applyFont="1" applyFill="1" applyBorder="1" applyAlignment="1">
      <alignment horizontal="right"/>
    </xf>
    <xf numFmtId="4" fontId="70" fillId="0" borderId="50" xfId="0" applyNumberFormat="1" applyFont="1" applyFill="1" applyBorder="1" applyAlignment="1">
      <alignment/>
    </xf>
    <xf numFmtId="49" fontId="70" fillId="0" borderId="151" xfId="0" applyNumberFormat="1" applyFont="1" applyFill="1" applyBorder="1" applyAlignment="1">
      <alignment horizontal="left" indent="1"/>
    </xf>
    <xf numFmtId="4" fontId="70" fillId="0" borderId="139" xfId="0" applyNumberFormat="1" applyFont="1" applyFill="1" applyBorder="1" applyAlignment="1">
      <alignment horizontal="right"/>
    </xf>
    <xf numFmtId="49" fontId="64" fillId="0" borderId="160" xfId="0" applyNumberFormat="1" applyFont="1" applyFill="1" applyBorder="1" applyAlignment="1">
      <alignment horizontal="center"/>
    </xf>
    <xf numFmtId="0" fontId="70" fillId="0" borderId="162" xfId="0" applyFont="1" applyFill="1" applyBorder="1" applyAlignment="1">
      <alignment/>
    </xf>
    <xf numFmtId="4" fontId="64" fillId="0" borderId="68" xfId="0" applyNumberFormat="1" applyFont="1" applyFill="1" applyBorder="1" applyAlignment="1">
      <alignment/>
    </xf>
    <xf numFmtId="4" fontId="70" fillId="0" borderId="101" xfId="0" applyNumberFormat="1" applyFont="1" applyFill="1" applyBorder="1" applyAlignment="1">
      <alignment horizontal="right"/>
    </xf>
    <xf numFmtId="49" fontId="69" fillId="0" borderId="68" xfId="0" applyNumberFormat="1" applyFont="1" applyFill="1" applyBorder="1" applyAlignment="1">
      <alignment horizontal="left" indent="1"/>
    </xf>
    <xf numFmtId="49" fontId="69" fillId="0" borderId="50" xfId="0" applyNumberFormat="1" applyFont="1" applyFill="1" applyBorder="1" applyAlignment="1">
      <alignment horizontal="left" indent="1"/>
    </xf>
    <xf numFmtId="4" fontId="69" fillId="0" borderId="162" xfId="0" applyNumberFormat="1" applyFont="1" applyFill="1" applyBorder="1" applyAlignment="1">
      <alignment/>
    </xf>
    <xf numFmtId="4" fontId="69" fillId="0" borderId="50" xfId="0" applyNumberFormat="1" applyFont="1" applyFill="1" applyBorder="1" applyAlignment="1">
      <alignment/>
    </xf>
    <xf numFmtId="4" fontId="69" fillId="0" borderId="28" xfId="0" applyNumberFormat="1" applyFont="1" applyFill="1" applyBorder="1" applyAlignment="1">
      <alignment horizontal="right"/>
    </xf>
    <xf numFmtId="4" fontId="69" fillId="0" borderId="50" xfId="0" applyNumberFormat="1" applyFont="1" applyFill="1" applyBorder="1" applyAlignment="1">
      <alignment horizontal="right"/>
    </xf>
    <xf numFmtId="4" fontId="69" fillId="0" borderId="58" xfId="0" applyNumberFormat="1" applyFont="1" applyFill="1" applyBorder="1" applyAlignment="1">
      <alignment horizontal="right"/>
    </xf>
    <xf numFmtId="49" fontId="69" fillId="10" borderId="68" xfId="0" applyNumberFormat="1" applyFont="1" applyFill="1" applyBorder="1" applyAlignment="1">
      <alignment horizontal="left" indent="1"/>
    </xf>
    <xf numFmtId="4" fontId="64" fillId="10" borderId="0" xfId="0" applyNumberFormat="1" applyFont="1" applyFill="1" applyBorder="1" applyAlignment="1">
      <alignment/>
    </xf>
    <xf numFmtId="4" fontId="64" fillId="10" borderId="68" xfId="0" applyNumberFormat="1" applyFont="1" applyFill="1" applyBorder="1" applyAlignment="1">
      <alignment/>
    </xf>
    <xf numFmtId="4" fontId="70" fillId="10" borderId="68" xfId="0" applyNumberFormat="1" applyFont="1" applyFill="1" applyBorder="1" applyAlignment="1">
      <alignment/>
    </xf>
    <xf numFmtId="4" fontId="70" fillId="10" borderId="68" xfId="0" applyNumberFormat="1" applyFont="1" applyFill="1" applyBorder="1" applyAlignment="1">
      <alignment horizontal="right"/>
    </xf>
    <xf numFmtId="4" fontId="69" fillId="10" borderId="68" xfId="0" applyNumberFormat="1" applyFont="1" applyFill="1" applyBorder="1" applyAlignment="1">
      <alignment/>
    </xf>
    <xf numFmtId="4" fontId="69" fillId="10" borderId="21" xfId="0" applyNumberFormat="1" applyFont="1" applyFill="1" applyBorder="1" applyAlignment="1">
      <alignment horizontal="right"/>
    </xf>
    <xf numFmtId="49" fontId="69" fillId="10" borderId="50" xfId="0" applyNumberFormat="1" applyFont="1" applyFill="1" applyBorder="1" applyAlignment="1">
      <alignment horizontal="left" indent="1"/>
    </xf>
    <xf numFmtId="4" fontId="69" fillId="10" borderId="28" xfId="0" applyNumberFormat="1" applyFont="1" applyFill="1" applyBorder="1" applyAlignment="1">
      <alignment/>
    </xf>
    <xf numFmtId="4" fontId="69" fillId="0" borderId="89" xfId="0" applyNumberFormat="1" applyFont="1" applyFill="1" applyBorder="1" applyAlignment="1">
      <alignment vertical="center"/>
    </xf>
    <xf numFmtId="4" fontId="69" fillId="0" borderId="68" xfId="0" applyNumberFormat="1" applyFont="1" applyFill="1" applyBorder="1" applyAlignment="1">
      <alignment vertical="center"/>
    </xf>
    <xf numFmtId="4" fontId="69" fillId="0" borderId="21" xfId="0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 vertical="center"/>
    </xf>
    <xf numFmtId="4" fontId="69" fillId="0" borderId="72" xfId="0" applyNumberFormat="1" applyFont="1" applyFill="1" applyBorder="1" applyAlignment="1">
      <alignment vertical="center"/>
    </xf>
    <xf numFmtId="4" fontId="69" fillId="0" borderId="152" xfId="0" applyNumberFormat="1" applyFont="1" applyFill="1" applyBorder="1" applyAlignment="1">
      <alignment vertical="center"/>
    </xf>
    <xf numFmtId="4" fontId="69" fillId="0" borderId="74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 horizontal="left" wrapText="1" indent="1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3" fontId="69" fillId="0" borderId="0" xfId="0" applyNumberFormat="1" applyFont="1" applyFill="1" applyAlignment="1">
      <alignment/>
    </xf>
    <xf numFmtId="0" fontId="70" fillId="0" borderId="0" xfId="0" applyFont="1" applyAlignment="1" applyProtection="1">
      <alignment/>
      <protection locked="0"/>
    </xf>
    <xf numFmtId="3" fontId="70" fillId="0" borderId="0" xfId="0" applyNumberFormat="1" applyFont="1" applyAlignment="1" applyProtection="1">
      <alignment/>
      <protection locked="0"/>
    </xf>
    <xf numFmtId="0" fontId="102" fillId="0" borderId="0" xfId="0" applyFont="1" applyAlignment="1">
      <alignment horizontal="left" vertical="top" wrapText="1"/>
    </xf>
    <xf numFmtId="0" fontId="69" fillId="0" borderId="70" xfId="0" applyFont="1" applyFill="1" applyBorder="1" applyAlignment="1">
      <alignment horizontal="centerContinuous" vertical="center" wrapText="1"/>
    </xf>
    <xf numFmtId="0" fontId="69" fillId="0" borderId="87" xfId="0" applyFont="1" applyFill="1" applyBorder="1" applyAlignment="1">
      <alignment horizontal="centerContinuous" vertical="top" wrapText="1"/>
    </xf>
    <xf numFmtId="0" fontId="69" fillId="0" borderId="1" xfId="0" applyFont="1" applyFill="1" applyBorder="1" applyAlignment="1">
      <alignment horizontal="centerContinuous" vertical="center" wrapText="1"/>
    </xf>
    <xf numFmtId="0" fontId="69" fillId="0" borderId="3" xfId="0" applyFont="1" applyFill="1" applyBorder="1" applyAlignment="1">
      <alignment horizontal="centerContinuous" vertical="top" wrapText="1"/>
    </xf>
    <xf numFmtId="0" fontId="70" fillId="0" borderId="0" xfId="25" applyFont="1" applyBorder="1">
      <alignment/>
      <protection/>
    </xf>
    <xf numFmtId="0" fontId="69" fillId="0" borderId="74" xfId="0" applyFont="1" applyFill="1" applyBorder="1" applyAlignment="1">
      <alignment horizontal="center" vertical="center" wrapText="1"/>
    </xf>
    <xf numFmtId="0" fontId="117" fillId="0" borderId="0" xfId="0" applyFont="1" applyAlignment="1">
      <alignment/>
    </xf>
    <xf numFmtId="0" fontId="117" fillId="0" borderId="0" xfId="0" applyFont="1" applyAlignment="1">
      <alignment horizontal="right"/>
    </xf>
    <xf numFmtId="0" fontId="118" fillId="0" borderId="0" xfId="0" applyFont="1" applyAlignment="1">
      <alignment/>
    </xf>
    <xf numFmtId="0" fontId="88" fillId="0" borderId="66" xfId="0" applyFont="1" applyBorder="1" applyAlignment="1">
      <alignment/>
    </xf>
    <xf numFmtId="0" fontId="88" fillId="0" borderId="100" xfId="0" applyFont="1" applyBorder="1" applyAlignment="1">
      <alignment/>
    </xf>
    <xf numFmtId="0" fontId="119" fillId="0" borderId="74" xfId="0" applyFont="1" applyBorder="1" applyAlignment="1">
      <alignment/>
    </xf>
    <xf numFmtId="0" fontId="88" fillId="10" borderId="66" xfId="0" applyFont="1" applyFill="1" applyBorder="1" applyAlignment="1">
      <alignment/>
    </xf>
    <xf numFmtId="0" fontId="119" fillId="0" borderId="100" xfId="0" applyFont="1" applyBorder="1" applyAlignment="1">
      <alignment/>
    </xf>
    <xf numFmtId="3" fontId="119" fillId="0" borderId="152" xfId="0" applyNumberFormat="1" applyFont="1" applyBorder="1" applyAlignment="1">
      <alignment/>
    </xf>
    <xf numFmtId="3" fontId="119" fillId="0" borderId="72" xfId="0" applyNumberFormat="1" applyFont="1" applyBorder="1" applyAlignment="1">
      <alignment/>
    </xf>
    <xf numFmtId="4" fontId="119" fillId="0" borderId="87" xfId="0" applyNumberFormat="1" applyFont="1" applyBorder="1" applyAlignment="1">
      <alignment/>
    </xf>
    <xf numFmtId="4" fontId="119" fillId="0" borderId="86" xfId="0" applyNumberFormat="1" applyFont="1" applyBorder="1" applyAlignment="1">
      <alignment/>
    </xf>
    <xf numFmtId="0" fontId="120" fillId="0" borderId="70" xfId="0" applyFont="1" applyBorder="1" applyAlignment="1">
      <alignment/>
    </xf>
    <xf numFmtId="0" fontId="120" fillId="0" borderId="72" xfId="0" applyFont="1" applyBorder="1" applyAlignment="1">
      <alignment/>
    </xf>
    <xf numFmtId="169" fontId="120" fillId="0" borderId="87" xfId="0" applyNumberFormat="1" applyFont="1" applyBorder="1" applyAlignment="1">
      <alignment/>
    </xf>
    <xf numFmtId="4" fontId="121" fillId="4" borderId="74" xfId="0" applyNumberFormat="1" applyFont="1" applyFill="1" applyBorder="1" applyAlignment="1">
      <alignment horizontal="right"/>
    </xf>
    <xf numFmtId="3" fontId="119" fillId="0" borderId="86" xfId="0" applyNumberFormat="1" applyFont="1" applyBorder="1" applyAlignment="1">
      <alignment/>
    </xf>
    <xf numFmtId="0" fontId="120" fillId="0" borderId="0" xfId="0" applyFont="1" applyAlignment="1">
      <alignment/>
    </xf>
    <xf numFmtId="3" fontId="120" fillId="0" borderId="162" xfId="0" applyNumberFormat="1" applyFont="1" applyBorder="1" applyAlignment="1">
      <alignment/>
    </xf>
    <xf numFmtId="3" fontId="120" fillId="0" borderId="50" xfId="0" applyNumberFormat="1" applyFont="1" applyBorder="1" applyAlignment="1">
      <alignment/>
    </xf>
    <xf numFmtId="4" fontId="120" fillId="0" borderId="58" xfId="0" applyNumberFormat="1" applyFont="1" applyBorder="1" applyAlignment="1">
      <alignment/>
    </xf>
    <xf numFmtId="3" fontId="120" fillId="0" borderId="59" xfId="0" applyNumberFormat="1" applyFont="1" applyBorder="1" applyAlignment="1">
      <alignment/>
    </xf>
    <xf numFmtId="3" fontId="120" fillId="0" borderId="60" xfId="0" applyNumberFormat="1" applyFont="1" applyBorder="1" applyAlignment="1">
      <alignment/>
    </xf>
    <xf numFmtId="4" fontId="120" fillId="0" borderId="65" xfId="0" applyNumberFormat="1" applyFont="1" applyBorder="1" applyAlignment="1">
      <alignment/>
    </xf>
    <xf numFmtId="0" fontId="120" fillId="0" borderId="59" xfId="0" applyFont="1" applyBorder="1" applyAlignment="1">
      <alignment/>
    </xf>
    <xf numFmtId="0" fontId="120" fillId="0" borderId="60" xfId="0" applyFont="1" applyBorder="1" applyAlignment="1">
      <alignment/>
    </xf>
    <xf numFmtId="169" fontId="120" fillId="0" borderId="61" xfId="0" applyNumberFormat="1" applyFont="1" applyBorder="1" applyAlignment="1">
      <alignment/>
    </xf>
    <xf numFmtId="4" fontId="120" fillId="4" borderId="66" xfId="0" applyNumberFormat="1" applyFont="1" applyFill="1" applyBorder="1" applyAlignment="1">
      <alignment horizontal="right"/>
    </xf>
    <xf numFmtId="3" fontId="120" fillId="0" borderId="65" xfId="0" applyNumberFormat="1" applyFont="1" applyBorder="1" applyAlignment="1">
      <alignment/>
    </xf>
    <xf numFmtId="4" fontId="120" fillId="0" borderId="63" xfId="0" applyNumberFormat="1" applyFont="1" applyBorder="1" applyAlignment="1">
      <alignment/>
    </xf>
    <xf numFmtId="0" fontId="120" fillId="0" borderId="0" xfId="0" applyFont="1" applyAlignment="1">
      <alignment/>
    </xf>
    <xf numFmtId="3" fontId="120" fillId="0" borderId="89" xfId="0" applyNumberFormat="1" applyFont="1" applyBorder="1" applyAlignment="1">
      <alignment/>
    </xf>
    <xf numFmtId="3" fontId="120" fillId="0" borderId="68" xfId="0" applyNumberFormat="1" applyFont="1" applyBorder="1" applyAlignment="1">
      <alignment/>
    </xf>
    <xf numFmtId="4" fontId="120" fillId="0" borderId="21" xfId="0" applyNumberFormat="1" applyFont="1" applyBorder="1" applyAlignment="1">
      <alignment/>
    </xf>
    <xf numFmtId="3" fontId="120" fillId="0" borderId="105" xfId="0" applyNumberFormat="1" applyFont="1" applyBorder="1" applyAlignment="1">
      <alignment/>
    </xf>
    <xf numFmtId="3" fontId="120" fillId="0" borderId="91" xfId="0" applyNumberFormat="1" applyFont="1" applyBorder="1" applyAlignment="1">
      <alignment/>
    </xf>
    <xf numFmtId="4" fontId="120" fillId="0" borderId="101" xfId="0" applyNumberFormat="1" applyFont="1" applyBorder="1" applyAlignment="1">
      <alignment/>
    </xf>
    <xf numFmtId="164" fontId="120" fillId="0" borderId="104" xfId="0" applyNumberFormat="1" applyFont="1" applyBorder="1" applyAlignment="1">
      <alignment/>
    </xf>
    <xf numFmtId="4" fontId="120" fillId="4" borderId="100" xfId="0" applyNumberFormat="1" applyFont="1" applyFill="1" applyBorder="1" applyAlignment="1">
      <alignment horizontal="right"/>
    </xf>
    <xf numFmtId="3" fontId="120" fillId="0" borderId="101" xfId="0" applyNumberFormat="1" applyFont="1" applyBorder="1" applyAlignment="1">
      <alignment/>
    </xf>
    <xf numFmtId="3" fontId="78" fillId="0" borderId="0" xfId="32" applyNumberFormat="1" applyFont="1" applyFill="1">
      <alignment/>
      <protection/>
    </xf>
    <xf numFmtId="3" fontId="68" fillId="0" borderId="70" xfId="32" applyNumberFormat="1" applyFont="1" applyFill="1" applyBorder="1">
      <alignment/>
      <protection/>
    </xf>
    <xf numFmtId="3" fontId="68" fillId="0" borderId="71" xfId="32" applyNumberFormat="1" applyFont="1" applyFill="1" applyBorder="1">
      <alignment/>
      <protection/>
    </xf>
    <xf numFmtId="3" fontId="68" fillId="0" borderId="72" xfId="32" applyNumberFormat="1" applyFont="1" applyFill="1" applyBorder="1">
      <alignment/>
      <protection/>
    </xf>
    <xf numFmtId="3" fontId="68" fillId="0" borderId="73" xfId="32" applyNumberFormat="1" applyFont="1" applyFill="1" applyBorder="1">
      <alignment/>
      <protection/>
    </xf>
    <xf numFmtId="3" fontId="68" fillId="0" borderId="74" xfId="32" applyNumberFormat="1" applyFont="1" applyFill="1" applyBorder="1">
      <alignment/>
      <protection/>
    </xf>
    <xf numFmtId="3" fontId="68" fillId="0" borderId="0" xfId="32" applyNumberFormat="1" applyFont="1" applyFill="1" applyBorder="1">
      <alignment/>
      <protection/>
    </xf>
    <xf numFmtId="3" fontId="68" fillId="0" borderId="1" xfId="32" applyNumberFormat="1" applyFont="1" applyFill="1" applyBorder="1" applyAlignment="1">
      <alignment horizontal="center" vertical="center"/>
      <protection/>
    </xf>
    <xf numFmtId="3" fontId="68" fillId="0" borderId="2" xfId="32" applyNumberFormat="1" applyFont="1" applyFill="1" applyBorder="1" applyAlignment="1">
      <alignment horizontal="center" vertical="center"/>
      <protection/>
    </xf>
    <xf numFmtId="3" fontId="78" fillId="0" borderId="1" xfId="32" applyNumberFormat="1" applyFont="1" applyFill="1" applyBorder="1" applyAlignment="1">
      <alignment vertical="center"/>
      <protection/>
    </xf>
    <xf numFmtId="3" fontId="78" fillId="0" borderId="1" xfId="32" applyNumberFormat="1" applyFont="1" applyFill="1" applyBorder="1" applyAlignment="1">
      <alignment horizontal="center" vertical="center"/>
      <protection/>
    </xf>
    <xf numFmtId="3" fontId="68" fillId="0" borderId="54" xfId="32" applyNumberFormat="1" applyFont="1" applyFill="1" applyBorder="1" applyAlignment="1">
      <alignment horizontal="center" vertical="center"/>
      <protection/>
    </xf>
    <xf numFmtId="3" fontId="78" fillId="0" borderId="3" xfId="32" applyNumberFormat="1" applyFont="1" applyFill="1" applyBorder="1" applyAlignment="1">
      <alignment horizontal="center" vertical="center"/>
      <protection/>
    </xf>
    <xf numFmtId="3" fontId="78" fillId="0" borderId="3" xfId="32" applyNumberFormat="1" applyFont="1" applyFill="1" applyBorder="1" applyAlignment="1">
      <alignment vertical="center"/>
      <protection/>
    </xf>
    <xf numFmtId="3" fontId="78" fillId="0" borderId="0" xfId="32" applyNumberFormat="1" applyFont="1" applyFill="1" applyBorder="1" applyAlignment="1">
      <alignment horizontal="center" vertical="center"/>
      <protection/>
    </xf>
    <xf numFmtId="3" fontId="78" fillId="0" borderId="0" xfId="32" applyNumberFormat="1" applyFont="1" applyFill="1" applyBorder="1" applyAlignment="1">
      <alignment vertical="center"/>
      <protection/>
    </xf>
    <xf numFmtId="3" fontId="78" fillId="0" borderId="0" xfId="32" applyNumberFormat="1" applyFont="1" applyFill="1" applyAlignment="1">
      <alignment vertical="center"/>
      <protection/>
    </xf>
    <xf numFmtId="3" fontId="68" fillId="0" borderId="70" xfId="32" applyNumberFormat="1" applyFont="1" applyFill="1" applyBorder="1" applyAlignment="1">
      <alignment horizontal="center" vertical="center"/>
      <protection/>
    </xf>
    <xf numFmtId="3" fontId="68" fillId="0" borderId="72" xfId="32" applyNumberFormat="1" applyFont="1" applyFill="1" applyBorder="1" applyAlignment="1">
      <alignment horizontal="center" vertical="center"/>
      <protection/>
    </xf>
    <xf numFmtId="3" fontId="68" fillId="0" borderId="73" xfId="32" applyNumberFormat="1" applyFont="1" applyFill="1" applyBorder="1" applyAlignment="1">
      <alignment horizontal="center" vertical="center"/>
      <protection/>
    </xf>
    <xf numFmtId="3" fontId="68" fillId="0" borderId="87" xfId="32" applyNumberFormat="1" applyFont="1" applyFill="1" applyBorder="1" applyAlignment="1">
      <alignment horizontal="center" vertical="center"/>
      <protection/>
    </xf>
    <xf numFmtId="3" fontId="68" fillId="0" borderId="74" xfId="32" applyNumberFormat="1" applyFont="1" applyFill="1" applyBorder="1" applyAlignment="1">
      <alignment horizontal="center" vertical="center"/>
      <protection/>
    </xf>
    <xf numFmtId="3" fontId="68" fillId="0" borderId="71" xfId="32" applyNumberFormat="1" applyFont="1" applyFill="1" applyBorder="1" applyAlignment="1">
      <alignment horizontal="center" vertical="center"/>
      <protection/>
    </xf>
    <xf numFmtId="3" fontId="68" fillId="0" borderId="98" xfId="32" applyNumberFormat="1" applyFont="1" applyFill="1" applyBorder="1" applyAlignment="1">
      <alignment horizontal="center" vertical="center"/>
      <protection/>
    </xf>
    <xf numFmtId="3" fontId="68" fillId="0" borderId="81" xfId="32" applyNumberFormat="1" applyFont="1" applyFill="1" applyBorder="1" applyAlignment="1">
      <alignment horizontal="center" vertical="center"/>
      <protection/>
    </xf>
    <xf numFmtId="0" fontId="91" fillId="0" borderId="0" xfId="0" applyFont="1" applyFill="1" applyAlignment="1" applyProtection="1">
      <alignment/>
      <protection locked="0"/>
    </xf>
    <xf numFmtId="3" fontId="99" fillId="0" borderId="0" xfId="32" applyNumberFormat="1" applyFont="1" applyFill="1">
      <alignment/>
      <protection/>
    </xf>
    <xf numFmtId="0" fontId="68" fillId="0" borderId="0" xfId="0" applyFont="1" applyFill="1" applyAlignment="1">
      <alignment horizontal="left"/>
    </xf>
    <xf numFmtId="0" fontId="70" fillId="0" borderId="2" xfId="0" applyFont="1" applyFill="1" applyBorder="1" applyAlignment="1">
      <alignment/>
    </xf>
    <xf numFmtId="0" fontId="70" fillId="0" borderId="3" xfId="0" applyFont="1" applyFill="1" applyBorder="1" applyAlignment="1">
      <alignment/>
    </xf>
    <xf numFmtId="0" fontId="69" fillId="5" borderId="5" xfId="0" applyFont="1" applyFill="1" applyBorder="1" applyAlignment="1">
      <alignment horizontal="centerContinuous" vertical="top" wrapText="1"/>
    </xf>
    <xf numFmtId="0" fontId="69" fillId="5" borderId="6" xfId="0" applyFont="1" applyFill="1" applyBorder="1" applyAlignment="1">
      <alignment horizontal="centerContinuous" vertical="top" wrapText="1"/>
    </xf>
    <xf numFmtId="0" fontId="69" fillId="5" borderId="4" xfId="0" applyFont="1" applyFill="1" applyBorder="1" applyAlignment="1">
      <alignment horizontal="centerContinuous" vertical="top" wrapText="1"/>
    </xf>
    <xf numFmtId="0" fontId="70" fillId="0" borderId="7" xfId="0" applyFont="1" applyFill="1" applyBorder="1" applyAlignment="1">
      <alignment horizontal="center"/>
    </xf>
    <xf numFmtId="167" fontId="69" fillId="0" borderId="98" xfId="0" applyNumberFormat="1" applyFont="1" applyFill="1" applyBorder="1" applyAlignment="1">
      <alignment horizontal="center"/>
    </xf>
    <xf numFmtId="0" fontId="70" fillId="0" borderId="87" xfId="0" applyFont="1" applyFill="1" applyBorder="1" applyAlignment="1">
      <alignment horizontal="center"/>
    </xf>
    <xf numFmtId="0" fontId="69" fillId="0" borderId="1" xfId="0" applyFont="1" applyFill="1" applyBorder="1" applyAlignment="1">
      <alignment/>
    </xf>
    <xf numFmtId="0" fontId="78" fillId="0" borderId="4" xfId="0" applyFont="1" applyFill="1" applyBorder="1" applyAlignment="1">
      <alignment horizontal="center" vertical="center" wrapText="1"/>
    </xf>
    <xf numFmtId="0" fontId="78" fillId="0" borderId="6" xfId="0" applyFont="1" applyFill="1" applyBorder="1" applyAlignment="1">
      <alignment horizontal="center" vertical="center" wrapText="1"/>
    </xf>
    <xf numFmtId="0" fontId="78" fillId="0" borderId="99" xfId="0" applyFont="1" applyBorder="1" applyAlignment="1">
      <alignment horizontal="center"/>
    </xf>
    <xf numFmtId="0" fontId="68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0" fontId="68" fillId="0" borderId="1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right"/>
    </xf>
    <xf numFmtId="0" fontId="90" fillId="0" borderId="0" xfId="0" applyFont="1" applyAlignment="1">
      <alignment horizontal="center"/>
    </xf>
    <xf numFmtId="0" fontId="71" fillId="0" borderId="145" xfId="0" applyFont="1" applyBorder="1" applyAlignment="1">
      <alignment horizontal="center"/>
    </xf>
    <xf numFmtId="0" fontId="71" fillId="0" borderId="147" xfId="0" applyFont="1" applyBorder="1" applyAlignment="1">
      <alignment horizontal="center"/>
    </xf>
    <xf numFmtId="0" fontId="71" fillId="0" borderId="177" xfId="0" applyFont="1" applyBorder="1" applyAlignment="1">
      <alignment horizontal="center"/>
    </xf>
    <xf numFmtId="0" fontId="71" fillId="0" borderId="178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64" fillId="4" borderId="134" xfId="0" applyFont="1" applyFill="1" applyBorder="1" applyAlignment="1">
      <alignment/>
    </xf>
    <xf numFmtId="0" fontId="77" fillId="0" borderId="0" xfId="0" applyFont="1" applyAlignment="1">
      <alignment horizontal="center"/>
    </xf>
    <xf numFmtId="0" fontId="72" fillId="0" borderId="106" xfId="0" applyFont="1" applyBorder="1" applyAlignment="1">
      <alignment horizontal="center" vertical="center"/>
    </xf>
    <xf numFmtId="0" fontId="72" fillId="0" borderId="123" xfId="0" applyFont="1" applyBorder="1" applyAlignment="1">
      <alignment horizontal="center" vertical="center"/>
    </xf>
    <xf numFmtId="0" fontId="71" fillId="0" borderId="109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17" fillId="0" borderId="0" xfId="21" applyFont="1" applyAlignment="1">
      <alignment horizontal="right"/>
      <protection/>
    </xf>
    <xf numFmtId="0" fontId="71" fillId="0" borderId="165" xfId="0" applyFont="1" applyBorder="1" applyAlignment="1">
      <alignment horizontal="center" vertical="center" wrapText="1"/>
    </xf>
    <xf numFmtId="0" fontId="71" fillId="0" borderId="179" xfId="0" applyFont="1" applyBorder="1" applyAlignment="1">
      <alignment horizontal="center" vertical="center" wrapText="1"/>
    </xf>
    <xf numFmtId="0" fontId="89" fillId="0" borderId="0" xfId="21" applyFont="1" applyAlignment="1">
      <alignment horizontal="right"/>
      <protection/>
    </xf>
    <xf numFmtId="0" fontId="78" fillId="0" borderId="66" xfId="0" applyFont="1" applyBorder="1" applyAlignment="1">
      <alignment horizontal="center"/>
    </xf>
    <xf numFmtId="0" fontId="78" fillId="0" borderId="100" xfId="0" applyFont="1" applyBorder="1" applyAlignment="1">
      <alignment horizontal="center"/>
    </xf>
    <xf numFmtId="0" fontId="100" fillId="0" borderId="0" xfId="21" applyFont="1" applyAlignment="1">
      <alignment horizontal="right"/>
      <protection/>
    </xf>
    <xf numFmtId="0" fontId="69" fillId="0" borderId="0" xfId="0" applyFont="1" applyAlignment="1">
      <alignment horizontal="left"/>
    </xf>
    <xf numFmtId="0" fontId="68" fillId="0" borderId="1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69" xfId="0" applyFont="1" applyFill="1" applyBorder="1" applyAlignment="1">
      <alignment horizontal="center" vertical="center" wrapText="1"/>
    </xf>
    <xf numFmtId="0" fontId="68" fillId="0" borderId="81" xfId="0" applyFont="1" applyFill="1" applyBorder="1" applyAlignment="1">
      <alignment horizontal="center" vertical="center" wrapText="1"/>
    </xf>
    <xf numFmtId="0" fontId="68" fillId="4" borderId="67" xfId="0" applyFont="1" applyFill="1" applyBorder="1" applyAlignment="1">
      <alignment horizontal="center" vertical="center" wrapText="1"/>
    </xf>
    <xf numFmtId="0" fontId="68" fillId="4" borderId="4" xfId="0" applyFont="1" applyFill="1" applyBorder="1" applyAlignment="1">
      <alignment horizontal="center" vertical="center" wrapText="1"/>
    </xf>
    <xf numFmtId="0" fontId="78" fillId="0" borderId="54" xfId="0" applyFont="1" applyFill="1" applyBorder="1" applyAlignment="1">
      <alignment horizontal="center" vertical="center" wrapText="1"/>
    </xf>
    <xf numFmtId="0" fontId="68" fillId="0" borderId="4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49" fontId="102" fillId="0" borderId="0" xfId="0" applyNumberFormat="1" applyFont="1" applyAlignment="1">
      <alignment horizontal="center" wrapText="1"/>
    </xf>
    <xf numFmtId="0" fontId="104" fillId="0" borderId="0" xfId="0" applyFont="1" applyAlignment="1">
      <alignment horizontal="center" wrapText="1"/>
    </xf>
    <xf numFmtId="0" fontId="68" fillId="0" borderId="3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 wrapText="1"/>
    </xf>
    <xf numFmtId="0" fontId="68" fillId="0" borderId="69" xfId="0" applyFont="1" applyBorder="1" applyAlignment="1">
      <alignment horizontal="center" vertical="center" wrapText="1"/>
    </xf>
    <xf numFmtId="0" fontId="68" fillId="0" borderId="81" xfId="0" applyFont="1" applyBorder="1" applyAlignment="1">
      <alignment horizontal="center" vertical="center" wrapText="1"/>
    </xf>
    <xf numFmtId="0" fontId="68" fillId="0" borderId="67" xfId="0" applyFont="1" applyFill="1" applyBorder="1" applyAlignment="1">
      <alignment horizontal="center" vertical="center" wrapText="1"/>
    </xf>
    <xf numFmtId="0" fontId="68" fillId="4" borderId="70" xfId="0" applyFont="1" applyFill="1" applyBorder="1" applyAlignment="1">
      <alignment horizontal="center" vertical="center" wrapText="1"/>
    </xf>
    <xf numFmtId="0" fontId="68" fillId="4" borderId="87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 wrapText="1"/>
    </xf>
    <xf numFmtId="0" fontId="69" fillId="0" borderId="81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right"/>
    </xf>
    <xf numFmtId="0" fontId="102" fillId="0" borderId="0" xfId="0" applyFont="1" applyAlignment="1">
      <alignment horizontal="center"/>
    </xf>
    <xf numFmtId="0" fontId="68" fillId="0" borderId="54" xfId="0" applyFont="1" applyFill="1" applyBorder="1" applyAlignment="1">
      <alignment horizontal="center" vertical="center"/>
    </xf>
    <xf numFmtId="0" fontId="68" fillId="0" borderId="81" xfId="0" applyFont="1" applyFill="1" applyBorder="1" applyAlignment="1">
      <alignment horizontal="center" vertical="center"/>
    </xf>
    <xf numFmtId="0" fontId="91" fillId="0" borderId="0" xfId="0" applyFont="1" applyAlignment="1">
      <alignment horizontal="right"/>
    </xf>
    <xf numFmtId="0" fontId="94" fillId="0" borderId="180" xfId="23" applyFont="1" applyBorder="1">
      <alignment/>
      <protection/>
    </xf>
    <xf numFmtId="0" fontId="94" fillId="0" borderId="181" xfId="23" applyFont="1" applyBorder="1">
      <alignment/>
      <protection/>
    </xf>
    <xf numFmtId="0" fontId="92" fillId="0" borderId="76" xfId="23" applyFont="1" applyBorder="1">
      <alignment/>
      <protection/>
    </xf>
    <xf numFmtId="0" fontId="92" fillId="0" borderId="64" xfId="23" applyFont="1" applyBorder="1">
      <alignment/>
      <protection/>
    </xf>
    <xf numFmtId="0" fontId="93" fillId="0" borderId="180" xfId="23" applyFont="1" applyBorder="1">
      <alignment/>
      <protection/>
    </xf>
    <xf numFmtId="0" fontId="93" fillId="0" borderId="181" xfId="23" applyFont="1" applyBorder="1">
      <alignment/>
      <protection/>
    </xf>
    <xf numFmtId="0" fontId="92" fillId="0" borderId="151" xfId="23" applyFont="1" applyBorder="1">
      <alignment/>
      <protection/>
    </xf>
    <xf numFmtId="0" fontId="92" fillId="0" borderId="139" xfId="23" applyFont="1" applyBorder="1">
      <alignment/>
      <protection/>
    </xf>
    <xf numFmtId="0" fontId="67" fillId="0" borderId="0" xfId="23" applyFont="1" applyBorder="1" applyAlignment="1">
      <alignment horizontal="center"/>
      <protection/>
    </xf>
    <xf numFmtId="0" fontId="66" fillId="0" borderId="0" xfId="22" applyFont="1" applyAlignment="1">
      <alignment horizontal="right"/>
      <protection/>
    </xf>
    <xf numFmtId="0" fontId="92" fillId="0" borderId="70" xfId="22" applyFont="1" applyBorder="1" applyAlignment="1">
      <alignment horizontal="left"/>
      <protection/>
    </xf>
    <xf numFmtId="0" fontId="92" fillId="0" borderId="86" xfId="22" applyFont="1" applyBorder="1" applyAlignment="1">
      <alignment horizontal="left"/>
      <protection/>
    </xf>
    <xf numFmtId="0" fontId="66" fillId="0" borderId="152" xfId="22" applyFont="1" applyBorder="1">
      <alignment/>
      <protection/>
    </xf>
    <xf numFmtId="0" fontId="66" fillId="0" borderId="86" xfId="22" applyFont="1" applyBorder="1">
      <alignment/>
      <protection/>
    </xf>
    <xf numFmtId="0" fontId="66" fillId="0" borderId="98" xfId="22" applyFont="1" applyBorder="1">
      <alignment/>
      <protection/>
    </xf>
    <xf numFmtId="0" fontId="92" fillId="0" borderId="87" xfId="22" applyFont="1" applyBorder="1" applyAlignment="1">
      <alignment horizontal="left"/>
      <protection/>
    </xf>
    <xf numFmtId="0" fontId="69" fillId="0" borderId="0" xfId="22" applyFont="1" applyBorder="1" applyAlignment="1">
      <alignment horizontal="center"/>
      <protection/>
    </xf>
    <xf numFmtId="0" fontId="92" fillId="0" borderId="71" xfId="22" applyFont="1" applyBorder="1" applyAlignment="1">
      <alignment horizontal="left"/>
      <protection/>
    </xf>
    <xf numFmtId="0" fontId="92" fillId="0" borderId="72" xfId="22" applyFont="1" applyBorder="1" applyAlignment="1">
      <alignment horizontal="left"/>
      <protection/>
    </xf>
    <xf numFmtId="0" fontId="70" fillId="0" borderId="0" xfId="29" applyFont="1" applyFill="1" applyBorder="1" applyAlignment="1">
      <alignment horizontal="center"/>
      <protection/>
    </xf>
    <xf numFmtId="0" fontId="68" fillId="0" borderId="0" xfId="0" applyFont="1" applyFill="1" applyAlignment="1">
      <alignment horizontal="left"/>
    </xf>
    <xf numFmtId="0" fontId="69" fillId="0" borderId="1" xfId="0" applyFont="1" applyFill="1" applyBorder="1" applyAlignment="1">
      <alignment horizontal="center"/>
    </xf>
    <xf numFmtId="0" fontId="69" fillId="0" borderId="3" xfId="0" applyFont="1" applyFill="1" applyBorder="1" applyAlignment="1">
      <alignment horizontal="center"/>
    </xf>
    <xf numFmtId="0" fontId="69" fillId="5" borderId="4" xfId="0" applyFont="1" applyFill="1" applyBorder="1" applyAlignment="1">
      <alignment horizontal="right" vertical="center" wrapText="1"/>
    </xf>
    <xf numFmtId="0" fontId="69" fillId="5" borderId="6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center"/>
    </xf>
    <xf numFmtId="0" fontId="69" fillId="0" borderId="0" xfId="0" applyFont="1" applyFill="1" applyAlignment="1">
      <alignment horizontal="right"/>
    </xf>
    <xf numFmtId="0" fontId="64" fillId="0" borderId="0" xfId="0" applyFont="1" applyAlignment="1">
      <alignment horizontal="right"/>
    </xf>
    <xf numFmtId="0" fontId="70" fillId="0" borderId="80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162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  <xf numFmtId="0" fontId="70" fillId="0" borderId="76" xfId="0" applyFont="1" applyFill="1" applyBorder="1" applyAlignment="1">
      <alignment horizontal="center" vertical="center" wrapText="1"/>
    </xf>
    <xf numFmtId="0" fontId="64" fillId="0" borderId="65" xfId="0" applyFont="1" applyFill="1" applyBorder="1" applyAlignment="1">
      <alignment horizontal="center" vertical="center" wrapText="1"/>
    </xf>
    <xf numFmtId="0" fontId="64" fillId="0" borderId="64" xfId="0" applyFont="1" applyFill="1" applyBorder="1" applyAlignment="1">
      <alignment horizontal="center" vertical="center" wrapText="1"/>
    </xf>
    <xf numFmtId="0" fontId="70" fillId="0" borderId="65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70" fillId="0" borderId="0" xfId="0" applyFont="1" applyAlignment="1" applyProtection="1">
      <alignment horizontal="right"/>
      <protection locked="0"/>
    </xf>
    <xf numFmtId="49" fontId="69" fillId="0" borderId="70" xfId="0" applyNumberFormat="1" applyFont="1" applyFill="1" applyBorder="1" applyAlignment="1">
      <alignment vertical="center"/>
    </xf>
    <xf numFmtId="49" fontId="64" fillId="0" borderId="98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64" fillId="0" borderId="0" xfId="0" applyFont="1" applyFill="1" applyAlignment="1">
      <alignment horizontal="left" wrapText="1" indent="1"/>
    </xf>
    <xf numFmtId="0" fontId="68" fillId="0" borderId="0" xfId="0" applyFont="1" applyFill="1" applyAlignment="1">
      <alignment horizontal="right"/>
    </xf>
    <xf numFmtId="0" fontId="68" fillId="0" borderId="0" xfId="0" applyFont="1" applyFill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/>
    </xf>
    <xf numFmtId="0" fontId="64" fillId="0" borderId="53" xfId="0" applyFont="1" applyFill="1" applyBorder="1" applyAlignment="1">
      <alignment horizontal="center" vertical="center"/>
    </xf>
    <xf numFmtId="0" fontId="69" fillId="0" borderId="49" xfId="0" applyFont="1" applyFill="1" applyBorder="1" applyAlignment="1">
      <alignment horizontal="center" vertical="center" wrapText="1"/>
    </xf>
    <xf numFmtId="0" fontId="69" fillId="0" borderId="68" xfId="0" applyFont="1" applyFill="1" applyBorder="1" applyAlignment="1">
      <alignment horizontal="center" vertical="center" wrapText="1"/>
    </xf>
    <xf numFmtId="0" fontId="116" fillId="0" borderId="0" xfId="21" applyFont="1" applyAlignment="1">
      <alignment horizontal="right"/>
      <protection/>
    </xf>
    <xf numFmtId="0" fontId="117" fillId="0" borderId="0" xfId="0" applyFont="1" applyAlignment="1">
      <alignment horizontal="right"/>
    </xf>
    <xf numFmtId="0" fontId="117" fillId="0" borderId="0" xfId="0" applyFont="1" applyBorder="1" applyAlignment="1">
      <alignment horizontal="center"/>
    </xf>
    <xf numFmtId="0" fontId="90" fillId="0" borderId="54" xfId="0" applyFont="1" applyBorder="1" applyAlignment="1">
      <alignment horizontal="center" vertical="center"/>
    </xf>
    <xf numFmtId="0" fontId="90" fillId="0" borderId="81" xfId="0" applyFont="1" applyBorder="1" applyAlignment="1">
      <alignment horizontal="center" vertical="center"/>
    </xf>
    <xf numFmtId="0" fontId="90" fillId="0" borderId="70" xfId="0" applyFont="1" applyBorder="1" applyAlignment="1">
      <alignment horizontal="center" vertical="center"/>
    </xf>
    <xf numFmtId="0" fontId="90" fillId="0" borderId="86" xfId="0" applyFont="1" applyBorder="1" applyAlignment="1">
      <alignment horizontal="center" vertical="center"/>
    </xf>
    <xf numFmtId="0" fontId="90" fillId="0" borderId="87" xfId="0" applyFont="1" applyBorder="1" applyAlignment="1">
      <alignment horizontal="center" vertical="center"/>
    </xf>
    <xf numFmtId="3" fontId="78" fillId="0" borderId="0" xfId="32" applyNumberFormat="1" applyFont="1" applyFill="1" applyAlignment="1">
      <alignment horizontal="right"/>
      <protection/>
    </xf>
    <xf numFmtId="3" fontId="91" fillId="0" borderId="0" xfId="32" applyNumberFormat="1" applyFont="1" applyFill="1" applyAlignment="1">
      <alignment horizontal="right"/>
      <protection/>
    </xf>
    <xf numFmtId="3" fontId="68" fillId="0" borderId="70" xfId="32" applyNumberFormat="1" applyFont="1" applyFill="1" applyBorder="1" applyAlignment="1">
      <alignment horizontal="center" vertical="center" wrapText="1"/>
      <protection/>
    </xf>
    <xf numFmtId="3" fontId="68" fillId="0" borderId="86" xfId="32" applyNumberFormat="1" applyFont="1" applyFill="1" applyBorder="1" applyAlignment="1">
      <alignment horizontal="center" vertical="center" wrapText="1"/>
      <protection/>
    </xf>
    <xf numFmtId="3" fontId="68" fillId="0" borderId="87" xfId="32" applyNumberFormat="1" applyFont="1" applyFill="1" applyBorder="1" applyAlignment="1">
      <alignment horizontal="center" vertical="center" wrapText="1"/>
      <protection/>
    </xf>
    <xf numFmtId="3" fontId="68" fillId="0" borderId="1" xfId="32" applyNumberFormat="1" applyFont="1" applyFill="1" applyBorder="1" applyAlignment="1">
      <alignment horizontal="center" vertical="center"/>
      <protection/>
    </xf>
    <xf numFmtId="3" fontId="68" fillId="0" borderId="2" xfId="32" applyNumberFormat="1" applyFont="1" applyFill="1" applyBorder="1" applyAlignment="1">
      <alignment horizontal="center" vertical="center"/>
      <protection/>
    </xf>
    <xf numFmtId="3" fontId="68" fillId="0" borderId="3" xfId="32" applyNumberFormat="1" applyFont="1" applyFill="1" applyBorder="1" applyAlignment="1">
      <alignment horizontal="center" vertical="center"/>
      <protection/>
    </xf>
    <xf numFmtId="3" fontId="98" fillId="0" borderId="0" xfId="32" applyNumberFormat="1" applyFont="1" applyFill="1" applyAlignment="1">
      <alignment horizontal="center"/>
      <protection/>
    </xf>
    <xf numFmtId="0" fontId="77" fillId="0" borderId="0" xfId="0" applyFont="1" applyAlignment="1">
      <alignment horizontal="right"/>
    </xf>
    <xf numFmtId="0" fontId="67" fillId="0" borderId="70" xfId="0" applyFont="1" applyBorder="1" applyAlignment="1">
      <alignment horizontal="center" vertical="center"/>
    </xf>
    <xf numFmtId="0" fontId="67" fillId="0" borderId="86" xfId="0" applyFont="1" applyBorder="1" applyAlignment="1">
      <alignment horizontal="center" vertical="center"/>
    </xf>
    <xf numFmtId="0" fontId="67" fillId="0" borderId="87" xfId="0" applyFont="1" applyBorder="1" applyAlignment="1">
      <alignment horizontal="center" vertical="center"/>
    </xf>
    <xf numFmtId="0" fontId="77" fillId="0" borderId="0" xfId="20" applyFont="1" applyAlignment="1">
      <alignment horizontal="center"/>
      <protection/>
    </xf>
    <xf numFmtId="0" fontId="73" fillId="0" borderId="0" xfId="20" applyFont="1" applyFill="1" applyBorder="1" applyAlignment="1">
      <alignment horizontal="left" wrapText="1"/>
      <protection/>
    </xf>
    <xf numFmtId="3" fontId="69" fillId="0" borderId="0" xfId="32" applyNumberFormat="1" applyFont="1" applyFill="1" applyAlignment="1">
      <alignment horizontal="right"/>
      <protection/>
    </xf>
    <xf numFmtId="0" fontId="17" fillId="0" borderId="0" xfId="0" applyFont="1" applyBorder="1" applyAlignment="1">
      <alignment horizontal="right"/>
    </xf>
    <xf numFmtId="0" fontId="24" fillId="11" borderId="1" xfId="0" applyFont="1" applyFill="1" applyBorder="1" applyAlignment="1">
      <alignment horizontal="left" wrapText="1"/>
    </xf>
    <xf numFmtId="0" fontId="24" fillId="11" borderId="2" xfId="0" applyFont="1" applyFill="1" applyBorder="1" applyAlignment="1">
      <alignment horizontal="left" wrapText="1"/>
    </xf>
    <xf numFmtId="0" fontId="24" fillId="11" borderId="3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</cellXfs>
  <cellStyles count="2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čerpání MV do KS" xfId="20"/>
    <cellStyle name="normální_List1" xfId="21"/>
    <cellStyle name="normální_SZÚ2007seznam podle akcí" xfId="22"/>
    <cellStyle name="normální_SZÚ2007seznam podle účastníků" xfId="23"/>
    <cellStyle name="normální_tab 1(PRG-Celk)" xfId="24"/>
    <cellStyle name="_x0000_normální_tab 3 (adres" xfId="25"/>
    <cellStyle name="normální_tab 3 (adres)" xfId="26"/>
    <cellStyle name="normální_tab 3 (adres)_pokus jiné sloupce příl1_pokyn NMV_ novelizace_vzorce" xfId="27"/>
    <cellStyle name="_x0000_normální_tab 5 (odpr" xfId="28"/>
    <cellStyle name="normální_tab 5 (odpr)_tab. č. 17.05p" xfId="29"/>
    <cellStyle name="_x0000_normální_tab200" xfId="30"/>
    <cellStyle name="normální_tab2000" xfId="31"/>
    <cellStyle name="normální_tabulka pro ER 2007" xfId="32"/>
    <cellStyle name="Percent" xfId="33"/>
    <cellStyle name="Followed Hyperlink" xfId="34"/>
  </cellStyles>
  <dxfs count="3">
    <dxf>
      <font>
        <color rgb="FFFFFFFF"/>
      </font>
      <border/>
    </dxf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klady\SZ&#21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vod do RF"/>
      <sheetName val="převod detaily"/>
      <sheetName val="R1 v tis.Kč"/>
      <sheetName val="převod e) dle 218"/>
      <sheetName val="R1detv tisKč"/>
      <sheetName val="Q06"/>
      <sheetName val="bv06"/>
      <sheetName val="vfp06"/>
      <sheetName val="V+V06"/>
      <sheetName val="zůst.st.RFz tab2"/>
      <sheetName val="čerpRFz tab.2"/>
      <sheetName val="dary 2006"/>
      <sheetName val="příjmy-výdaje RF"/>
      <sheetName val="rekap.RF06"/>
      <sheetName val="OEZ-tab.2"/>
      <sheetName val="OEZ tab.19"/>
      <sheetName val="čerpMZcelkem"/>
      <sheetName val="použúsp po účtech"/>
      <sheetName val="použúsp po oblast"/>
      <sheetName val="tab.č.8 06"/>
      <sheetName val="tab.č.806změny"/>
      <sheetName val="tab č.8 na MF"/>
      <sheetName val="př.3 na MF"/>
      <sheetName val="zk"/>
      <sheetName val="tab.pro MF př.3"/>
      <sheetName val="změnypř.č.3"/>
      <sheetName val="př.č.2 na MF"/>
      <sheetName val="form př.3 z MF"/>
      <sheetName val="tabč.8 05"/>
      <sheetName val="zkouška"/>
      <sheetName val="čerpúsppoobl"/>
    </sheetNames>
    <sheetDataSet>
      <sheetData sheetId="6">
        <row r="41">
          <cell r="C41">
            <v>0</v>
          </cell>
          <cell r="E41">
            <v>0</v>
          </cell>
        </row>
      </sheetData>
      <sheetData sheetId="7">
        <row r="41">
          <cell r="D41">
            <v>0</v>
          </cell>
          <cell r="F41">
            <v>0</v>
          </cell>
          <cell r="H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workbookViewId="0" topLeftCell="A10">
      <selection activeCell="A14" sqref="A14"/>
    </sheetView>
  </sheetViews>
  <sheetFormatPr defaultColWidth="9.00390625" defaultRowHeight="12.75"/>
  <cols>
    <col min="1" max="1" width="34.25390625" style="0" customWidth="1"/>
    <col min="2" max="9" width="12.625" style="0" customWidth="1"/>
    <col min="10" max="10" width="14.125" style="0" customWidth="1"/>
    <col min="11" max="13" width="12.625" style="0" customWidth="1"/>
    <col min="14" max="14" width="14.125" style="0" customWidth="1"/>
  </cols>
  <sheetData>
    <row r="1" spans="1:32" s="805" customFormat="1" ht="20.25" customHeight="1">
      <c r="A1" s="805" t="s">
        <v>1063</v>
      </c>
      <c r="N1" s="806" t="s">
        <v>2523</v>
      </c>
      <c r="AF1" s="806"/>
    </row>
    <row r="2" spans="1:11" ht="8.25" customHeight="1">
      <c r="A2" s="808"/>
      <c r="B2" s="808"/>
      <c r="C2" s="24"/>
      <c r="E2" s="808"/>
      <c r="H2" s="808"/>
      <c r="K2" s="808"/>
    </row>
    <row r="3" spans="1:14" s="818" customFormat="1" ht="18">
      <c r="A3" s="1435" t="s">
        <v>1829</v>
      </c>
      <c r="B3" s="1435"/>
      <c r="C3" s="1435"/>
      <c r="D3" s="1435"/>
      <c r="E3" s="1435"/>
      <c r="F3" s="1435"/>
      <c r="G3" s="1435"/>
      <c r="H3" s="1435"/>
      <c r="I3" s="1435"/>
      <c r="J3" s="1435"/>
      <c r="K3" s="1435"/>
      <c r="L3" s="1435"/>
      <c r="M3" s="1435"/>
      <c r="N3" s="1435"/>
    </row>
    <row r="4" spans="1:14" s="818" customFormat="1" ht="15.75">
      <c r="A4" s="858"/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</row>
    <row r="5" spans="1:14" ht="13.5" thickBot="1">
      <c r="A5" s="24"/>
      <c r="B5" s="808"/>
      <c r="C5" s="24"/>
      <c r="D5" s="24"/>
      <c r="E5" s="808"/>
      <c r="F5" s="24"/>
      <c r="G5" s="24"/>
      <c r="H5" s="808"/>
      <c r="I5" s="24"/>
      <c r="J5" s="24"/>
      <c r="K5" s="808"/>
      <c r="L5" s="24"/>
      <c r="M5" s="24"/>
      <c r="N5" s="859" t="s">
        <v>1037</v>
      </c>
    </row>
    <row r="6" spans="1:14" s="865" customFormat="1" ht="24" customHeight="1" thickTop="1">
      <c r="A6" s="1436" t="s">
        <v>1073</v>
      </c>
      <c r="B6" s="860" t="s">
        <v>2501</v>
      </c>
      <c r="C6" s="861"/>
      <c r="D6" s="862"/>
      <c r="E6" s="863" t="s">
        <v>2502</v>
      </c>
      <c r="F6" s="861"/>
      <c r="G6" s="863"/>
      <c r="H6" s="860" t="s">
        <v>2524</v>
      </c>
      <c r="I6" s="862"/>
      <c r="J6" s="864"/>
      <c r="K6" s="1438" t="s">
        <v>2504</v>
      </c>
      <c r="L6" s="1438"/>
      <c r="M6" s="1438"/>
      <c r="N6" s="1439"/>
    </row>
    <row r="7" spans="1:14" s="865" customFormat="1" ht="24" customHeight="1" thickBot="1">
      <c r="A7" s="1437"/>
      <c r="B7" s="866" t="s">
        <v>1039</v>
      </c>
      <c r="C7" s="867" t="s">
        <v>2505</v>
      </c>
      <c r="D7" s="868" t="s">
        <v>2506</v>
      </c>
      <c r="E7" s="869" t="s">
        <v>1039</v>
      </c>
      <c r="F7" s="867" t="s">
        <v>2505</v>
      </c>
      <c r="G7" s="870" t="s">
        <v>2506</v>
      </c>
      <c r="H7" s="866" t="s">
        <v>1039</v>
      </c>
      <c r="I7" s="867" t="s">
        <v>2505</v>
      </c>
      <c r="J7" s="871" t="s">
        <v>2506</v>
      </c>
      <c r="K7" s="869" t="s">
        <v>1039</v>
      </c>
      <c r="L7" s="867" t="s">
        <v>2505</v>
      </c>
      <c r="M7" s="867" t="s">
        <v>2506</v>
      </c>
      <c r="N7" s="872" t="s">
        <v>2507</v>
      </c>
    </row>
    <row r="8" spans="1:14" ht="18.75" customHeight="1" thickBot="1">
      <c r="A8" s="873"/>
      <c r="B8" s="874" t="s">
        <v>1024</v>
      </c>
      <c r="C8" s="829" t="s">
        <v>1025</v>
      </c>
      <c r="D8" s="830" t="s">
        <v>2508</v>
      </c>
      <c r="E8" s="875" t="s">
        <v>1024</v>
      </c>
      <c r="F8" s="829" t="s">
        <v>1025</v>
      </c>
      <c r="G8" s="831" t="s">
        <v>2508</v>
      </c>
      <c r="H8" s="874" t="s">
        <v>1024</v>
      </c>
      <c r="I8" s="829" t="s">
        <v>1025</v>
      </c>
      <c r="J8" s="876" t="s">
        <v>2508</v>
      </c>
      <c r="K8" s="875" t="s">
        <v>1024</v>
      </c>
      <c r="L8" s="829" t="s">
        <v>1025</v>
      </c>
      <c r="M8" s="829" t="s">
        <v>2508</v>
      </c>
      <c r="N8" s="877"/>
    </row>
    <row r="9" spans="1:14" ht="22.5" customHeight="1" thickBot="1">
      <c r="A9" s="878" t="s">
        <v>2525</v>
      </c>
      <c r="B9" s="879">
        <v>5805022</v>
      </c>
      <c r="C9" s="880">
        <v>5651795</v>
      </c>
      <c r="D9" s="881">
        <f>B9-C9</f>
        <v>153227</v>
      </c>
      <c r="E9" s="882">
        <v>4780606</v>
      </c>
      <c r="F9" s="880">
        <v>4653902</v>
      </c>
      <c r="G9" s="883">
        <f>E9-F9</f>
        <v>126704</v>
      </c>
      <c r="H9" s="879">
        <f>640029+67972</f>
        <v>708001</v>
      </c>
      <c r="I9" s="880">
        <v>663427</v>
      </c>
      <c r="J9" s="884">
        <f>H9-I9</f>
        <v>44574</v>
      </c>
      <c r="K9" s="882">
        <f>B9+H9</f>
        <v>6513023</v>
      </c>
      <c r="L9" s="885">
        <f>C9+I9</f>
        <v>6315222</v>
      </c>
      <c r="M9" s="885">
        <f>K9-L9</f>
        <v>197801</v>
      </c>
      <c r="N9" s="886">
        <f aca="true" t="shared" si="0" ref="N9:N36">L9*100/K9</f>
        <v>96.96299245373461</v>
      </c>
    </row>
    <row r="10" spans="1:14" ht="18.75" customHeight="1">
      <c r="A10" s="887" t="s">
        <v>867</v>
      </c>
      <c r="B10" s="888">
        <v>30583</v>
      </c>
      <c r="C10" s="835">
        <v>33542</v>
      </c>
      <c r="D10" s="836">
        <f>B10-C10</f>
        <v>-2959</v>
      </c>
      <c r="E10" s="889">
        <v>25186</v>
      </c>
      <c r="F10" s="835">
        <v>27621</v>
      </c>
      <c r="G10" s="844">
        <f>E10-F10</f>
        <v>-2435</v>
      </c>
      <c r="H10" s="888">
        <v>367384</v>
      </c>
      <c r="I10" s="835">
        <v>1063861</v>
      </c>
      <c r="J10" s="890">
        <f>H10-I10</f>
        <v>-696477</v>
      </c>
      <c r="K10" s="889">
        <f>B10+H10</f>
        <v>397967</v>
      </c>
      <c r="L10" s="834">
        <f>SUM(C10+I10)</f>
        <v>1097403</v>
      </c>
      <c r="M10" s="835">
        <f>K10-L10</f>
        <v>-699436</v>
      </c>
      <c r="N10" s="838">
        <f t="shared" si="0"/>
        <v>275.7522608658507</v>
      </c>
    </row>
    <row r="11" spans="1:14" ht="18.75" customHeight="1" thickBot="1">
      <c r="A11" s="891" t="s">
        <v>2526</v>
      </c>
      <c r="B11" s="892">
        <v>0</v>
      </c>
      <c r="C11" s="843">
        <v>0</v>
      </c>
      <c r="D11" s="845">
        <f>B11-C11</f>
        <v>0</v>
      </c>
      <c r="E11" s="893">
        <v>0</v>
      </c>
      <c r="F11" s="843">
        <v>0</v>
      </c>
      <c r="G11" s="844">
        <f>E11-F11</f>
        <v>0</v>
      </c>
      <c r="H11" s="892">
        <v>981</v>
      </c>
      <c r="I11" s="894">
        <v>1012</v>
      </c>
      <c r="J11" s="895">
        <f>H11-I11</f>
        <v>-31</v>
      </c>
      <c r="K11" s="893">
        <f>B11+H11</f>
        <v>981</v>
      </c>
      <c r="L11" s="842">
        <f>SUM(C11+I11)</f>
        <v>1012</v>
      </c>
      <c r="M11" s="843">
        <f>K11-L11</f>
        <v>-31</v>
      </c>
      <c r="N11" s="896">
        <f t="shared" si="0"/>
        <v>103.16004077471968</v>
      </c>
    </row>
    <row r="12" spans="1:14" ht="22.5" customHeight="1" thickBot="1">
      <c r="A12" s="897" t="s">
        <v>554</v>
      </c>
      <c r="B12" s="898">
        <f aca="true" t="shared" si="1" ref="B12:M12">SUM(B10+B11)</f>
        <v>30583</v>
      </c>
      <c r="C12" s="899">
        <f t="shared" si="1"/>
        <v>33542</v>
      </c>
      <c r="D12" s="900">
        <f t="shared" si="1"/>
        <v>-2959</v>
      </c>
      <c r="E12" s="901">
        <f t="shared" si="1"/>
        <v>25186</v>
      </c>
      <c r="F12" s="899">
        <f t="shared" si="1"/>
        <v>27621</v>
      </c>
      <c r="G12" s="902">
        <f t="shared" si="1"/>
        <v>-2435</v>
      </c>
      <c r="H12" s="898">
        <f t="shared" si="1"/>
        <v>368365</v>
      </c>
      <c r="I12" s="899">
        <f t="shared" si="1"/>
        <v>1064873</v>
      </c>
      <c r="J12" s="900">
        <f t="shared" si="1"/>
        <v>-696508</v>
      </c>
      <c r="K12" s="901">
        <f t="shared" si="1"/>
        <v>398948</v>
      </c>
      <c r="L12" s="899">
        <f t="shared" si="1"/>
        <v>1098415</v>
      </c>
      <c r="M12" s="899">
        <f t="shared" si="1"/>
        <v>-699467</v>
      </c>
      <c r="N12" s="903">
        <f t="shared" si="0"/>
        <v>275.3278622777906</v>
      </c>
    </row>
    <row r="13" spans="1:14" ht="18.75" customHeight="1">
      <c r="A13" s="904" t="s">
        <v>2527</v>
      </c>
      <c r="B13" s="905">
        <v>37304</v>
      </c>
      <c r="C13" s="906">
        <v>38292</v>
      </c>
      <c r="D13" s="907">
        <f>B13-C13</f>
        <v>-988</v>
      </c>
      <c r="E13" s="908">
        <v>30721</v>
      </c>
      <c r="F13" s="906">
        <v>31531</v>
      </c>
      <c r="G13" s="909">
        <f>E13-F13</f>
        <v>-810</v>
      </c>
      <c r="H13" s="905">
        <v>94313</v>
      </c>
      <c r="I13" s="906">
        <v>66813</v>
      </c>
      <c r="J13" s="907">
        <f>H13-I13</f>
        <v>27500</v>
      </c>
      <c r="K13" s="908">
        <f>B13+H13</f>
        <v>131617</v>
      </c>
      <c r="L13" s="910">
        <f>SUM(C13+I13)</f>
        <v>105105</v>
      </c>
      <c r="M13" s="906">
        <f>K13-L13</f>
        <v>26512</v>
      </c>
      <c r="N13" s="911">
        <f t="shared" si="0"/>
        <v>79.85670544078653</v>
      </c>
    </row>
    <row r="14" spans="1:14" ht="18.75" customHeight="1">
      <c r="A14" s="887" t="s">
        <v>555</v>
      </c>
      <c r="B14" s="888">
        <v>1176720</v>
      </c>
      <c r="C14" s="835">
        <v>1215665</v>
      </c>
      <c r="D14" s="836">
        <f>B14-C14</f>
        <v>-38945</v>
      </c>
      <c r="E14" s="889">
        <v>969064</v>
      </c>
      <c r="F14" s="835">
        <v>1001037</v>
      </c>
      <c r="G14" s="837">
        <f>E14-F14</f>
        <v>-31973</v>
      </c>
      <c r="H14" s="888">
        <v>42912</v>
      </c>
      <c r="I14" s="835">
        <v>232875</v>
      </c>
      <c r="J14" s="836">
        <f>H14-I14</f>
        <v>-189963</v>
      </c>
      <c r="K14" s="889">
        <f>B14+H14</f>
        <v>1219632</v>
      </c>
      <c r="L14" s="834">
        <f>SUM(C14+I14)</f>
        <v>1448540</v>
      </c>
      <c r="M14" s="835">
        <f>K14-L14</f>
        <v>-228908</v>
      </c>
      <c r="N14" s="912">
        <f t="shared" si="0"/>
        <v>118.76861217154027</v>
      </c>
    </row>
    <row r="15" spans="1:14" ht="18.75" customHeight="1" thickBot="1">
      <c r="A15" s="891" t="s">
        <v>2107</v>
      </c>
      <c r="B15" s="892">
        <v>3217</v>
      </c>
      <c r="C15" s="843">
        <v>3135</v>
      </c>
      <c r="D15" s="845">
        <f>B15-C15</f>
        <v>82</v>
      </c>
      <c r="E15" s="893">
        <v>2649</v>
      </c>
      <c r="F15" s="843">
        <v>2581</v>
      </c>
      <c r="G15" s="844">
        <f>E15-F15</f>
        <v>68</v>
      </c>
      <c r="H15" s="892">
        <v>157</v>
      </c>
      <c r="I15" s="843">
        <v>165</v>
      </c>
      <c r="J15" s="845">
        <f>H15-I15</f>
        <v>-8</v>
      </c>
      <c r="K15" s="893">
        <f>B15+H15</f>
        <v>3374</v>
      </c>
      <c r="L15" s="842">
        <f>SUM(C15+I15)</f>
        <v>3300</v>
      </c>
      <c r="M15" s="843">
        <f>K15-L15</f>
        <v>74</v>
      </c>
      <c r="N15" s="913">
        <f t="shared" si="0"/>
        <v>97.8067575577949</v>
      </c>
    </row>
    <row r="16" spans="1:14" s="172" customFormat="1" ht="22.5" customHeight="1" thickBot="1">
      <c r="A16" s="897" t="s">
        <v>556</v>
      </c>
      <c r="B16" s="914">
        <f aca="true" t="shared" si="2" ref="B16:M16">SUM(B13:B15)</f>
        <v>1217241</v>
      </c>
      <c r="C16" s="915">
        <f t="shared" si="2"/>
        <v>1257092</v>
      </c>
      <c r="D16" s="916">
        <f t="shared" si="2"/>
        <v>-39851</v>
      </c>
      <c r="E16" s="917">
        <f t="shared" si="2"/>
        <v>1002434</v>
      </c>
      <c r="F16" s="915">
        <f t="shared" si="2"/>
        <v>1035149</v>
      </c>
      <c r="G16" s="918">
        <f t="shared" si="2"/>
        <v>-32715</v>
      </c>
      <c r="H16" s="914">
        <f t="shared" si="2"/>
        <v>137382</v>
      </c>
      <c r="I16" s="915">
        <f t="shared" si="2"/>
        <v>299853</v>
      </c>
      <c r="J16" s="916">
        <f t="shared" si="2"/>
        <v>-162471</v>
      </c>
      <c r="K16" s="917">
        <f t="shared" si="2"/>
        <v>1354623</v>
      </c>
      <c r="L16" s="915">
        <f t="shared" si="2"/>
        <v>1556945</v>
      </c>
      <c r="M16" s="915">
        <f t="shared" si="2"/>
        <v>-202322</v>
      </c>
      <c r="N16" s="919">
        <f t="shared" si="0"/>
        <v>114.93566844797408</v>
      </c>
    </row>
    <row r="17" spans="1:14" ht="18.75" customHeight="1">
      <c r="A17" s="574" t="s">
        <v>911</v>
      </c>
      <c r="B17" s="905">
        <v>0</v>
      </c>
      <c r="C17" s="906">
        <v>0</v>
      </c>
      <c r="D17" s="907">
        <v>0</v>
      </c>
      <c r="E17" s="908">
        <v>0</v>
      </c>
      <c r="F17" s="906">
        <v>0</v>
      </c>
      <c r="G17" s="909">
        <v>0</v>
      </c>
      <c r="H17" s="905">
        <v>3001</v>
      </c>
      <c r="I17" s="906">
        <v>3416</v>
      </c>
      <c r="J17" s="907">
        <f aca="true" t="shared" si="3" ref="J17:J24">H17-I17</f>
        <v>-415</v>
      </c>
      <c r="K17" s="908">
        <f aca="true" t="shared" si="4" ref="K17:L24">B17+H17</f>
        <v>3001</v>
      </c>
      <c r="L17" s="910">
        <f t="shared" si="4"/>
        <v>3416</v>
      </c>
      <c r="M17" s="906">
        <f aca="true" t="shared" si="5" ref="M17:M24">K17-L17</f>
        <v>-415</v>
      </c>
      <c r="N17" s="911">
        <f t="shared" si="0"/>
        <v>113.82872375874709</v>
      </c>
    </row>
    <row r="18" spans="1:14" ht="18.75" customHeight="1">
      <c r="A18" s="1434" t="s">
        <v>907</v>
      </c>
      <c r="B18" s="888">
        <v>0</v>
      </c>
      <c r="C18" s="835">
        <v>0</v>
      </c>
      <c r="D18" s="836">
        <v>0</v>
      </c>
      <c r="E18" s="889">
        <v>0</v>
      </c>
      <c r="F18" s="835">
        <v>0</v>
      </c>
      <c r="G18" s="837">
        <v>0</v>
      </c>
      <c r="H18" s="888">
        <v>1513</v>
      </c>
      <c r="I18" s="835">
        <v>1779</v>
      </c>
      <c r="J18" s="836">
        <f t="shared" si="3"/>
        <v>-266</v>
      </c>
      <c r="K18" s="889">
        <f t="shared" si="4"/>
        <v>1513</v>
      </c>
      <c r="L18" s="834">
        <f t="shared" si="4"/>
        <v>1779</v>
      </c>
      <c r="M18" s="835">
        <f t="shared" si="5"/>
        <v>-266</v>
      </c>
      <c r="N18" s="912">
        <f t="shared" si="0"/>
        <v>117.58096497025777</v>
      </c>
    </row>
    <row r="19" spans="1:14" ht="18.75" customHeight="1">
      <c r="A19" s="1434" t="s">
        <v>906</v>
      </c>
      <c r="B19" s="888">
        <v>0</v>
      </c>
      <c r="C19" s="835">
        <v>0</v>
      </c>
      <c r="D19" s="836">
        <v>0</v>
      </c>
      <c r="E19" s="889">
        <v>0</v>
      </c>
      <c r="F19" s="835">
        <v>0</v>
      </c>
      <c r="G19" s="837">
        <v>0</v>
      </c>
      <c r="H19" s="888">
        <v>779</v>
      </c>
      <c r="I19" s="835">
        <v>798</v>
      </c>
      <c r="J19" s="836">
        <f t="shared" si="3"/>
        <v>-19</v>
      </c>
      <c r="K19" s="889">
        <f t="shared" si="4"/>
        <v>779</v>
      </c>
      <c r="L19" s="834">
        <f t="shared" si="4"/>
        <v>798</v>
      </c>
      <c r="M19" s="835">
        <f t="shared" si="5"/>
        <v>-19</v>
      </c>
      <c r="N19" s="912">
        <f t="shared" si="0"/>
        <v>102.4390243902439</v>
      </c>
    </row>
    <row r="20" spans="1:14" ht="18.75" customHeight="1">
      <c r="A20" s="1434" t="s">
        <v>905</v>
      </c>
      <c r="B20" s="888">
        <v>0</v>
      </c>
      <c r="C20" s="835">
        <v>0</v>
      </c>
      <c r="D20" s="836">
        <v>0</v>
      </c>
      <c r="E20" s="889">
        <v>0</v>
      </c>
      <c r="F20" s="835">
        <v>0</v>
      </c>
      <c r="G20" s="837">
        <v>0</v>
      </c>
      <c r="H20" s="888">
        <v>675</v>
      </c>
      <c r="I20" s="835">
        <v>990</v>
      </c>
      <c r="J20" s="836">
        <f t="shared" si="3"/>
        <v>-315</v>
      </c>
      <c r="K20" s="889">
        <f t="shared" si="4"/>
        <v>675</v>
      </c>
      <c r="L20" s="834">
        <f t="shared" si="4"/>
        <v>990</v>
      </c>
      <c r="M20" s="835">
        <f t="shared" si="5"/>
        <v>-315</v>
      </c>
      <c r="N20" s="912">
        <f t="shared" si="0"/>
        <v>146.66666666666666</v>
      </c>
    </row>
    <row r="21" spans="1:14" ht="18.75" customHeight="1">
      <c r="A21" s="1434" t="s">
        <v>904</v>
      </c>
      <c r="B21" s="888">
        <v>0</v>
      </c>
      <c r="C21" s="835">
        <v>0</v>
      </c>
      <c r="D21" s="836">
        <v>0</v>
      </c>
      <c r="E21" s="889">
        <v>0</v>
      </c>
      <c r="F21" s="835">
        <v>0</v>
      </c>
      <c r="G21" s="837">
        <v>0</v>
      </c>
      <c r="H21" s="888">
        <v>383</v>
      </c>
      <c r="I21" s="835">
        <v>408</v>
      </c>
      <c r="J21" s="836">
        <f t="shared" si="3"/>
        <v>-25</v>
      </c>
      <c r="K21" s="889">
        <f t="shared" si="4"/>
        <v>383</v>
      </c>
      <c r="L21" s="834">
        <f t="shared" si="4"/>
        <v>408</v>
      </c>
      <c r="M21" s="835">
        <f t="shared" si="5"/>
        <v>-25</v>
      </c>
      <c r="N21" s="912">
        <f t="shared" si="0"/>
        <v>106.52741514360314</v>
      </c>
    </row>
    <row r="22" spans="1:14" ht="18.75" customHeight="1">
      <c r="A22" s="1434" t="s">
        <v>903</v>
      </c>
      <c r="B22" s="888">
        <v>0</v>
      </c>
      <c r="C22" s="835">
        <v>0</v>
      </c>
      <c r="D22" s="836">
        <v>0</v>
      </c>
      <c r="E22" s="889">
        <v>0</v>
      </c>
      <c r="F22" s="835">
        <v>0</v>
      </c>
      <c r="G22" s="837">
        <v>0</v>
      </c>
      <c r="H22" s="888">
        <v>463</v>
      </c>
      <c r="I22" s="835">
        <v>693</v>
      </c>
      <c r="J22" s="836">
        <f t="shared" si="3"/>
        <v>-230</v>
      </c>
      <c r="K22" s="889">
        <f t="shared" si="4"/>
        <v>463</v>
      </c>
      <c r="L22" s="834">
        <f t="shared" si="4"/>
        <v>693</v>
      </c>
      <c r="M22" s="835">
        <f t="shared" si="5"/>
        <v>-230</v>
      </c>
      <c r="N22" s="912">
        <f t="shared" si="0"/>
        <v>149.67602591792655</v>
      </c>
    </row>
    <row r="23" spans="1:14" ht="18.75" customHeight="1">
      <c r="A23" s="1434" t="s">
        <v>902</v>
      </c>
      <c r="B23" s="888">
        <v>0</v>
      </c>
      <c r="C23" s="835">
        <v>0</v>
      </c>
      <c r="D23" s="836">
        <v>0</v>
      </c>
      <c r="E23" s="889">
        <v>0</v>
      </c>
      <c r="F23" s="835">
        <v>0</v>
      </c>
      <c r="G23" s="837">
        <v>0</v>
      </c>
      <c r="H23" s="888">
        <v>1533</v>
      </c>
      <c r="I23" s="835">
        <v>2071</v>
      </c>
      <c r="J23" s="836">
        <f t="shared" si="3"/>
        <v>-538</v>
      </c>
      <c r="K23" s="889">
        <f t="shared" si="4"/>
        <v>1533</v>
      </c>
      <c r="L23" s="834">
        <f t="shared" si="4"/>
        <v>2071</v>
      </c>
      <c r="M23" s="835">
        <f t="shared" si="5"/>
        <v>-538</v>
      </c>
      <c r="N23" s="912">
        <f t="shared" si="0"/>
        <v>135.09458577951727</v>
      </c>
    </row>
    <row r="24" spans="1:14" ht="18.75" customHeight="1" thickBot="1">
      <c r="A24" s="1434" t="s">
        <v>901</v>
      </c>
      <c r="B24" s="892">
        <v>0</v>
      </c>
      <c r="C24" s="843">
        <v>0</v>
      </c>
      <c r="D24" s="845">
        <v>0</v>
      </c>
      <c r="E24" s="893">
        <v>0</v>
      </c>
      <c r="F24" s="843">
        <v>0</v>
      </c>
      <c r="G24" s="844">
        <v>0</v>
      </c>
      <c r="H24" s="892">
        <v>2232</v>
      </c>
      <c r="I24" s="843">
        <v>2372</v>
      </c>
      <c r="J24" s="845">
        <f t="shared" si="3"/>
        <v>-140</v>
      </c>
      <c r="K24" s="893">
        <f t="shared" si="4"/>
        <v>2232</v>
      </c>
      <c r="L24" s="842">
        <f t="shared" si="4"/>
        <v>2372</v>
      </c>
      <c r="M24" s="843">
        <f t="shared" si="5"/>
        <v>-140</v>
      </c>
      <c r="N24" s="913">
        <f t="shared" si="0"/>
        <v>106.27240143369175</v>
      </c>
    </row>
    <row r="25" spans="1:14" s="172" customFormat="1" ht="22.5" customHeight="1" thickBot="1">
      <c r="A25" s="897" t="s">
        <v>2528</v>
      </c>
      <c r="B25" s="914">
        <f aca="true" t="shared" si="6" ref="B25:G25">SUM(B17:B24)</f>
        <v>0</v>
      </c>
      <c r="C25" s="915">
        <f t="shared" si="6"/>
        <v>0</v>
      </c>
      <c r="D25" s="916">
        <f t="shared" si="6"/>
        <v>0</v>
      </c>
      <c r="E25" s="917">
        <f t="shared" si="6"/>
        <v>0</v>
      </c>
      <c r="F25" s="915">
        <f t="shared" si="6"/>
        <v>0</v>
      </c>
      <c r="G25" s="918">
        <f t="shared" si="6"/>
        <v>0</v>
      </c>
      <c r="H25" s="914">
        <f aca="true" t="shared" si="7" ref="H25:M25">SUM(H17:H24)</f>
        <v>10579</v>
      </c>
      <c r="I25" s="915">
        <f t="shared" si="7"/>
        <v>12527</v>
      </c>
      <c r="J25" s="916">
        <f t="shared" si="7"/>
        <v>-1948</v>
      </c>
      <c r="K25" s="917">
        <f t="shared" si="7"/>
        <v>10579</v>
      </c>
      <c r="L25" s="915">
        <f t="shared" si="7"/>
        <v>12527</v>
      </c>
      <c r="M25" s="915">
        <f t="shared" si="7"/>
        <v>-1948</v>
      </c>
      <c r="N25" s="919">
        <f t="shared" si="0"/>
        <v>118.41383873712071</v>
      </c>
    </row>
    <row r="26" spans="1:14" ht="18.75" customHeight="1">
      <c r="A26" s="920" t="s">
        <v>2529</v>
      </c>
      <c r="B26" s="921">
        <v>14642</v>
      </c>
      <c r="C26" s="922">
        <v>15478</v>
      </c>
      <c r="D26" s="923">
        <f aca="true" t="shared" si="8" ref="D26:D33">B26-C26</f>
        <v>-836</v>
      </c>
      <c r="E26" s="924">
        <v>12057</v>
      </c>
      <c r="F26" s="922">
        <v>12745</v>
      </c>
      <c r="G26" s="925">
        <f aca="true" t="shared" si="9" ref="G26:G33">E26-F26</f>
        <v>-688</v>
      </c>
      <c r="H26" s="921">
        <v>1409</v>
      </c>
      <c r="I26" s="922">
        <v>30094</v>
      </c>
      <c r="J26" s="926">
        <f aca="true" t="shared" si="10" ref="J26:J33">H26-I26</f>
        <v>-28685</v>
      </c>
      <c r="K26" s="924">
        <f aca="true" t="shared" si="11" ref="K26:K33">B26+H26</f>
        <v>16051</v>
      </c>
      <c r="L26" s="927">
        <f aca="true" t="shared" si="12" ref="L26:L33">SUM(C26+I26)</f>
        <v>45572</v>
      </c>
      <c r="M26" s="922">
        <f aca="true" t="shared" si="13" ref="M26:M33">K26-L26</f>
        <v>-29521</v>
      </c>
      <c r="N26" s="928">
        <f t="shared" si="0"/>
        <v>283.9200049841131</v>
      </c>
    </row>
    <row r="27" spans="1:14" ht="18.75" customHeight="1">
      <c r="A27" s="887" t="s">
        <v>2530</v>
      </c>
      <c r="B27" s="888">
        <v>10553</v>
      </c>
      <c r="C27" s="835">
        <v>11656</v>
      </c>
      <c r="D27" s="836">
        <f t="shared" si="8"/>
        <v>-1103</v>
      </c>
      <c r="E27" s="889">
        <v>8691</v>
      </c>
      <c r="F27" s="835">
        <v>9598</v>
      </c>
      <c r="G27" s="837">
        <f t="shared" si="9"/>
        <v>-907</v>
      </c>
      <c r="H27" s="888">
        <v>555</v>
      </c>
      <c r="I27" s="835">
        <v>1249</v>
      </c>
      <c r="J27" s="890">
        <f t="shared" si="10"/>
        <v>-694</v>
      </c>
      <c r="K27" s="889">
        <f t="shared" si="11"/>
        <v>11108</v>
      </c>
      <c r="L27" s="834">
        <f t="shared" si="12"/>
        <v>12905</v>
      </c>
      <c r="M27" s="835">
        <f t="shared" si="13"/>
        <v>-1797</v>
      </c>
      <c r="N27" s="838">
        <f t="shared" si="0"/>
        <v>116.17752970831833</v>
      </c>
    </row>
    <row r="28" spans="1:14" ht="18.75" customHeight="1">
      <c r="A28" s="887" t="s">
        <v>1078</v>
      </c>
      <c r="B28" s="888">
        <v>15517</v>
      </c>
      <c r="C28" s="835">
        <v>16916</v>
      </c>
      <c r="D28" s="836">
        <f t="shared" si="8"/>
        <v>-1399</v>
      </c>
      <c r="E28" s="889">
        <v>12805</v>
      </c>
      <c r="F28" s="835">
        <v>13930</v>
      </c>
      <c r="G28" s="837">
        <f t="shared" si="9"/>
        <v>-1125</v>
      </c>
      <c r="H28" s="888">
        <v>1841</v>
      </c>
      <c r="I28" s="835">
        <v>2032</v>
      </c>
      <c r="J28" s="890">
        <f t="shared" si="10"/>
        <v>-191</v>
      </c>
      <c r="K28" s="889">
        <f t="shared" si="11"/>
        <v>17358</v>
      </c>
      <c r="L28" s="834">
        <f t="shared" si="12"/>
        <v>18948</v>
      </c>
      <c r="M28" s="835">
        <f t="shared" si="13"/>
        <v>-1590</v>
      </c>
      <c r="N28" s="838">
        <f t="shared" si="0"/>
        <v>109.16004147943312</v>
      </c>
    </row>
    <row r="29" spans="1:14" ht="18.75" customHeight="1">
      <c r="A29" s="887" t="s">
        <v>2531</v>
      </c>
      <c r="B29" s="888">
        <v>4214</v>
      </c>
      <c r="C29" s="835">
        <v>4521</v>
      </c>
      <c r="D29" s="836">
        <f t="shared" si="8"/>
        <v>-307</v>
      </c>
      <c r="E29" s="889">
        <v>3470</v>
      </c>
      <c r="F29" s="835">
        <v>3723</v>
      </c>
      <c r="G29" s="837">
        <f t="shared" si="9"/>
        <v>-253</v>
      </c>
      <c r="H29" s="888">
        <v>125</v>
      </c>
      <c r="I29" s="835">
        <v>133</v>
      </c>
      <c r="J29" s="890">
        <f t="shared" si="10"/>
        <v>-8</v>
      </c>
      <c r="K29" s="889">
        <f t="shared" si="11"/>
        <v>4339</v>
      </c>
      <c r="L29" s="834">
        <f t="shared" si="12"/>
        <v>4654</v>
      </c>
      <c r="M29" s="835">
        <f t="shared" si="13"/>
        <v>-315</v>
      </c>
      <c r="N29" s="838">
        <f t="shared" si="0"/>
        <v>107.2597372666513</v>
      </c>
    </row>
    <row r="30" spans="1:14" ht="18.75" customHeight="1">
      <c r="A30" s="887" t="s">
        <v>2532</v>
      </c>
      <c r="B30" s="888">
        <v>4536</v>
      </c>
      <c r="C30" s="835">
        <v>4953</v>
      </c>
      <c r="D30" s="836">
        <f t="shared" si="8"/>
        <v>-417</v>
      </c>
      <c r="E30" s="889">
        <v>3736</v>
      </c>
      <c r="F30" s="835">
        <v>4079</v>
      </c>
      <c r="G30" s="837">
        <f t="shared" si="9"/>
        <v>-343</v>
      </c>
      <c r="H30" s="888">
        <v>241</v>
      </c>
      <c r="I30" s="835">
        <v>1210</v>
      </c>
      <c r="J30" s="890">
        <f t="shared" si="10"/>
        <v>-969</v>
      </c>
      <c r="K30" s="889">
        <f t="shared" si="11"/>
        <v>4777</v>
      </c>
      <c r="L30" s="834">
        <f t="shared" si="12"/>
        <v>6163</v>
      </c>
      <c r="M30" s="835">
        <f t="shared" si="13"/>
        <v>-1386</v>
      </c>
      <c r="N30" s="838">
        <f t="shared" si="0"/>
        <v>129.01402553904123</v>
      </c>
    </row>
    <row r="31" spans="1:14" ht="18.75" customHeight="1">
      <c r="A31" s="887" t="s">
        <v>1081</v>
      </c>
      <c r="B31" s="888">
        <v>2468</v>
      </c>
      <c r="C31" s="835">
        <v>2707</v>
      </c>
      <c r="D31" s="836">
        <f t="shared" si="8"/>
        <v>-239</v>
      </c>
      <c r="E31" s="889">
        <v>2033</v>
      </c>
      <c r="F31" s="835">
        <v>2229</v>
      </c>
      <c r="G31" s="837">
        <f t="shared" si="9"/>
        <v>-196</v>
      </c>
      <c r="H31" s="888">
        <v>66</v>
      </c>
      <c r="I31" s="835">
        <v>113</v>
      </c>
      <c r="J31" s="890">
        <f t="shared" si="10"/>
        <v>-47</v>
      </c>
      <c r="K31" s="889">
        <f t="shared" si="11"/>
        <v>2534</v>
      </c>
      <c r="L31" s="834">
        <f t="shared" si="12"/>
        <v>2820</v>
      </c>
      <c r="M31" s="835">
        <f t="shared" si="13"/>
        <v>-286</v>
      </c>
      <c r="N31" s="838">
        <f t="shared" si="0"/>
        <v>111.28650355169692</v>
      </c>
    </row>
    <row r="32" spans="1:14" ht="18.75" customHeight="1">
      <c r="A32" s="887" t="s">
        <v>1041</v>
      </c>
      <c r="B32" s="888">
        <v>4562</v>
      </c>
      <c r="C32" s="835">
        <v>4852</v>
      </c>
      <c r="D32" s="836">
        <f t="shared" si="8"/>
        <v>-290</v>
      </c>
      <c r="E32" s="889">
        <v>3731</v>
      </c>
      <c r="F32" s="835">
        <v>3995</v>
      </c>
      <c r="G32" s="837">
        <f t="shared" si="9"/>
        <v>-264</v>
      </c>
      <c r="H32" s="888">
        <v>6490</v>
      </c>
      <c r="I32" s="835">
        <v>11482</v>
      </c>
      <c r="J32" s="890">
        <f t="shared" si="10"/>
        <v>-4992</v>
      </c>
      <c r="K32" s="889">
        <f t="shared" si="11"/>
        <v>11052</v>
      </c>
      <c r="L32" s="834">
        <f t="shared" si="12"/>
        <v>16334</v>
      </c>
      <c r="M32" s="835">
        <f t="shared" si="13"/>
        <v>-5282</v>
      </c>
      <c r="N32" s="838">
        <f t="shared" si="0"/>
        <v>147.79225479551212</v>
      </c>
    </row>
    <row r="33" spans="1:14" ht="18.75" customHeight="1" thickBot="1">
      <c r="A33" s="891" t="s">
        <v>177</v>
      </c>
      <c r="B33" s="892">
        <v>0</v>
      </c>
      <c r="C33" s="843">
        <v>0</v>
      </c>
      <c r="D33" s="845">
        <f t="shared" si="8"/>
        <v>0</v>
      </c>
      <c r="E33" s="893">
        <v>0</v>
      </c>
      <c r="F33" s="843">
        <v>0</v>
      </c>
      <c r="G33" s="844">
        <f t="shared" si="9"/>
        <v>0</v>
      </c>
      <c r="H33" s="892">
        <v>423</v>
      </c>
      <c r="I33" s="843">
        <v>546</v>
      </c>
      <c r="J33" s="895">
        <f t="shared" si="10"/>
        <v>-123</v>
      </c>
      <c r="K33" s="893">
        <f t="shared" si="11"/>
        <v>423</v>
      </c>
      <c r="L33" s="842">
        <f t="shared" si="12"/>
        <v>546</v>
      </c>
      <c r="M33" s="843">
        <f t="shared" si="13"/>
        <v>-123</v>
      </c>
      <c r="N33" s="896">
        <f t="shared" si="0"/>
        <v>129.07801418439718</v>
      </c>
    </row>
    <row r="34" spans="1:14" ht="22.5" customHeight="1" thickBot="1">
      <c r="A34" s="897" t="s">
        <v>2533</v>
      </c>
      <c r="B34" s="898">
        <f aca="true" t="shared" si="14" ref="B34:M34">SUM(B26:B33)</f>
        <v>56492</v>
      </c>
      <c r="C34" s="899">
        <f t="shared" si="14"/>
        <v>61083</v>
      </c>
      <c r="D34" s="900">
        <f t="shared" si="14"/>
        <v>-4591</v>
      </c>
      <c r="E34" s="901">
        <f t="shared" si="14"/>
        <v>46523</v>
      </c>
      <c r="F34" s="899">
        <f t="shared" si="14"/>
        <v>50299</v>
      </c>
      <c r="G34" s="902">
        <f t="shared" si="14"/>
        <v>-3776</v>
      </c>
      <c r="H34" s="898">
        <f t="shared" si="14"/>
        <v>11150</v>
      </c>
      <c r="I34" s="899">
        <f t="shared" si="14"/>
        <v>46859</v>
      </c>
      <c r="J34" s="929">
        <f t="shared" si="14"/>
        <v>-35709</v>
      </c>
      <c r="K34" s="901">
        <f t="shared" si="14"/>
        <v>67642</v>
      </c>
      <c r="L34" s="899">
        <f t="shared" si="14"/>
        <v>107942</v>
      </c>
      <c r="M34" s="899">
        <f t="shared" si="14"/>
        <v>-40300</v>
      </c>
      <c r="N34" s="903">
        <f t="shared" si="0"/>
        <v>159.57836846929422</v>
      </c>
    </row>
    <row r="35" spans="1:14" s="172" customFormat="1" ht="22.5" customHeight="1" thickBot="1">
      <c r="A35" s="897" t="s">
        <v>54</v>
      </c>
      <c r="B35" s="914">
        <v>0</v>
      </c>
      <c r="C35" s="930">
        <v>0</v>
      </c>
      <c r="D35" s="931">
        <f>B35-C35</f>
        <v>0</v>
      </c>
      <c r="E35" s="917">
        <v>0</v>
      </c>
      <c r="F35" s="930">
        <v>0</v>
      </c>
      <c r="G35" s="932">
        <f>E35-F35</f>
        <v>0</v>
      </c>
      <c r="H35" s="914">
        <v>24661</v>
      </c>
      <c r="I35" s="930">
        <v>38545</v>
      </c>
      <c r="J35" s="933">
        <f>H35-I35</f>
        <v>-13884</v>
      </c>
      <c r="K35" s="917">
        <f>B35+H35</f>
        <v>24661</v>
      </c>
      <c r="L35" s="915">
        <f>SUM(C35+I35)</f>
        <v>38545</v>
      </c>
      <c r="M35" s="930">
        <f>K35-L35</f>
        <v>-13884</v>
      </c>
      <c r="N35" s="934">
        <f t="shared" si="0"/>
        <v>156.29942013705852</v>
      </c>
    </row>
    <row r="36" spans="1:14" s="818" customFormat="1" ht="27.75" customHeight="1" thickBot="1">
      <c r="A36" s="935" t="s">
        <v>567</v>
      </c>
      <c r="B36" s="936">
        <f aca="true" t="shared" si="15" ref="B36:M36">SUM(B9+B12+B16+B25+B34+B35)</f>
        <v>7109338</v>
      </c>
      <c r="C36" s="936">
        <f t="shared" si="15"/>
        <v>7003512</v>
      </c>
      <c r="D36" s="936">
        <f t="shared" si="15"/>
        <v>105826</v>
      </c>
      <c r="E36" s="936">
        <f t="shared" si="15"/>
        <v>5854749</v>
      </c>
      <c r="F36" s="936">
        <f t="shared" si="15"/>
        <v>5766971</v>
      </c>
      <c r="G36" s="937">
        <f t="shared" si="15"/>
        <v>87778</v>
      </c>
      <c r="H36" s="937">
        <f t="shared" si="15"/>
        <v>1260138</v>
      </c>
      <c r="I36" s="937">
        <f t="shared" si="15"/>
        <v>2126084</v>
      </c>
      <c r="J36" s="938">
        <f t="shared" si="15"/>
        <v>-865946</v>
      </c>
      <c r="K36" s="936">
        <f t="shared" si="15"/>
        <v>8369476</v>
      </c>
      <c r="L36" s="936">
        <f t="shared" si="15"/>
        <v>9129596</v>
      </c>
      <c r="M36" s="936">
        <f t="shared" si="15"/>
        <v>-760120</v>
      </c>
      <c r="N36" s="939">
        <f t="shared" si="0"/>
        <v>109.0820500590479</v>
      </c>
    </row>
    <row r="37" spans="1:14" ht="13.5" thickTop="1">
      <c r="A37" s="940"/>
      <c r="B37" s="941"/>
      <c r="C37" s="942"/>
      <c r="D37" s="942"/>
      <c r="E37" s="941"/>
      <c r="F37" s="942"/>
      <c r="G37" s="942"/>
      <c r="H37" s="941"/>
      <c r="I37" s="942"/>
      <c r="J37" s="942"/>
      <c r="K37" s="941"/>
      <c r="L37" s="941"/>
      <c r="M37" s="941"/>
      <c r="N37" s="943"/>
    </row>
    <row r="38" spans="1:14" ht="12.75">
      <c r="A38" s="940"/>
      <c r="B38" s="941"/>
      <c r="C38" s="942"/>
      <c r="D38" s="942"/>
      <c r="E38" s="941"/>
      <c r="F38" s="942"/>
      <c r="G38" s="942"/>
      <c r="H38" s="941"/>
      <c r="I38" s="942"/>
      <c r="J38" s="942"/>
      <c r="K38" s="941"/>
      <c r="L38" s="941"/>
      <c r="M38" s="941"/>
      <c r="N38" s="943"/>
    </row>
    <row r="39" spans="1:34" s="865" customFormat="1" ht="14.25">
      <c r="A39" s="944" t="s">
        <v>2534</v>
      </c>
      <c r="C39" s="944"/>
      <c r="D39" s="944"/>
      <c r="E39" s="944"/>
      <c r="F39" s="944"/>
      <c r="H39" s="945" t="s">
        <v>2535</v>
      </c>
      <c r="J39" s="945"/>
      <c r="K39" s="945"/>
      <c r="L39" s="945"/>
      <c r="M39" s="1440" t="s">
        <v>912</v>
      </c>
      <c r="N39" s="1440"/>
      <c r="O39" s="945"/>
      <c r="P39" s="945"/>
      <c r="Q39" s="945"/>
      <c r="R39" s="945"/>
      <c r="AG39" s="946"/>
      <c r="AH39" s="946"/>
    </row>
    <row r="41" ht="12.75">
      <c r="A41" s="857"/>
    </row>
    <row r="42" ht="12.75">
      <c r="H42" s="947"/>
    </row>
  </sheetData>
  <mergeCells count="4">
    <mergeCell ref="A3:N3"/>
    <mergeCell ref="A6:A7"/>
    <mergeCell ref="K6:N6"/>
    <mergeCell ref="M39:N39"/>
  </mergeCells>
  <printOptions horizontalCentered="1"/>
  <pageMargins left="0.5905511811023623" right="0.5905511811023623" top="0.984251968503937" bottom="0.7874015748031497" header="0.7086614173228347" footer="0.5118110236220472"/>
  <pageSetup fitToHeight="1" fitToWidth="1" horizontalDpi="600" verticalDpi="600" orientation="landscape" paperSize="9" scale="64" r:id="rId1"/>
  <headerFooter alignWithMargins="0">
    <oddFooter>&amp;C&amp;12&amp;P+92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7">
      <selection activeCell="A30" sqref="A30"/>
    </sheetView>
  </sheetViews>
  <sheetFormatPr defaultColWidth="9.00390625" defaultRowHeight="12.75"/>
  <cols>
    <col min="1" max="1" width="44.625" style="311" customWidth="1"/>
    <col min="2" max="2" width="18.00390625" style="546" customWidth="1"/>
    <col min="3" max="3" width="18.125" style="311" customWidth="1"/>
    <col min="4" max="4" width="9.75390625" style="311" customWidth="1"/>
    <col min="5" max="5" width="18.125" style="311" customWidth="1"/>
    <col min="6" max="6" width="9.75390625" style="311" customWidth="1"/>
    <col min="7" max="7" width="18.125" style="311" customWidth="1"/>
    <col min="8" max="8" width="9.75390625" style="311" customWidth="1"/>
    <col min="9" max="9" width="18.125" style="311" customWidth="1"/>
    <col min="10" max="10" width="9.75390625" style="311" customWidth="1"/>
    <col min="11" max="16384" width="9.125" style="311" customWidth="1"/>
  </cols>
  <sheetData>
    <row r="1" spans="1:10" ht="15.75">
      <c r="A1" s="406" t="s">
        <v>1063</v>
      </c>
      <c r="I1" s="1505" t="s">
        <v>1371</v>
      </c>
      <c r="J1" s="1505"/>
    </row>
    <row r="2" spans="1:10" ht="15.75">
      <c r="A2" s="406"/>
      <c r="I2" s="420"/>
      <c r="J2" s="420"/>
    </row>
    <row r="3" spans="1:10" ht="18">
      <c r="A3" s="1504" t="s">
        <v>854</v>
      </c>
      <c r="B3" s="1504"/>
      <c r="C3" s="1504"/>
      <c r="D3" s="1504"/>
      <c r="E3" s="1504"/>
      <c r="F3" s="1504"/>
      <c r="G3" s="1504"/>
      <c r="H3" s="1504"/>
      <c r="I3" s="1504"/>
      <c r="J3" s="1504"/>
    </row>
    <row r="4" spans="1:3" ht="18">
      <c r="A4" s="547"/>
      <c r="B4" s="548"/>
      <c r="C4" s="308"/>
    </row>
    <row r="5" spans="1:10" ht="18.75" thickBot="1">
      <c r="A5" s="547"/>
      <c r="J5" s="421" t="s">
        <v>1037</v>
      </c>
    </row>
    <row r="6" spans="1:10" ht="19.5" customHeight="1" thickBot="1">
      <c r="A6" s="549"/>
      <c r="B6" s="550" t="s">
        <v>855</v>
      </c>
      <c r="C6" s="551"/>
      <c r="D6" s="551"/>
      <c r="E6" s="551" t="s">
        <v>856</v>
      </c>
      <c r="F6" s="551"/>
      <c r="G6" s="551"/>
      <c r="H6" s="551"/>
      <c r="I6" s="551"/>
      <c r="J6" s="552"/>
    </row>
    <row r="7" spans="1:10" ht="13.5" thickBot="1">
      <c r="A7" s="553"/>
      <c r="B7" s="554" t="s">
        <v>857</v>
      </c>
      <c r="C7" s="555" t="s">
        <v>858</v>
      </c>
      <c r="D7" s="556"/>
      <c r="E7" s="555" t="s">
        <v>859</v>
      </c>
      <c r="F7" s="556"/>
      <c r="G7" s="555" t="s">
        <v>860</v>
      </c>
      <c r="H7" s="556"/>
      <c r="I7" s="555" t="s">
        <v>861</v>
      </c>
      <c r="J7" s="556"/>
    </row>
    <row r="8" spans="1:10" ht="13.5" thickBot="1">
      <c r="A8" s="557" t="s">
        <v>862</v>
      </c>
      <c r="B8" s="558"/>
      <c r="C8" s="559" t="s">
        <v>1074</v>
      </c>
      <c r="D8" s="559" t="s">
        <v>863</v>
      </c>
      <c r="E8" s="559" t="s">
        <v>1074</v>
      </c>
      <c r="F8" s="559" t="s">
        <v>864</v>
      </c>
      <c r="G8" s="560" t="s">
        <v>1074</v>
      </c>
      <c r="H8" s="559" t="s">
        <v>864</v>
      </c>
      <c r="I8" s="560" t="s">
        <v>1074</v>
      </c>
      <c r="J8" s="559" t="s">
        <v>864</v>
      </c>
    </row>
    <row r="9" spans="1:10" ht="13.5" hidden="1" thickBot="1">
      <c r="A9" s="561" t="s">
        <v>865</v>
      </c>
      <c r="B9" s="562">
        <v>34088529</v>
      </c>
      <c r="C9" s="563">
        <v>5587730</v>
      </c>
      <c r="D9" s="564">
        <f aca="true" t="shared" si="0" ref="D9:D42">C9*100/B9</f>
        <v>16.39181907790741</v>
      </c>
      <c r="E9" s="565">
        <f>13624114-C9</f>
        <v>8036384</v>
      </c>
      <c r="F9" s="566">
        <f aca="true" t="shared" si="1" ref="F9:F45">E9*100/B9</f>
        <v>23.575038981588204</v>
      </c>
      <c r="G9" s="565">
        <f>21548919-E9-C9</f>
        <v>7924805</v>
      </c>
      <c r="H9" s="566">
        <f aca="true" t="shared" si="2" ref="H9:H42">G9*100/B9</f>
        <v>23.247717729327658</v>
      </c>
      <c r="I9" s="565">
        <f>B9-C9-E9-G9</f>
        <v>12539610</v>
      </c>
      <c r="J9" s="566">
        <f>I9*100/B9</f>
        <v>36.785424211176725</v>
      </c>
    </row>
    <row r="10" spans="1:10" ht="13.5" hidden="1" thickBot="1">
      <c r="A10" s="567" t="s">
        <v>866</v>
      </c>
      <c r="B10" s="568">
        <v>709557</v>
      </c>
      <c r="C10" s="569">
        <v>112993</v>
      </c>
      <c r="D10" s="570">
        <f t="shared" si="0"/>
        <v>15.924442997532264</v>
      </c>
      <c r="E10" s="571">
        <f>283774-C10</f>
        <v>170781</v>
      </c>
      <c r="F10" s="572">
        <f t="shared" si="1"/>
        <v>24.06867947183947</v>
      </c>
      <c r="G10" s="571">
        <f>413353-E10-C10</f>
        <v>129579</v>
      </c>
      <c r="H10" s="572">
        <f t="shared" si="2"/>
        <v>18.26195781311438</v>
      </c>
      <c r="I10" s="571">
        <f>B10-C10-E10-G10</f>
        <v>296204</v>
      </c>
      <c r="J10" s="572">
        <f aca="true" t="shared" si="3" ref="J10:J45">I10*100/B10</f>
        <v>41.74491971751389</v>
      </c>
    </row>
    <row r="11" spans="1:10" s="613" customFormat="1" ht="13.5" thickBot="1">
      <c r="A11" s="573" t="s">
        <v>865</v>
      </c>
      <c r="B11" s="609">
        <f>SUM(B9:B10)</f>
        <v>34798086</v>
      </c>
      <c r="C11" s="610">
        <f>SUM(C9:C10)</f>
        <v>5700723</v>
      </c>
      <c r="D11" s="611">
        <f t="shared" si="0"/>
        <v>16.382288956927113</v>
      </c>
      <c r="E11" s="609">
        <f>SUM(E9:E10)</f>
        <v>8207165</v>
      </c>
      <c r="F11" s="612">
        <f t="shared" si="1"/>
        <v>23.585104652020227</v>
      </c>
      <c r="G11" s="609">
        <f>SUM(G9:G10)</f>
        <v>8054384</v>
      </c>
      <c r="H11" s="612">
        <f t="shared" si="2"/>
        <v>23.146054642200724</v>
      </c>
      <c r="I11" s="609">
        <f>SUM(I9:I10)</f>
        <v>12835814</v>
      </c>
      <c r="J11" s="612">
        <f t="shared" si="3"/>
        <v>36.886551748851936</v>
      </c>
    </row>
    <row r="12" spans="1:10" ht="12.75">
      <c r="A12" s="574" t="s">
        <v>867</v>
      </c>
      <c r="B12" s="575">
        <f>11550228+18678</f>
        <v>11568906</v>
      </c>
      <c r="C12" s="576">
        <f>1993675+C13</f>
        <v>1993675</v>
      </c>
      <c r="D12" s="577">
        <f t="shared" si="0"/>
        <v>17.233046927687028</v>
      </c>
      <c r="E12" s="578">
        <f>4677787+E13-C12</f>
        <v>2684112</v>
      </c>
      <c r="F12" s="579">
        <f t="shared" si="1"/>
        <v>23.20108746669737</v>
      </c>
      <c r="G12" s="578">
        <f>7129278+2920+G13-E12-C12</f>
        <v>2454411</v>
      </c>
      <c r="H12" s="579">
        <f t="shared" si="2"/>
        <v>21.215584256627203</v>
      </c>
      <c r="I12" s="578">
        <f>B12-C12-E12-G12</f>
        <v>4436708</v>
      </c>
      <c r="J12" s="579">
        <f t="shared" si="3"/>
        <v>38.3502813489884</v>
      </c>
    </row>
    <row r="13" spans="1:10" ht="12.75" hidden="1">
      <c r="A13" s="567" t="s">
        <v>868</v>
      </c>
      <c r="B13" s="568">
        <f>18678-18678</f>
        <v>0</v>
      </c>
      <c r="C13" s="569">
        <v>0</v>
      </c>
      <c r="D13" s="577" t="e">
        <f t="shared" si="0"/>
        <v>#DIV/0!</v>
      </c>
      <c r="E13" s="571">
        <f>0-C13</f>
        <v>0</v>
      </c>
      <c r="F13" s="579" t="e">
        <f t="shared" si="1"/>
        <v>#DIV/0!</v>
      </c>
      <c r="G13" s="571">
        <f>2920-2920-E13-C13</f>
        <v>0</v>
      </c>
      <c r="H13" s="579" t="e">
        <f t="shared" si="2"/>
        <v>#DIV/0!</v>
      </c>
      <c r="I13" s="578">
        <f>B13-C13-E13-G13</f>
        <v>0</v>
      </c>
      <c r="J13" s="579" t="e">
        <f t="shared" si="3"/>
        <v>#DIV/0!</v>
      </c>
    </row>
    <row r="14" spans="1:10" ht="13.5" thickBot="1">
      <c r="A14" s="567" t="s">
        <v>1357</v>
      </c>
      <c r="B14" s="580">
        <v>206024</v>
      </c>
      <c r="C14" s="581">
        <v>27417</v>
      </c>
      <c r="D14" s="570">
        <f t="shared" si="0"/>
        <v>13.307672892478546</v>
      </c>
      <c r="E14" s="582">
        <f>79957-C14</f>
        <v>52540</v>
      </c>
      <c r="F14" s="572">
        <f t="shared" si="1"/>
        <v>25.501883275734865</v>
      </c>
      <c r="G14" s="582">
        <f>136594-E14-C14</f>
        <v>56637</v>
      </c>
      <c r="H14" s="572">
        <f t="shared" si="2"/>
        <v>27.490486545256864</v>
      </c>
      <c r="I14" s="571">
        <f>B14-C14-E14-G14</f>
        <v>69430</v>
      </c>
      <c r="J14" s="572">
        <f t="shared" si="3"/>
        <v>33.699957286529724</v>
      </c>
    </row>
    <row r="15" spans="1:10" s="613" customFormat="1" ht="13.5" thickBot="1">
      <c r="A15" s="573" t="s">
        <v>869</v>
      </c>
      <c r="B15" s="609">
        <f>SUM(B12:B14)</f>
        <v>11774930</v>
      </c>
      <c r="C15" s="610">
        <f>SUM(C12:C14)</f>
        <v>2021092</v>
      </c>
      <c r="D15" s="611">
        <f t="shared" si="0"/>
        <v>17.164365308328797</v>
      </c>
      <c r="E15" s="614">
        <f>SUM(E12:E14)</f>
        <v>2736652</v>
      </c>
      <c r="F15" s="612">
        <f t="shared" si="1"/>
        <v>23.24134410990129</v>
      </c>
      <c r="G15" s="614">
        <f>SUM(G12:G14)</f>
        <v>2511048</v>
      </c>
      <c r="H15" s="612">
        <f t="shared" si="2"/>
        <v>21.325375182697478</v>
      </c>
      <c r="I15" s="614">
        <f>SUM(I12:I14)</f>
        <v>4506138</v>
      </c>
      <c r="J15" s="612">
        <f t="shared" si="3"/>
        <v>38.268915399072434</v>
      </c>
    </row>
    <row r="16" spans="1:10" ht="12.75">
      <c r="A16" s="574" t="s">
        <v>870</v>
      </c>
      <c r="B16" s="568">
        <v>1133605</v>
      </c>
      <c r="C16" s="569">
        <v>118341</v>
      </c>
      <c r="D16" s="577">
        <f t="shared" si="0"/>
        <v>10.439350567437511</v>
      </c>
      <c r="E16" s="571">
        <f>326010-C16</f>
        <v>207669</v>
      </c>
      <c r="F16" s="579">
        <f t="shared" si="1"/>
        <v>18.31934403959051</v>
      </c>
      <c r="G16" s="571">
        <f>657383-E16-C16</f>
        <v>331373</v>
      </c>
      <c r="H16" s="579">
        <f t="shared" si="2"/>
        <v>29.231787086330776</v>
      </c>
      <c r="I16" s="578">
        <f aca="true" t="shared" si="4" ref="I16:I36">B16-C16-E16-G16</f>
        <v>476222</v>
      </c>
      <c r="J16" s="579">
        <f t="shared" si="3"/>
        <v>42.009518306641205</v>
      </c>
    </row>
    <row r="17" spans="1:10" ht="12.75">
      <c r="A17" s="583" t="s">
        <v>871</v>
      </c>
      <c r="B17" s="580">
        <v>7217276</v>
      </c>
      <c r="C17" s="581">
        <v>1031316</v>
      </c>
      <c r="D17" s="584">
        <f t="shared" si="0"/>
        <v>14.28954636070451</v>
      </c>
      <c r="E17" s="582">
        <f>2578942-C17</f>
        <v>1547626</v>
      </c>
      <c r="F17" s="566">
        <f t="shared" si="1"/>
        <v>21.443353420320907</v>
      </c>
      <c r="G17" s="582">
        <f>4221384-E17-C17</f>
        <v>1642442</v>
      </c>
      <c r="H17" s="566">
        <f t="shared" si="2"/>
        <v>22.75709007110162</v>
      </c>
      <c r="I17" s="578">
        <f t="shared" si="4"/>
        <v>2995892</v>
      </c>
      <c r="J17" s="566">
        <f t="shared" si="3"/>
        <v>41.51001014787296</v>
      </c>
    </row>
    <row r="18" spans="1:10" ht="13.5" thickBot="1">
      <c r="A18" s="567" t="s">
        <v>2107</v>
      </c>
      <c r="B18" s="580">
        <v>29635</v>
      </c>
      <c r="C18" s="581">
        <v>4083</v>
      </c>
      <c r="D18" s="570">
        <f t="shared" si="0"/>
        <v>13.777627804960352</v>
      </c>
      <c r="E18" s="582">
        <f>10268-C18</f>
        <v>6185</v>
      </c>
      <c r="F18" s="572">
        <f t="shared" si="1"/>
        <v>20.870592205162815</v>
      </c>
      <c r="G18" s="582">
        <f>17401-E18-C18</f>
        <v>7133</v>
      </c>
      <c r="H18" s="572">
        <f t="shared" si="2"/>
        <v>24.06951240087734</v>
      </c>
      <c r="I18" s="571">
        <f t="shared" si="4"/>
        <v>12234</v>
      </c>
      <c r="J18" s="572">
        <f t="shared" si="3"/>
        <v>41.282267588999495</v>
      </c>
    </row>
    <row r="19" spans="1:10" s="613" customFormat="1" ht="13.5" thickBot="1">
      <c r="A19" s="573" t="s">
        <v>872</v>
      </c>
      <c r="B19" s="609">
        <f>SUM(B16:B18)</f>
        <v>8380516</v>
      </c>
      <c r="C19" s="610">
        <f>SUM(C16:C18)</f>
        <v>1153740</v>
      </c>
      <c r="D19" s="611">
        <f t="shared" si="0"/>
        <v>13.766932728247282</v>
      </c>
      <c r="E19" s="614">
        <f>SUM(E16:E18)</f>
        <v>1761480</v>
      </c>
      <c r="F19" s="612">
        <f t="shared" si="1"/>
        <v>21.018753499187877</v>
      </c>
      <c r="G19" s="614">
        <f>SUM(G16:G18)</f>
        <v>1980948</v>
      </c>
      <c r="H19" s="612">
        <f t="shared" si="2"/>
        <v>23.63754212747759</v>
      </c>
      <c r="I19" s="614">
        <f>SUM(I16:I18)</f>
        <v>3484348</v>
      </c>
      <c r="J19" s="612">
        <f t="shared" si="3"/>
        <v>41.57677164508725</v>
      </c>
    </row>
    <row r="20" spans="1:10" ht="12.75">
      <c r="A20" s="574" t="s">
        <v>911</v>
      </c>
      <c r="B20" s="568">
        <v>116060</v>
      </c>
      <c r="C20" s="569">
        <v>18559</v>
      </c>
      <c r="D20" s="577">
        <f t="shared" si="0"/>
        <v>15.990866793038084</v>
      </c>
      <c r="E20" s="571">
        <f>45552-C20</f>
        <v>26993</v>
      </c>
      <c r="F20" s="579">
        <f t="shared" si="1"/>
        <v>23.25779769084956</v>
      </c>
      <c r="G20" s="571">
        <f>69876-E20-C20</f>
        <v>24324</v>
      </c>
      <c r="H20" s="579">
        <f t="shared" si="2"/>
        <v>20.958125107702912</v>
      </c>
      <c r="I20" s="578">
        <f t="shared" si="4"/>
        <v>46184</v>
      </c>
      <c r="J20" s="579">
        <f t="shared" si="3"/>
        <v>39.79321040840944</v>
      </c>
    </row>
    <row r="21" spans="1:10" ht="12.75">
      <c r="A21" s="1434" t="s">
        <v>907</v>
      </c>
      <c r="B21" s="580">
        <v>85707</v>
      </c>
      <c r="C21" s="581">
        <v>13903</v>
      </c>
      <c r="D21" s="584">
        <f t="shared" si="0"/>
        <v>16.221545498034</v>
      </c>
      <c r="E21" s="582">
        <f>33465-C21</f>
        <v>19562</v>
      </c>
      <c r="F21" s="566">
        <f t="shared" si="1"/>
        <v>22.824273396572043</v>
      </c>
      <c r="G21" s="582">
        <f>52441-E21-C21</f>
        <v>18976</v>
      </c>
      <c r="H21" s="566">
        <f t="shared" si="2"/>
        <v>22.140548613298797</v>
      </c>
      <c r="I21" s="578">
        <f t="shared" si="4"/>
        <v>33266</v>
      </c>
      <c r="J21" s="566">
        <f t="shared" si="3"/>
        <v>38.81363249209516</v>
      </c>
    </row>
    <row r="22" spans="1:10" ht="12.75">
      <c r="A22" s="1434" t="s">
        <v>906</v>
      </c>
      <c r="B22" s="580">
        <v>56772</v>
      </c>
      <c r="C22" s="581">
        <v>8648</v>
      </c>
      <c r="D22" s="584">
        <f t="shared" si="0"/>
        <v>15.232861269639963</v>
      </c>
      <c r="E22" s="582">
        <f>20348-C22</f>
        <v>11700</v>
      </c>
      <c r="F22" s="566">
        <f t="shared" si="1"/>
        <v>20.608750792644262</v>
      </c>
      <c r="G22" s="582">
        <f>34257-E22-C22</f>
        <v>13909</v>
      </c>
      <c r="H22" s="566">
        <f t="shared" si="2"/>
        <v>24.499753399563165</v>
      </c>
      <c r="I22" s="578">
        <f t="shared" si="4"/>
        <v>22515</v>
      </c>
      <c r="J22" s="566">
        <f t="shared" si="3"/>
        <v>39.65863453815261</v>
      </c>
    </row>
    <row r="23" spans="1:10" ht="12.75">
      <c r="A23" s="1434" t="s">
        <v>905</v>
      </c>
      <c r="B23" s="580">
        <v>67472</v>
      </c>
      <c r="C23" s="581">
        <v>10424</v>
      </c>
      <c r="D23" s="570">
        <f t="shared" si="0"/>
        <v>15.449371591178563</v>
      </c>
      <c r="E23" s="582">
        <f>26367-C23</f>
        <v>15943</v>
      </c>
      <c r="F23" s="572">
        <f t="shared" si="1"/>
        <v>23.62906094379891</v>
      </c>
      <c r="G23" s="582">
        <f>42576-E23-C23</f>
        <v>16209</v>
      </c>
      <c r="H23" s="572">
        <f t="shared" si="2"/>
        <v>24.023298553474035</v>
      </c>
      <c r="I23" s="571">
        <f t="shared" si="4"/>
        <v>24896</v>
      </c>
      <c r="J23" s="572">
        <f t="shared" si="3"/>
        <v>36.89826891154849</v>
      </c>
    </row>
    <row r="24" spans="1:10" ht="12.75">
      <c r="A24" s="1434" t="s">
        <v>904</v>
      </c>
      <c r="B24" s="585">
        <v>64507</v>
      </c>
      <c r="C24" s="586">
        <v>9938</v>
      </c>
      <c r="D24" s="584">
        <f t="shared" si="0"/>
        <v>15.406079960314385</v>
      </c>
      <c r="E24" s="585">
        <f>24910-C24</f>
        <v>14972</v>
      </c>
      <c r="F24" s="566">
        <f t="shared" si="1"/>
        <v>23.209884198614105</v>
      </c>
      <c r="G24" s="585">
        <f>39895-E24-C24</f>
        <v>14985</v>
      </c>
      <c r="H24" s="566">
        <f t="shared" si="2"/>
        <v>23.230037050242608</v>
      </c>
      <c r="I24" s="585">
        <f t="shared" si="4"/>
        <v>24612</v>
      </c>
      <c r="J24" s="566">
        <f t="shared" si="3"/>
        <v>38.1539987908289</v>
      </c>
    </row>
    <row r="25" spans="1:10" ht="12.75">
      <c r="A25" s="1434" t="s">
        <v>903</v>
      </c>
      <c r="B25" s="587">
        <v>74337</v>
      </c>
      <c r="C25" s="586">
        <v>12310</v>
      </c>
      <c r="D25" s="584">
        <f t="shared" si="0"/>
        <v>16.559721269354426</v>
      </c>
      <c r="E25" s="585">
        <f>29205-C25</f>
        <v>16895</v>
      </c>
      <c r="F25" s="566">
        <f t="shared" si="1"/>
        <v>22.727578460255323</v>
      </c>
      <c r="G25" s="585">
        <f>44602-E25-C25</f>
        <v>15397</v>
      </c>
      <c r="H25" s="566">
        <f t="shared" si="2"/>
        <v>20.712431225365567</v>
      </c>
      <c r="I25" s="578">
        <f t="shared" si="4"/>
        <v>29735</v>
      </c>
      <c r="J25" s="566">
        <f t="shared" si="3"/>
        <v>40.00026904502469</v>
      </c>
    </row>
    <row r="26" spans="1:10" ht="12.75">
      <c r="A26" s="1434" t="s">
        <v>902</v>
      </c>
      <c r="B26" s="587">
        <v>301147</v>
      </c>
      <c r="C26" s="586">
        <v>107814</v>
      </c>
      <c r="D26" s="584">
        <f t="shared" si="0"/>
        <v>35.801120383068735</v>
      </c>
      <c r="E26" s="585">
        <f>139692-C26</f>
        <v>31878</v>
      </c>
      <c r="F26" s="566">
        <f t="shared" si="1"/>
        <v>10.585527997954488</v>
      </c>
      <c r="G26" s="585">
        <f>177985-E26-C26</f>
        <v>38293</v>
      </c>
      <c r="H26" s="566">
        <f t="shared" si="2"/>
        <v>12.715716909017855</v>
      </c>
      <c r="I26" s="578">
        <f t="shared" si="4"/>
        <v>123162</v>
      </c>
      <c r="J26" s="566">
        <f t="shared" si="3"/>
        <v>40.89763470995892</v>
      </c>
    </row>
    <row r="27" spans="1:10" ht="13.5" thickBot="1">
      <c r="A27" s="1434" t="s">
        <v>901</v>
      </c>
      <c r="B27" s="580">
        <v>113545</v>
      </c>
      <c r="C27" s="581">
        <v>17597</v>
      </c>
      <c r="D27" s="570">
        <f t="shared" si="0"/>
        <v>15.497820247478973</v>
      </c>
      <c r="E27" s="582">
        <f>40568-C27</f>
        <v>22971</v>
      </c>
      <c r="F27" s="572">
        <f t="shared" si="1"/>
        <v>20.230745519397594</v>
      </c>
      <c r="G27" s="582">
        <f>74484-E27-C27</f>
        <v>33916</v>
      </c>
      <c r="H27" s="572">
        <f t="shared" si="2"/>
        <v>29.87009555682769</v>
      </c>
      <c r="I27" s="571">
        <f t="shared" si="4"/>
        <v>39061</v>
      </c>
      <c r="J27" s="572">
        <f t="shared" si="3"/>
        <v>34.401338676295744</v>
      </c>
    </row>
    <row r="28" spans="1:10" s="613" customFormat="1" ht="13.5" thickBot="1">
      <c r="A28" s="573" t="s">
        <v>873</v>
      </c>
      <c r="B28" s="609">
        <f>SUM(B20:B27)</f>
        <v>879547</v>
      </c>
      <c r="C28" s="610">
        <f>SUM(C20:C27)</f>
        <v>199193</v>
      </c>
      <c r="D28" s="611">
        <f t="shared" si="0"/>
        <v>22.647226356294773</v>
      </c>
      <c r="E28" s="614">
        <f>SUM(E20:E27)</f>
        <v>160914</v>
      </c>
      <c r="F28" s="612">
        <f t="shared" si="1"/>
        <v>18.295099636517435</v>
      </c>
      <c r="G28" s="614">
        <f>SUM(G20:G27)</f>
        <v>176009</v>
      </c>
      <c r="H28" s="612">
        <f t="shared" si="2"/>
        <v>20.011324011110265</v>
      </c>
      <c r="I28" s="614">
        <f>SUM(I20:I27)</f>
        <v>343431</v>
      </c>
      <c r="J28" s="612">
        <f t="shared" si="3"/>
        <v>39.046349996077524</v>
      </c>
    </row>
    <row r="29" spans="1:10" ht="12.75">
      <c r="A29" s="574" t="s">
        <v>1076</v>
      </c>
      <c r="B29" s="575">
        <v>294930</v>
      </c>
      <c r="C29" s="576">
        <v>42018</v>
      </c>
      <c r="D29" s="577">
        <f t="shared" si="0"/>
        <v>14.246770420099685</v>
      </c>
      <c r="E29" s="578">
        <f>99798-C29</f>
        <v>57780</v>
      </c>
      <c r="F29" s="579">
        <f t="shared" si="1"/>
        <v>19.59108941104669</v>
      </c>
      <c r="G29" s="578">
        <f>164142-E29-C29</f>
        <v>64344</v>
      </c>
      <c r="H29" s="579">
        <f t="shared" si="2"/>
        <v>21.816702268334858</v>
      </c>
      <c r="I29" s="578">
        <f t="shared" si="4"/>
        <v>130788</v>
      </c>
      <c r="J29" s="579">
        <f t="shared" si="3"/>
        <v>44.34543790051877</v>
      </c>
    </row>
    <row r="30" spans="1:10" ht="12.75">
      <c r="A30" s="583" t="s">
        <v>1077</v>
      </c>
      <c r="B30" s="587">
        <v>161953</v>
      </c>
      <c r="C30" s="586">
        <v>26758</v>
      </c>
      <c r="D30" s="584">
        <f t="shared" si="0"/>
        <v>16.522077392823842</v>
      </c>
      <c r="E30" s="585">
        <f>68413-C30</f>
        <v>41655</v>
      </c>
      <c r="F30" s="566">
        <f t="shared" si="1"/>
        <v>25.720425061591943</v>
      </c>
      <c r="G30" s="585">
        <f>106390-E30-C30</f>
        <v>37977</v>
      </c>
      <c r="H30" s="566">
        <f t="shared" si="2"/>
        <v>23.449395812365317</v>
      </c>
      <c r="I30" s="578">
        <f t="shared" si="4"/>
        <v>55563</v>
      </c>
      <c r="J30" s="566">
        <f t="shared" si="3"/>
        <v>34.3081017332189</v>
      </c>
    </row>
    <row r="31" spans="1:10" ht="12.75">
      <c r="A31" s="583" t="s">
        <v>1078</v>
      </c>
      <c r="B31" s="575">
        <v>192750</v>
      </c>
      <c r="C31" s="576">
        <v>33191</v>
      </c>
      <c r="D31" s="584">
        <f t="shared" si="0"/>
        <v>17.21971465629053</v>
      </c>
      <c r="E31" s="578">
        <f>79593-C31</f>
        <v>46402</v>
      </c>
      <c r="F31" s="566">
        <f t="shared" si="1"/>
        <v>24.07367055771725</v>
      </c>
      <c r="G31" s="578">
        <f>129653-E31-C31</f>
        <v>50060</v>
      </c>
      <c r="H31" s="566">
        <f t="shared" si="2"/>
        <v>25.971465629053178</v>
      </c>
      <c r="I31" s="578">
        <f t="shared" si="4"/>
        <v>63097</v>
      </c>
      <c r="J31" s="566">
        <f t="shared" si="3"/>
        <v>32.73514915693904</v>
      </c>
    </row>
    <row r="32" spans="1:10" ht="12.75">
      <c r="A32" s="583" t="s">
        <v>1079</v>
      </c>
      <c r="B32" s="587">
        <v>72166</v>
      </c>
      <c r="C32" s="586">
        <v>12085</v>
      </c>
      <c r="D32" s="584">
        <f t="shared" si="0"/>
        <v>16.746113128065847</v>
      </c>
      <c r="E32" s="585">
        <f>26891-C32</f>
        <v>14806</v>
      </c>
      <c r="F32" s="566">
        <f t="shared" si="1"/>
        <v>20.516586758307238</v>
      </c>
      <c r="G32" s="585">
        <f>45818-E32-C32</f>
        <v>18927</v>
      </c>
      <c r="H32" s="566">
        <f t="shared" si="2"/>
        <v>26.227032120389104</v>
      </c>
      <c r="I32" s="578">
        <f t="shared" si="4"/>
        <v>26348</v>
      </c>
      <c r="J32" s="566">
        <f t="shared" si="3"/>
        <v>36.51026799323781</v>
      </c>
    </row>
    <row r="33" spans="1:10" ht="12.75">
      <c r="A33" s="583" t="s">
        <v>1080</v>
      </c>
      <c r="B33" s="568">
        <v>72206</v>
      </c>
      <c r="C33" s="569">
        <v>10272</v>
      </c>
      <c r="D33" s="570">
        <f t="shared" si="0"/>
        <v>14.225964601279673</v>
      </c>
      <c r="E33" s="571">
        <f>24173-C33</f>
        <v>13901</v>
      </c>
      <c r="F33" s="572">
        <f t="shared" si="1"/>
        <v>19.251862726089243</v>
      </c>
      <c r="G33" s="571">
        <f>39337-E33-C33</f>
        <v>15164</v>
      </c>
      <c r="H33" s="566">
        <f t="shared" si="2"/>
        <v>21.001024845580698</v>
      </c>
      <c r="I33" s="578">
        <f t="shared" si="4"/>
        <v>32869</v>
      </c>
      <c r="J33" s="566">
        <f t="shared" si="3"/>
        <v>45.521147827050385</v>
      </c>
    </row>
    <row r="34" spans="1:10" ht="12.75">
      <c r="A34" s="567" t="s">
        <v>1081</v>
      </c>
      <c r="B34" s="580">
        <v>24871</v>
      </c>
      <c r="C34" s="581">
        <v>3720</v>
      </c>
      <c r="D34" s="570">
        <f t="shared" si="0"/>
        <v>14.95717904386635</v>
      </c>
      <c r="E34" s="582">
        <f>9160-C34</f>
        <v>5440</v>
      </c>
      <c r="F34" s="572">
        <f t="shared" si="1"/>
        <v>21.872863978127135</v>
      </c>
      <c r="G34" s="582">
        <f>15643-E34-C34</f>
        <v>6483</v>
      </c>
      <c r="H34" s="572">
        <f t="shared" si="2"/>
        <v>26.066503156286437</v>
      </c>
      <c r="I34" s="571">
        <f t="shared" si="4"/>
        <v>9228</v>
      </c>
      <c r="J34" s="572">
        <f t="shared" si="3"/>
        <v>37.10345382172007</v>
      </c>
    </row>
    <row r="35" spans="1:10" ht="12.75">
      <c r="A35" s="583" t="s">
        <v>1041</v>
      </c>
      <c r="B35" s="587">
        <v>271258</v>
      </c>
      <c r="C35" s="588">
        <v>43613</v>
      </c>
      <c r="D35" s="589">
        <f t="shared" si="0"/>
        <v>16.07805115425167</v>
      </c>
      <c r="E35" s="590">
        <f>99544-C35</f>
        <v>55931</v>
      </c>
      <c r="F35" s="591">
        <f t="shared" si="1"/>
        <v>20.619115380928857</v>
      </c>
      <c r="G35" s="590">
        <f>162678-E35-C35</f>
        <v>63134</v>
      </c>
      <c r="H35" s="591">
        <f t="shared" si="2"/>
        <v>23.27452093578807</v>
      </c>
      <c r="I35" s="590">
        <f t="shared" si="4"/>
        <v>108580</v>
      </c>
      <c r="J35" s="591">
        <f t="shared" si="3"/>
        <v>40.0283125290314</v>
      </c>
    </row>
    <row r="36" spans="1:10" ht="13.5" thickBot="1">
      <c r="A36" s="592" t="s">
        <v>177</v>
      </c>
      <c r="B36" s="580">
        <v>19434</v>
      </c>
      <c r="C36" s="593">
        <v>2588</v>
      </c>
      <c r="D36" s="594">
        <f t="shared" si="0"/>
        <v>13.31686734588865</v>
      </c>
      <c r="E36" s="595">
        <f>6913-C36</f>
        <v>4325</v>
      </c>
      <c r="F36" s="596">
        <f>E36*100/B36</f>
        <v>22.254811155706495</v>
      </c>
      <c r="G36" s="595">
        <f>10530-E36-C36</f>
        <v>3617</v>
      </c>
      <c r="H36" s="596">
        <f t="shared" si="2"/>
        <v>18.611711433570033</v>
      </c>
      <c r="I36" s="590">
        <f t="shared" si="4"/>
        <v>8904</v>
      </c>
      <c r="J36" s="596">
        <f t="shared" si="3"/>
        <v>45.816610064834826</v>
      </c>
    </row>
    <row r="37" spans="1:10" s="613" customFormat="1" ht="13.5" thickBot="1">
      <c r="A37" s="573" t="s">
        <v>874</v>
      </c>
      <c r="B37" s="614">
        <f>SUM(B29:B36)</f>
        <v>1109568</v>
      </c>
      <c r="C37" s="610">
        <f>SUM(C29:C36)</f>
        <v>174245</v>
      </c>
      <c r="D37" s="615">
        <f t="shared" si="0"/>
        <v>15.703859520101517</v>
      </c>
      <c r="E37" s="614">
        <f>SUM(E29:E36)</f>
        <v>240240</v>
      </c>
      <c r="F37" s="616">
        <f t="shared" si="1"/>
        <v>21.651669839072504</v>
      </c>
      <c r="G37" s="614">
        <f>SUM(G29:G36)</f>
        <v>259706</v>
      </c>
      <c r="H37" s="616">
        <f t="shared" si="2"/>
        <v>23.406046317125224</v>
      </c>
      <c r="I37" s="614">
        <f>SUM(I29:I36)</f>
        <v>435377</v>
      </c>
      <c r="J37" s="616">
        <f t="shared" si="3"/>
        <v>39.238424323700755</v>
      </c>
    </row>
    <row r="38" spans="1:10" s="613" customFormat="1" ht="13.5" thickBot="1">
      <c r="A38" s="573" t="s">
        <v>875</v>
      </c>
      <c r="B38" s="614">
        <v>358014</v>
      </c>
      <c r="C38" s="619">
        <v>74697</v>
      </c>
      <c r="D38" s="615">
        <f t="shared" si="0"/>
        <v>20.86426787779249</v>
      </c>
      <c r="E38" s="620">
        <f>160239-C38</f>
        <v>85542</v>
      </c>
      <c r="F38" s="617">
        <f t="shared" si="1"/>
        <v>23.893479025959877</v>
      </c>
      <c r="G38" s="620">
        <f>243210-E38-C38</f>
        <v>82971</v>
      </c>
      <c r="H38" s="617">
        <f t="shared" si="2"/>
        <v>23.1753506846101</v>
      </c>
      <c r="I38" s="620">
        <f aca="true" t="shared" si="5" ref="I38:I43">B38-C38-E38-G38</f>
        <v>114804</v>
      </c>
      <c r="J38" s="617">
        <f t="shared" si="3"/>
        <v>32.066902411637535</v>
      </c>
    </row>
    <row r="39" spans="1:10" ht="12.75">
      <c r="A39" s="574" t="s">
        <v>181</v>
      </c>
      <c r="B39" s="575">
        <v>812691</v>
      </c>
      <c r="C39" s="597">
        <v>146678</v>
      </c>
      <c r="D39" s="598">
        <f t="shared" si="0"/>
        <v>18.048434152709948</v>
      </c>
      <c r="E39" s="599">
        <f>309137-C39</f>
        <v>162459</v>
      </c>
      <c r="F39" s="600">
        <f t="shared" si="1"/>
        <v>19.99025459861128</v>
      </c>
      <c r="G39" s="599">
        <f>543187-E39-C39</f>
        <v>234050</v>
      </c>
      <c r="H39" s="600">
        <f t="shared" si="2"/>
        <v>28.79938377562936</v>
      </c>
      <c r="I39" s="599">
        <f t="shared" si="5"/>
        <v>269504</v>
      </c>
      <c r="J39" s="600">
        <f t="shared" si="3"/>
        <v>33.16192747304941</v>
      </c>
    </row>
    <row r="40" spans="1:10" ht="12.75">
      <c r="A40" s="583" t="s">
        <v>562</v>
      </c>
      <c r="B40" s="580">
        <v>33265</v>
      </c>
      <c r="C40" s="581">
        <v>6513</v>
      </c>
      <c r="D40" s="584">
        <f t="shared" si="0"/>
        <v>19.579137231324214</v>
      </c>
      <c r="E40" s="582">
        <f>13027-C40</f>
        <v>6514</v>
      </c>
      <c r="F40" s="566">
        <f t="shared" si="1"/>
        <v>19.58214339395761</v>
      </c>
      <c r="G40" s="582">
        <f>21662-E40-C40</f>
        <v>8635</v>
      </c>
      <c r="H40" s="566">
        <f t="shared" si="2"/>
        <v>25.958214339395763</v>
      </c>
      <c r="I40" s="578">
        <f t="shared" si="5"/>
        <v>11603</v>
      </c>
      <c r="J40" s="566">
        <f t="shared" si="3"/>
        <v>34.88050503532241</v>
      </c>
    </row>
    <row r="41" spans="1:10" ht="12.75">
      <c r="A41" s="583" t="s">
        <v>563</v>
      </c>
      <c r="B41" s="580">
        <v>46267</v>
      </c>
      <c r="C41" s="581">
        <v>19080</v>
      </c>
      <c r="D41" s="584">
        <f t="shared" si="0"/>
        <v>41.23889597337195</v>
      </c>
      <c r="E41" s="582">
        <f>28091-C41</f>
        <v>9011</v>
      </c>
      <c r="F41" s="566">
        <f t="shared" si="1"/>
        <v>19.476084466250242</v>
      </c>
      <c r="G41" s="582">
        <f>37167-E41-C41</f>
        <v>9076</v>
      </c>
      <c r="H41" s="566">
        <f t="shared" si="2"/>
        <v>19.616573367627034</v>
      </c>
      <c r="I41" s="578">
        <f t="shared" si="5"/>
        <v>9100</v>
      </c>
      <c r="J41" s="566">
        <f t="shared" si="3"/>
        <v>19.66844619275077</v>
      </c>
    </row>
    <row r="42" spans="1:10" ht="12.75">
      <c r="A42" s="583" t="s">
        <v>876</v>
      </c>
      <c r="B42" s="580">
        <v>32962</v>
      </c>
      <c r="C42" s="581">
        <v>8241</v>
      </c>
      <c r="D42" s="594">
        <f t="shared" si="0"/>
        <v>25.001516898246464</v>
      </c>
      <c r="E42" s="582">
        <f>16482-C42</f>
        <v>8241</v>
      </c>
      <c r="F42" s="601">
        <f t="shared" si="1"/>
        <v>25.001516898246464</v>
      </c>
      <c r="G42" s="582">
        <f>24723-E42-C42</f>
        <v>8241</v>
      </c>
      <c r="H42" s="601">
        <f t="shared" si="2"/>
        <v>25.001516898246464</v>
      </c>
      <c r="I42" s="571">
        <f t="shared" si="5"/>
        <v>8239</v>
      </c>
      <c r="J42" s="601">
        <f t="shared" si="3"/>
        <v>24.995449305260603</v>
      </c>
    </row>
    <row r="43" spans="1:10" ht="13.5" thickBot="1">
      <c r="A43" s="567" t="s">
        <v>106</v>
      </c>
      <c r="B43" s="582">
        <v>8000</v>
      </c>
      <c r="C43" s="581">
        <v>0</v>
      </c>
      <c r="D43" s="594">
        <v>0</v>
      </c>
      <c r="E43" s="582">
        <f>0-C43</f>
        <v>0</v>
      </c>
      <c r="F43" s="601">
        <v>0</v>
      </c>
      <c r="G43" s="582">
        <f>0-'[1]vfp06'!H41-'[1]vfp06'!F41-'[1]vfp06'!D41-'[1]bv06'!E41-'[1]bv06'!C41</f>
        <v>0</v>
      </c>
      <c r="H43" s="601">
        <v>0</v>
      </c>
      <c r="I43" s="582">
        <f t="shared" si="5"/>
        <v>8000</v>
      </c>
      <c r="J43" s="601">
        <f t="shared" si="3"/>
        <v>100</v>
      </c>
    </row>
    <row r="44" spans="1:10" s="613" customFormat="1" ht="13.5" thickBot="1">
      <c r="A44" s="573" t="s">
        <v>1929</v>
      </c>
      <c r="B44" s="609">
        <f>SUM(B39:B43)</f>
        <v>933185</v>
      </c>
      <c r="C44" s="610">
        <f>SUM(C39:C43)</f>
        <v>180512</v>
      </c>
      <c r="D44" s="615">
        <f>C44*100/B44</f>
        <v>19.343645686546612</v>
      </c>
      <c r="E44" s="614">
        <f>SUM(E39:E43)</f>
        <v>186225</v>
      </c>
      <c r="F44" s="617">
        <f t="shared" si="1"/>
        <v>19.955850126180767</v>
      </c>
      <c r="G44" s="614">
        <f>SUM(G39:G43)</f>
        <v>260002</v>
      </c>
      <c r="H44" s="617">
        <f>G44*100/B44</f>
        <v>27.861785176572706</v>
      </c>
      <c r="I44" s="614">
        <f>SUM(I39:I43)</f>
        <v>306446</v>
      </c>
      <c r="J44" s="617">
        <f t="shared" si="3"/>
        <v>32.83871901069991</v>
      </c>
    </row>
    <row r="45" spans="1:10" s="307" customFormat="1" ht="18.75" customHeight="1" thickBot="1">
      <c r="A45" s="605" t="s">
        <v>1930</v>
      </c>
      <c r="B45" s="606">
        <f>B11+B15+B19+B28+B37+B38+B44</f>
        <v>58233846</v>
      </c>
      <c r="C45" s="606">
        <f>C11+C15+C19+C28+C37+C38+C44</f>
        <v>9504202</v>
      </c>
      <c r="D45" s="607">
        <f>C45*100/B45</f>
        <v>16.320752711404293</v>
      </c>
      <c r="E45" s="606">
        <f>E11+E15+E19+E28+E37+E38+E44</f>
        <v>13378218</v>
      </c>
      <c r="F45" s="608">
        <f t="shared" si="1"/>
        <v>22.97326884437617</v>
      </c>
      <c r="G45" s="606">
        <f>G11+G15+G19+G28+G37+G38+G44</f>
        <v>13325068</v>
      </c>
      <c r="H45" s="608">
        <f>G45*100/B45</f>
        <v>22.881998898029163</v>
      </c>
      <c r="I45" s="606">
        <f>I11+I15+I19+I28+I37+I38+I44</f>
        <v>22026358</v>
      </c>
      <c r="J45" s="608">
        <f t="shared" si="3"/>
        <v>37.82397954619037</v>
      </c>
    </row>
    <row r="46" spans="1:10" ht="12.75">
      <c r="A46" s="310"/>
      <c r="B46" s="602"/>
      <c r="C46" s="602"/>
      <c r="D46" s="603"/>
      <c r="E46" s="602"/>
      <c r="F46" s="603"/>
      <c r="G46" s="602"/>
      <c r="H46" s="603"/>
      <c r="I46" s="602"/>
      <c r="J46" s="603"/>
    </row>
    <row r="47" spans="1:10" ht="12.75">
      <c r="A47" s="343" t="s">
        <v>898</v>
      </c>
      <c r="B47" s="602"/>
      <c r="C47" s="602"/>
      <c r="D47" s="603"/>
      <c r="E47" s="602"/>
      <c r="F47" s="603"/>
      <c r="G47" s="602"/>
      <c r="H47" s="603"/>
      <c r="I47" s="602"/>
      <c r="J47" s="603"/>
    </row>
    <row r="48" ht="12.75">
      <c r="A48" s="604" t="s">
        <v>1931</v>
      </c>
    </row>
    <row r="49" ht="12.75">
      <c r="A49" s="311" t="s">
        <v>1932</v>
      </c>
    </row>
    <row r="50" spans="3:9" ht="12.75">
      <c r="C50" s="336"/>
      <c r="D50" s="336"/>
      <c r="E50" s="336"/>
      <c r="F50" s="336"/>
      <c r="G50" s="336"/>
      <c r="H50" s="336"/>
      <c r="I50" s="336"/>
    </row>
    <row r="51" spans="3:9" ht="12.75">
      <c r="C51" s="336"/>
      <c r="D51" s="336"/>
      <c r="E51" s="336"/>
      <c r="F51" s="336"/>
      <c r="G51" s="336"/>
      <c r="H51" s="336"/>
      <c r="I51" s="336"/>
    </row>
    <row r="52" spans="1:10" ht="12.75">
      <c r="A52" s="546" t="s">
        <v>1372</v>
      </c>
      <c r="E52" s="311" t="s">
        <v>1056</v>
      </c>
      <c r="I52" s="1506" t="s">
        <v>912</v>
      </c>
      <c r="J52" s="1506"/>
    </row>
    <row r="57" ht="12.75">
      <c r="B57" s="618"/>
    </row>
  </sheetData>
  <mergeCells count="3">
    <mergeCell ref="A3:J3"/>
    <mergeCell ref="I1:J1"/>
    <mergeCell ref="I52:J5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Footer>&amp;C&amp;P+153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workbookViewId="0" topLeftCell="A11">
      <selection activeCell="B37" sqref="B37"/>
    </sheetView>
  </sheetViews>
  <sheetFormatPr defaultColWidth="9.00390625" defaultRowHeight="12.75"/>
  <cols>
    <col min="1" max="1" width="8.125" style="1218" customWidth="1"/>
    <col min="2" max="2" width="60.875" style="546" customWidth="1"/>
    <col min="3" max="3" width="13.00390625" style="546" customWidth="1"/>
    <col min="4" max="4" width="13.625" style="546" customWidth="1"/>
    <col min="5" max="5" width="13.125" style="546" customWidth="1"/>
    <col min="6" max="6" width="12.875" style="546" customWidth="1"/>
    <col min="7" max="8" width="13.375" style="546" customWidth="1"/>
    <col min="9" max="9" width="11.875" style="546" customWidth="1"/>
    <col min="10" max="10" width="13.75390625" style="546" customWidth="1"/>
    <col min="11" max="12" width="12.125" style="546" customWidth="1"/>
    <col min="13" max="13" width="13.00390625" style="546" customWidth="1"/>
    <col min="14" max="14" width="11.375" style="546" customWidth="1"/>
    <col min="15" max="16384" width="9.125" style="546" customWidth="1"/>
  </cols>
  <sheetData>
    <row r="1" spans="3:10" ht="15" hidden="1">
      <c r="C1" s="1219"/>
      <c r="D1" s="1219"/>
      <c r="E1" s="1219"/>
      <c r="F1" s="1219"/>
      <c r="G1" s="1219"/>
      <c r="H1" s="1219"/>
      <c r="I1" s="1219"/>
      <c r="J1" s="1219"/>
    </row>
    <row r="2" spans="1:14" ht="36" customHeight="1">
      <c r="A2" s="1499" t="s">
        <v>446</v>
      </c>
      <c r="B2" s="1499"/>
      <c r="C2" s="1219"/>
      <c r="D2" s="1219"/>
      <c r="E2" s="1219"/>
      <c r="F2" s="1219"/>
      <c r="G2" s="1219"/>
      <c r="H2" s="1219"/>
      <c r="I2" s="1219"/>
      <c r="J2" s="1219"/>
      <c r="M2" s="1526" t="s">
        <v>447</v>
      </c>
      <c r="N2" s="1526"/>
    </row>
    <row r="3" spans="1:13" ht="39" customHeight="1">
      <c r="A3" s="1220"/>
      <c r="B3" s="1527" t="s">
        <v>810</v>
      </c>
      <c r="C3" s="1527"/>
      <c r="D3" s="1527"/>
      <c r="E3" s="1527"/>
      <c r="F3" s="1527"/>
      <c r="G3" s="1527"/>
      <c r="H3" s="1527"/>
      <c r="I3" s="1527"/>
      <c r="J3" s="1527"/>
      <c r="K3" s="1527"/>
      <c r="L3" s="1527"/>
      <c r="M3" s="1527"/>
    </row>
    <row r="4" spans="1:14" ht="11.25" customHeight="1">
      <c r="A4" s="1221"/>
      <c r="B4" s="1221"/>
      <c r="C4" s="1221"/>
      <c r="D4" s="1221"/>
      <c r="E4" s="1221"/>
      <c r="F4" s="1221"/>
      <c r="G4" s="1221"/>
      <c r="H4" s="1221"/>
      <c r="I4" s="1221"/>
      <c r="J4" s="1221"/>
      <c r="K4" s="1221"/>
      <c r="L4" s="1221"/>
      <c r="M4" s="1221"/>
      <c r="N4" s="1222" t="s">
        <v>1872</v>
      </c>
    </row>
    <row r="5" spans="1:13" ht="1.5" customHeight="1" thickBot="1">
      <c r="A5" s="1221"/>
      <c r="B5" s="1221"/>
      <c r="C5" s="1221"/>
      <c r="D5" s="1221"/>
      <c r="E5" s="1221"/>
      <c r="F5" s="1221"/>
      <c r="G5" s="1221"/>
      <c r="H5" s="1221"/>
      <c r="I5" s="1221"/>
      <c r="J5" s="1221"/>
      <c r="K5" s="1221"/>
      <c r="L5" s="1221"/>
      <c r="M5" s="1221"/>
    </row>
    <row r="6" spans="1:14" ht="18" customHeight="1">
      <c r="A6" s="1528" t="s">
        <v>448</v>
      </c>
      <c r="B6" s="1530" t="s">
        <v>449</v>
      </c>
      <c r="C6" s="1507" t="s">
        <v>450</v>
      </c>
      <c r="D6" s="1508"/>
      <c r="E6" s="1508"/>
      <c r="F6" s="1508"/>
      <c r="G6" s="1508"/>
      <c r="H6" s="1508"/>
      <c r="I6" s="1507" t="s">
        <v>451</v>
      </c>
      <c r="J6" s="1508"/>
      <c r="K6" s="1509"/>
      <c r="L6" s="1507" t="s">
        <v>452</v>
      </c>
      <c r="M6" s="1508"/>
      <c r="N6" s="1513"/>
    </row>
    <row r="7" spans="1:14" ht="15.75" customHeight="1">
      <c r="A7" s="1529"/>
      <c r="B7" s="1531"/>
      <c r="C7" s="1515" t="s">
        <v>453</v>
      </c>
      <c r="D7" s="1516"/>
      <c r="E7" s="1517"/>
      <c r="F7" s="1515" t="s">
        <v>454</v>
      </c>
      <c r="G7" s="1518"/>
      <c r="H7" s="1519"/>
      <c r="I7" s="1510"/>
      <c r="J7" s="1511"/>
      <c r="K7" s="1512"/>
      <c r="L7" s="1510"/>
      <c r="M7" s="1511"/>
      <c r="N7" s="1514"/>
    </row>
    <row r="8" spans="1:16" ht="48" customHeight="1">
      <c r="A8" s="1529"/>
      <c r="B8" s="1531"/>
      <c r="C8" s="1223" t="s">
        <v>455</v>
      </c>
      <c r="D8" s="1224" t="s">
        <v>456</v>
      </c>
      <c r="E8" s="1223" t="s">
        <v>857</v>
      </c>
      <c r="F8" s="1223" t="s">
        <v>455</v>
      </c>
      <c r="G8" s="1224" t="s">
        <v>456</v>
      </c>
      <c r="H8" s="1223" t="s">
        <v>857</v>
      </c>
      <c r="I8" s="1223" t="s">
        <v>455</v>
      </c>
      <c r="J8" s="1224" t="s">
        <v>456</v>
      </c>
      <c r="K8" s="1223" t="s">
        <v>857</v>
      </c>
      <c r="L8" s="1223" t="s">
        <v>455</v>
      </c>
      <c r="M8" s="1225" t="s">
        <v>456</v>
      </c>
      <c r="N8" s="1226" t="s">
        <v>857</v>
      </c>
      <c r="P8" s="1007"/>
    </row>
    <row r="9" spans="1:16" ht="12.75" customHeight="1" thickBot="1">
      <c r="A9" s="1529"/>
      <c r="B9" s="1531"/>
      <c r="C9" s="1227">
        <v>1</v>
      </c>
      <c r="D9" s="1227">
        <v>2</v>
      </c>
      <c r="E9" s="1227">
        <v>3</v>
      </c>
      <c r="F9" s="1227">
        <v>4</v>
      </c>
      <c r="G9" s="1227">
        <v>5</v>
      </c>
      <c r="H9" s="1227">
        <v>6</v>
      </c>
      <c r="I9" s="1227">
        <v>7</v>
      </c>
      <c r="J9" s="1227">
        <v>8</v>
      </c>
      <c r="K9" s="1227">
        <v>9</v>
      </c>
      <c r="L9" s="1228" t="s">
        <v>457</v>
      </c>
      <c r="M9" s="1228" t="s">
        <v>458</v>
      </c>
      <c r="N9" s="1229" t="s">
        <v>459</v>
      </c>
      <c r="O9" s="1218"/>
      <c r="P9" s="1218"/>
    </row>
    <row r="10" spans="1:14" ht="19.5" customHeight="1">
      <c r="A10" s="1230"/>
      <c r="B10" s="1231" t="s">
        <v>460</v>
      </c>
      <c r="C10" s="1232"/>
      <c r="D10" s="1232"/>
      <c r="E10" s="1232"/>
      <c r="F10" s="1232"/>
      <c r="G10" s="1232"/>
      <c r="H10" s="1232"/>
      <c r="I10" s="1232"/>
      <c r="J10" s="1232"/>
      <c r="K10" s="1233"/>
      <c r="L10" s="1234"/>
      <c r="M10" s="1233"/>
      <c r="N10" s="1235"/>
    </row>
    <row r="11" spans="1:14" ht="19.5" customHeight="1">
      <c r="A11" s="1236"/>
      <c r="B11" s="1237" t="s">
        <v>461</v>
      </c>
      <c r="C11" s="1238">
        <v>0</v>
      </c>
      <c r="D11" s="1239">
        <v>34000</v>
      </c>
      <c r="E11" s="1240">
        <v>34000</v>
      </c>
      <c r="F11" s="1238">
        <v>10782</v>
      </c>
      <c r="G11" s="1239">
        <v>33436</v>
      </c>
      <c r="H11" s="1240">
        <v>44218</v>
      </c>
      <c r="I11" s="1239">
        <v>10812</v>
      </c>
      <c r="J11" s="1239">
        <v>17082</v>
      </c>
      <c r="K11" s="1238">
        <v>27894</v>
      </c>
      <c r="L11" s="1241">
        <v>100.29</v>
      </c>
      <c r="M11" s="1238">
        <v>51.09</v>
      </c>
      <c r="N11" s="1242">
        <v>63.08</v>
      </c>
    </row>
    <row r="12" spans="1:14" ht="19.5" customHeight="1">
      <c r="A12" s="1243"/>
      <c r="B12" s="1244" t="s">
        <v>462</v>
      </c>
      <c r="C12" s="1245"/>
      <c r="D12" s="1246"/>
      <c r="E12" s="1247"/>
      <c r="F12" s="1246"/>
      <c r="G12" s="1246"/>
      <c r="H12" s="1246"/>
      <c r="I12" s="1246"/>
      <c r="J12" s="1246"/>
      <c r="K12" s="1245"/>
      <c r="L12" s="1248"/>
      <c r="M12" s="1249"/>
      <c r="N12" s="1250"/>
    </row>
    <row r="13" spans="1:14" ht="19.5" customHeight="1">
      <c r="A13" s="1243"/>
      <c r="B13" s="1251" t="s">
        <v>463</v>
      </c>
      <c r="C13" s="1245">
        <v>0</v>
      </c>
      <c r="D13" s="1246">
        <v>0</v>
      </c>
      <c r="E13" s="1252">
        <v>0</v>
      </c>
      <c r="F13" s="1246">
        <v>8428</v>
      </c>
      <c r="G13" s="1246">
        <v>0</v>
      </c>
      <c r="H13" s="1246">
        <v>8428</v>
      </c>
      <c r="I13" s="1246">
        <v>8785</v>
      </c>
      <c r="J13" s="1246">
        <v>0</v>
      </c>
      <c r="K13" s="1245">
        <v>8785</v>
      </c>
      <c r="L13" s="1253">
        <v>104.24</v>
      </c>
      <c r="M13" s="1245">
        <v>0</v>
      </c>
      <c r="N13" s="1254">
        <v>104.24</v>
      </c>
    </row>
    <row r="14" spans="1:14" ht="19.5" customHeight="1">
      <c r="A14" s="1255"/>
      <c r="B14" s="1256" t="s">
        <v>464</v>
      </c>
      <c r="C14" s="1257">
        <v>0</v>
      </c>
      <c r="D14" s="1257">
        <v>0</v>
      </c>
      <c r="E14" s="1258">
        <v>0</v>
      </c>
      <c r="F14" s="1259">
        <v>86</v>
      </c>
      <c r="G14" s="1257">
        <v>309</v>
      </c>
      <c r="H14" s="1257">
        <v>395</v>
      </c>
      <c r="I14" s="1257">
        <v>91</v>
      </c>
      <c r="J14" s="1257">
        <v>230</v>
      </c>
      <c r="K14" s="1259">
        <v>321</v>
      </c>
      <c r="L14" s="1260">
        <v>105.81</v>
      </c>
      <c r="M14" s="1259">
        <v>74.43</v>
      </c>
      <c r="N14" s="1261">
        <v>81.26</v>
      </c>
    </row>
    <row r="15" spans="1:14" ht="19.5" customHeight="1">
      <c r="A15" s="1262"/>
      <c r="B15" s="1263"/>
      <c r="C15" s="1246"/>
      <c r="D15" s="1246"/>
      <c r="E15" s="1258"/>
      <c r="F15" s="1246"/>
      <c r="G15" s="1246"/>
      <c r="H15" s="1245"/>
      <c r="I15" s="1245"/>
      <c r="J15" s="1246"/>
      <c r="K15" s="1245"/>
      <c r="L15" s="1253"/>
      <c r="M15" s="1245"/>
      <c r="N15" s="1264"/>
    </row>
    <row r="16" spans="1:14" ht="19.5" customHeight="1">
      <c r="A16" s="1265"/>
      <c r="B16" s="1266" t="s">
        <v>465</v>
      </c>
      <c r="C16" s="1267">
        <v>0</v>
      </c>
      <c r="D16" s="1267">
        <v>0</v>
      </c>
      <c r="E16" s="1268">
        <v>0</v>
      </c>
      <c r="F16" s="1267">
        <v>55</v>
      </c>
      <c r="G16" s="1267">
        <v>0</v>
      </c>
      <c r="H16" s="1269">
        <v>55</v>
      </c>
      <c r="I16" s="1269">
        <v>54</v>
      </c>
      <c r="J16" s="1267">
        <v>474</v>
      </c>
      <c r="K16" s="1269">
        <v>528</v>
      </c>
      <c r="L16" s="1270">
        <v>98.18</v>
      </c>
      <c r="M16" s="1269">
        <v>0</v>
      </c>
      <c r="N16" s="1264">
        <v>9.6</v>
      </c>
    </row>
    <row r="17" spans="1:14" ht="19.5" customHeight="1">
      <c r="A17" s="1271"/>
      <c r="B17" s="1266" t="s">
        <v>466</v>
      </c>
      <c r="C17" s="1267">
        <v>0</v>
      </c>
      <c r="D17" s="1267">
        <v>0</v>
      </c>
      <c r="E17" s="1268">
        <v>0</v>
      </c>
      <c r="F17" s="1269">
        <v>0</v>
      </c>
      <c r="G17" s="1267">
        <v>0</v>
      </c>
      <c r="H17" s="1272">
        <v>0</v>
      </c>
      <c r="I17" s="1269">
        <v>0</v>
      </c>
      <c r="J17" s="1273">
        <v>260</v>
      </c>
      <c r="K17" s="1269">
        <v>260</v>
      </c>
      <c r="L17" s="1267">
        <v>0</v>
      </c>
      <c r="M17" s="1269">
        <v>0</v>
      </c>
      <c r="N17" s="1274">
        <v>0</v>
      </c>
    </row>
    <row r="18" spans="1:14" ht="19.5" customHeight="1">
      <c r="A18" s="1265"/>
      <c r="B18" s="1263" t="s">
        <v>467</v>
      </c>
      <c r="C18" s="1246">
        <v>0</v>
      </c>
      <c r="D18" s="1245">
        <v>34000</v>
      </c>
      <c r="E18" s="1258">
        <v>34000</v>
      </c>
      <c r="F18" s="1245">
        <v>2213</v>
      </c>
      <c r="G18" s="1245">
        <v>33127</v>
      </c>
      <c r="H18" s="1275">
        <v>35340</v>
      </c>
      <c r="I18" s="1245">
        <v>1882</v>
      </c>
      <c r="J18" s="1276">
        <v>16118</v>
      </c>
      <c r="K18" s="1245">
        <v>18000</v>
      </c>
      <c r="L18" s="1246">
        <v>85.04</v>
      </c>
      <c r="M18" s="1245">
        <v>48.66</v>
      </c>
      <c r="N18" s="1254">
        <v>50.93</v>
      </c>
    </row>
    <row r="19" spans="1:14" ht="19.5" customHeight="1">
      <c r="A19" s="1277"/>
      <c r="B19" s="1278" t="s">
        <v>460</v>
      </c>
      <c r="C19" s="1279"/>
      <c r="D19" s="1279"/>
      <c r="E19" s="1280"/>
      <c r="F19" s="1279"/>
      <c r="G19" s="1279"/>
      <c r="H19" s="1281"/>
      <c r="I19" s="1279"/>
      <c r="J19" s="1282"/>
      <c r="K19" s="1279"/>
      <c r="L19" s="1283"/>
      <c r="M19" s="1279"/>
      <c r="N19" s="1284"/>
    </row>
    <row r="20" spans="1:14" ht="19.5" customHeight="1">
      <c r="A20" s="1236"/>
      <c r="B20" s="1237" t="s">
        <v>468</v>
      </c>
      <c r="C20" s="1238">
        <v>78560</v>
      </c>
      <c r="D20" s="1238">
        <v>419602</v>
      </c>
      <c r="E20" s="1285">
        <v>498162</v>
      </c>
      <c r="F20" s="1238">
        <v>62448</v>
      </c>
      <c r="G20" s="1238">
        <v>419602</v>
      </c>
      <c r="H20" s="1286">
        <v>482050</v>
      </c>
      <c r="I20" s="1287">
        <v>0</v>
      </c>
      <c r="J20" s="1288">
        <v>29</v>
      </c>
      <c r="K20" s="1287">
        <v>29</v>
      </c>
      <c r="L20" s="1287">
        <v>0</v>
      </c>
      <c r="M20" s="1287">
        <v>0.01</v>
      </c>
      <c r="N20" s="1242">
        <v>0.006</v>
      </c>
    </row>
    <row r="21" spans="1:14" ht="19.5" customHeight="1">
      <c r="A21" s="1277"/>
      <c r="B21" s="1289" t="s">
        <v>469</v>
      </c>
      <c r="C21" s="1245"/>
      <c r="D21" s="1245"/>
      <c r="E21" s="1290"/>
      <c r="F21" s="1260"/>
      <c r="G21" s="1260"/>
      <c r="H21" s="1260"/>
      <c r="I21" s="1245"/>
      <c r="J21" s="1246"/>
      <c r="K21" s="1245"/>
      <c r="L21" s="1291"/>
      <c r="M21" s="1291"/>
      <c r="N21" s="1292"/>
    </row>
    <row r="22" spans="1:14" ht="19.5" customHeight="1">
      <c r="A22" s="1236"/>
      <c r="B22" s="1289" t="s">
        <v>463</v>
      </c>
      <c r="C22" s="1293">
        <v>8262</v>
      </c>
      <c r="D22" s="1293">
        <v>0</v>
      </c>
      <c r="E22" s="1290">
        <v>8262</v>
      </c>
      <c r="F22" s="1245">
        <v>0</v>
      </c>
      <c r="G22" s="1245">
        <v>0</v>
      </c>
      <c r="H22" s="1245">
        <v>0</v>
      </c>
      <c r="I22" s="1245">
        <v>0</v>
      </c>
      <c r="J22" s="1246">
        <v>0</v>
      </c>
      <c r="K22" s="1245">
        <v>0</v>
      </c>
      <c r="L22" s="1245">
        <v>0</v>
      </c>
      <c r="M22" s="1245">
        <v>0</v>
      </c>
      <c r="N22" s="1254">
        <v>0</v>
      </c>
    </row>
    <row r="23" spans="1:14" ht="19.5" customHeight="1">
      <c r="A23" s="1277"/>
      <c r="B23" s="1294" t="s">
        <v>470</v>
      </c>
      <c r="C23" s="1259">
        <v>68048</v>
      </c>
      <c r="D23" s="1259">
        <v>385602</v>
      </c>
      <c r="E23" s="1295">
        <f>SUM(C23:D23)</f>
        <v>453650</v>
      </c>
      <c r="F23" s="1259">
        <v>62448</v>
      </c>
      <c r="G23" s="1259">
        <v>385602</v>
      </c>
      <c r="H23" s="1247">
        <v>448050</v>
      </c>
      <c r="I23" s="1259">
        <v>0</v>
      </c>
      <c r="J23" s="1257">
        <v>0</v>
      </c>
      <c r="K23" s="1259">
        <v>0</v>
      </c>
      <c r="L23" s="1259">
        <v>0</v>
      </c>
      <c r="M23" s="1259">
        <v>0</v>
      </c>
      <c r="N23" s="1261">
        <v>0</v>
      </c>
    </row>
    <row r="24" spans="1:14" ht="19.5" customHeight="1">
      <c r="A24" s="1296"/>
      <c r="B24" s="1297" t="s">
        <v>471</v>
      </c>
      <c r="C24" s="1298"/>
      <c r="D24" s="1298"/>
      <c r="E24" s="603"/>
      <c r="F24" s="1245"/>
      <c r="G24" s="1245"/>
      <c r="H24" s="1258"/>
      <c r="I24" s="1245"/>
      <c r="J24" s="1246"/>
      <c r="K24" s="1245"/>
      <c r="L24" s="1245"/>
      <c r="M24" s="1245"/>
      <c r="N24" s="1254"/>
    </row>
    <row r="25" spans="1:14" ht="19.5" customHeight="1">
      <c r="A25" s="1255"/>
      <c r="B25" s="1244" t="s">
        <v>472</v>
      </c>
      <c r="C25" s="1260">
        <v>2250</v>
      </c>
      <c r="D25" s="1259">
        <v>34000</v>
      </c>
      <c r="E25" s="1299">
        <v>36250</v>
      </c>
      <c r="F25" s="1259">
        <v>0</v>
      </c>
      <c r="G25" s="1259">
        <v>34000</v>
      </c>
      <c r="H25" s="1247">
        <v>34000</v>
      </c>
      <c r="I25" s="1259">
        <v>0</v>
      </c>
      <c r="J25" s="1259">
        <v>29</v>
      </c>
      <c r="K25" s="1259">
        <v>29</v>
      </c>
      <c r="L25" s="1259">
        <v>0</v>
      </c>
      <c r="M25" s="1259">
        <v>0.085</v>
      </c>
      <c r="N25" s="1261">
        <v>0.085</v>
      </c>
    </row>
    <row r="26" spans="1:14" ht="19.5" customHeight="1">
      <c r="A26" s="1271"/>
      <c r="B26" s="1300"/>
      <c r="C26" s="1253"/>
      <c r="D26" s="1245"/>
      <c r="E26" s="1290"/>
      <c r="F26" s="1245"/>
      <c r="G26" s="1245"/>
      <c r="H26" s="1258"/>
      <c r="I26" s="1245"/>
      <c r="J26" s="1245"/>
      <c r="K26" s="1245"/>
      <c r="L26" s="1249"/>
      <c r="M26" s="1249"/>
      <c r="N26" s="1250"/>
    </row>
    <row r="27" spans="1:14" ht="19.5" customHeight="1">
      <c r="A27" s="1262"/>
      <c r="B27" s="1301"/>
      <c r="C27" s="1302"/>
      <c r="D27" s="1303"/>
      <c r="E27" s="1304"/>
      <c r="F27" s="1303"/>
      <c r="G27" s="1303"/>
      <c r="H27" s="1305"/>
      <c r="I27" s="1303"/>
      <c r="J27" s="1303"/>
      <c r="K27" s="1303"/>
      <c r="L27" s="1303"/>
      <c r="M27" s="1303"/>
      <c r="N27" s="1306"/>
    </row>
    <row r="28" spans="1:14" ht="19.5" customHeight="1">
      <c r="A28" s="1277"/>
      <c r="B28" s="1307" t="s">
        <v>473</v>
      </c>
      <c r="C28" s="1308"/>
      <c r="D28" s="1309"/>
      <c r="E28" s="1308"/>
      <c r="F28" s="1310"/>
      <c r="G28" s="1310"/>
      <c r="H28" s="1311"/>
      <c r="I28" s="1310"/>
      <c r="J28" s="1310"/>
      <c r="K28" s="1310"/>
      <c r="L28" s="1312"/>
      <c r="M28" s="1312"/>
      <c r="N28" s="1313"/>
    </row>
    <row r="29" spans="1:14" ht="19.5" customHeight="1">
      <c r="A29" s="1243"/>
      <c r="B29" s="1307" t="s">
        <v>474</v>
      </c>
      <c r="C29" s="1308"/>
      <c r="D29" s="1309"/>
      <c r="E29" s="1308"/>
      <c r="F29" s="1310"/>
      <c r="G29" s="1310"/>
      <c r="H29" s="1311"/>
      <c r="I29" s="1310"/>
      <c r="J29" s="1310"/>
      <c r="K29" s="1310"/>
      <c r="L29" s="1312"/>
      <c r="M29" s="1312"/>
      <c r="N29" s="1313"/>
    </row>
    <row r="30" spans="1:14" ht="19.5" customHeight="1">
      <c r="A30" s="1236"/>
      <c r="B30" s="1314" t="s">
        <v>2109</v>
      </c>
      <c r="C30" s="1315">
        <v>370</v>
      </c>
      <c r="D30" s="1238">
        <v>2100</v>
      </c>
      <c r="E30" s="1285">
        <v>2470</v>
      </c>
      <c r="F30" s="1238">
        <v>1195</v>
      </c>
      <c r="G30" s="1238">
        <v>6775</v>
      </c>
      <c r="H30" s="1240">
        <v>7970</v>
      </c>
      <c r="I30" s="1238">
        <v>534</v>
      </c>
      <c r="J30" s="1238">
        <v>3284</v>
      </c>
      <c r="K30" s="1238">
        <v>3818</v>
      </c>
      <c r="L30" s="1238">
        <v>44.69</v>
      </c>
      <c r="M30" s="1238">
        <v>48.47</v>
      </c>
      <c r="N30" s="1242">
        <v>47.9</v>
      </c>
    </row>
    <row r="31" spans="1:14" ht="19.5" customHeight="1">
      <c r="A31" s="1243"/>
      <c r="B31" s="1263"/>
      <c r="C31" s="1245"/>
      <c r="D31" s="1245"/>
      <c r="E31" s="1245"/>
      <c r="F31" s="1245"/>
      <c r="G31" s="1245"/>
      <c r="H31" s="1245"/>
      <c r="I31" s="1245"/>
      <c r="J31" s="1245"/>
      <c r="K31" s="1245"/>
      <c r="L31" s="1316"/>
      <c r="M31" s="1317"/>
      <c r="N31" s="1318"/>
    </row>
    <row r="32" spans="1:14" ht="19.5" customHeight="1" thickBot="1">
      <c r="A32" s="1243"/>
      <c r="B32" s="1300"/>
      <c r="C32" s="1249"/>
      <c r="D32" s="1249"/>
      <c r="E32" s="1249"/>
      <c r="F32" s="1249"/>
      <c r="G32" s="1249"/>
      <c r="H32" s="1249"/>
      <c r="I32" s="1249"/>
      <c r="J32" s="1249"/>
      <c r="K32" s="1249"/>
      <c r="L32" s="1316"/>
      <c r="M32" s="1317"/>
      <c r="N32" s="1318"/>
    </row>
    <row r="33" spans="1:14" s="1319" customFormat="1" ht="25.5" customHeight="1" thickBot="1">
      <c r="A33" s="1521"/>
      <c r="B33" s="1522"/>
      <c r="C33" s="1320"/>
      <c r="D33" s="1320"/>
      <c r="E33" s="1320"/>
      <c r="F33" s="1320"/>
      <c r="G33" s="1320"/>
      <c r="H33" s="1320"/>
      <c r="I33" s="1320"/>
      <c r="J33" s="1320"/>
      <c r="K33" s="1320"/>
      <c r="L33" s="1321"/>
      <c r="M33" s="1321"/>
      <c r="N33" s="1322"/>
    </row>
    <row r="34" spans="1:13" s="407" customFormat="1" ht="19.5" customHeight="1">
      <c r="A34" s="1523"/>
      <c r="B34" s="1524"/>
      <c r="C34" s="1524"/>
      <c r="D34" s="1524"/>
      <c r="E34" s="1524"/>
      <c r="F34" s="1524"/>
      <c r="G34" s="1524"/>
      <c r="H34" s="1524"/>
      <c r="I34" s="1524"/>
      <c r="J34" s="1524"/>
      <c r="K34" s="1524"/>
      <c r="L34" s="1323"/>
      <c r="M34" s="1323"/>
    </row>
    <row r="35" spans="1:13" ht="15.75">
      <c r="A35" s="1324"/>
      <c r="B35" s="1325"/>
      <c r="C35" s="407"/>
      <c r="D35" s="407"/>
      <c r="E35" s="407"/>
      <c r="F35" s="407"/>
      <c r="G35" s="407"/>
      <c r="H35" s="407"/>
      <c r="I35" s="407"/>
      <c r="J35" s="407"/>
      <c r="K35" s="1326"/>
      <c r="L35" s="1326"/>
      <c r="M35" s="1326"/>
    </row>
    <row r="36" spans="1:13" ht="17.25" customHeight="1" hidden="1">
      <c r="A36" s="1525"/>
      <c r="B36" s="1525"/>
      <c r="C36" s="1525"/>
      <c r="D36" s="1525"/>
      <c r="E36" s="1525"/>
      <c r="F36" s="1525"/>
      <c r="G36" s="1525"/>
      <c r="H36" s="1525"/>
      <c r="I36" s="1525"/>
      <c r="J36" s="1525"/>
      <c r="K36" s="1525"/>
      <c r="L36" s="1327"/>
      <c r="M36" s="1327"/>
    </row>
    <row r="37" spans="1:13" ht="17.25" customHeight="1">
      <c r="A37" s="1327"/>
      <c r="B37" s="1327"/>
      <c r="C37" s="1327"/>
      <c r="D37" s="1327"/>
      <c r="E37" s="1327"/>
      <c r="F37" s="1327"/>
      <c r="G37" s="1327"/>
      <c r="H37" s="1327"/>
      <c r="I37" s="1327"/>
      <c r="J37" s="1327"/>
      <c r="K37" s="1327"/>
      <c r="L37" s="1327"/>
      <c r="M37" s="1327"/>
    </row>
    <row r="38" spans="1:16" s="1121" customFormat="1" ht="15">
      <c r="A38" s="1121" t="s">
        <v>391</v>
      </c>
      <c r="B38" s="1122"/>
      <c r="E38" s="1121" t="s">
        <v>393</v>
      </c>
      <c r="G38" s="1122"/>
      <c r="H38" s="1123"/>
      <c r="I38" s="1123"/>
      <c r="K38" s="1123"/>
      <c r="L38" s="1123"/>
      <c r="M38" s="1520" t="s">
        <v>1060</v>
      </c>
      <c r="N38" s="1520"/>
      <c r="O38" s="1334"/>
      <c r="P38" s="1123"/>
    </row>
    <row r="39" spans="1:16" s="1121" customFormat="1" ht="20.25" customHeight="1">
      <c r="A39" s="1334" t="s">
        <v>392</v>
      </c>
      <c r="B39" s="1334"/>
      <c r="C39" s="1334"/>
      <c r="F39" s="1335"/>
      <c r="G39" s="1122"/>
      <c r="H39" s="1123"/>
      <c r="I39" s="1123"/>
      <c r="M39" s="1124"/>
      <c r="N39" s="1124"/>
      <c r="O39" s="1123"/>
      <c r="P39" s="1123"/>
    </row>
    <row r="40" spans="1:13" ht="16.5" customHeight="1">
      <c r="A40" s="1328"/>
      <c r="B40" s="407"/>
      <c r="C40" s="1329"/>
      <c r="D40" s="1329"/>
      <c r="E40" s="1329"/>
      <c r="F40" s="1329"/>
      <c r="G40" s="1329"/>
      <c r="H40" s="1329"/>
      <c r="I40" s="1329"/>
      <c r="J40" s="1329"/>
      <c r="K40" s="1326"/>
      <c r="L40" s="1326"/>
      <c r="M40" s="1326"/>
    </row>
    <row r="41" spans="1:13" ht="15">
      <c r="A41" s="1328"/>
      <c r="B41" s="407"/>
      <c r="C41" s="1329"/>
      <c r="D41" s="1329"/>
      <c r="E41" s="1329"/>
      <c r="F41" s="1329"/>
      <c r="G41" s="1329"/>
      <c r="H41" s="1329"/>
      <c r="I41" s="1329"/>
      <c r="J41" s="1329"/>
      <c r="K41" s="1326"/>
      <c r="L41" s="1326"/>
      <c r="M41" s="1326"/>
    </row>
    <row r="42" spans="1:13" ht="15">
      <c r="A42" s="1328"/>
      <c r="B42" s="407"/>
      <c r="C42" s="1329"/>
      <c r="D42" s="1329"/>
      <c r="E42" s="1329"/>
      <c r="F42" s="1329"/>
      <c r="G42" s="1329"/>
      <c r="H42" s="1329"/>
      <c r="I42" s="1329"/>
      <c r="J42" s="1329"/>
      <c r="K42" s="1326"/>
      <c r="L42" s="1326"/>
      <c r="M42" s="1326"/>
    </row>
    <row r="43" spans="1:13" ht="15">
      <c r="A43" s="1328"/>
      <c r="B43" s="407"/>
      <c r="C43" s="1329"/>
      <c r="D43" s="1329"/>
      <c r="E43" s="1329"/>
      <c r="F43" s="1329"/>
      <c r="G43" s="1329"/>
      <c r="H43" s="1329"/>
      <c r="I43" s="1329"/>
      <c r="J43" s="1329"/>
      <c r="K43" s="1326"/>
      <c r="L43" s="1326"/>
      <c r="M43" s="1326"/>
    </row>
    <row r="44" spans="1:13" ht="15">
      <c r="A44" s="1328"/>
      <c r="B44" s="407"/>
      <c r="C44" s="1329"/>
      <c r="D44" s="1329"/>
      <c r="E44" s="1329"/>
      <c r="F44" s="1329"/>
      <c r="G44" s="1329"/>
      <c r="H44" s="1329"/>
      <c r="I44" s="1329"/>
      <c r="J44" s="1329"/>
      <c r="K44" s="1326"/>
      <c r="L44" s="1326"/>
      <c r="M44" s="1326"/>
    </row>
    <row r="45" spans="1:13" ht="15">
      <c r="A45" s="1328"/>
      <c r="B45" s="407"/>
      <c r="C45" s="1329"/>
      <c r="D45" s="1329"/>
      <c r="E45" s="1329"/>
      <c r="F45" s="1329"/>
      <c r="G45" s="1329"/>
      <c r="H45" s="1329"/>
      <c r="I45" s="1329"/>
      <c r="J45" s="1329"/>
      <c r="K45" s="1326"/>
      <c r="L45" s="1326"/>
      <c r="M45" s="1326"/>
    </row>
    <row r="46" spans="1:13" ht="15">
      <c r="A46" s="1328"/>
      <c r="B46" s="407"/>
      <c r="C46" s="1329"/>
      <c r="D46" s="1329"/>
      <c r="E46" s="1329"/>
      <c r="F46" s="1329"/>
      <c r="G46" s="1329"/>
      <c r="H46" s="1329"/>
      <c r="I46" s="1329"/>
      <c r="J46" s="1329"/>
      <c r="K46" s="1326"/>
      <c r="L46" s="1326"/>
      <c r="M46" s="1326"/>
    </row>
    <row r="47" spans="1:13" ht="15">
      <c r="A47" s="1328"/>
      <c r="B47" s="407"/>
      <c r="C47" s="1329"/>
      <c r="D47" s="1329"/>
      <c r="E47" s="1329"/>
      <c r="F47" s="1329"/>
      <c r="G47" s="1329"/>
      <c r="H47" s="1329"/>
      <c r="I47" s="1329"/>
      <c r="J47" s="1329"/>
      <c r="K47" s="1326"/>
      <c r="L47" s="1326"/>
      <c r="M47" s="1326"/>
    </row>
    <row r="48" spans="1:13" ht="15">
      <c r="A48" s="1328"/>
      <c r="B48" s="407"/>
      <c r="C48" s="1329"/>
      <c r="D48" s="1329"/>
      <c r="E48" s="1329"/>
      <c r="F48" s="1329"/>
      <c r="G48" s="1329"/>
      <c r="H48" s="1329"/>
      <c r="I48" s="1329"/>
      <c r="J48" s="1329"/>
      <c r="K48" s="1326"/>
      <c r="L48" s="1326"/>
      <c r="M48" s="1326"/>
    </row>
    <row r="49" spans="1:13" ht="15.75">
      <c r="A49" s="1328"/>
      <c r="B49" s="407"/>
      <c r="C49" s="1330"/>
      <c r="D49" s="1330"/>
      <c r="E49" s="1330"/>
      <c r="F49" s="1330"/>
      <c r="G49" s="1330"/>
      <c r="H49" s="1330"/>
      <c r="I49" s="1330"/>
      <c r="J49" s="1330"/>
      <c r="K49" s="1326"/>
      <c r="L49" s="1326"/>
      <c r="M49" s="1326"/>
    </row>
    <row r="50" spans="1:13" ht="15.75">
      <c r="A50" s="1328"/>
      <c r="B50" s="407"/>
      <c r="C50" s="1330"/>
      <c r="D50" s="1330"/>
      <c r="E50" s="1330"/>
      <c r="F50" s="1330"/>
      <c r="G50" s="1330"/>
      <c r="H50" s="1330"/>
      <c r="I50" s="1330"/>
      <c r="J50" s="1330"/>
      <c r="K50" s="1326"/>
      <c r="L50" s="1326"/>
      <c r="M50" s="1326"/>
    </row>
    <row r="51" spans="1:13" ht="15.75">
      <c r="A51" s="1328"/>
      <c r="B51" s="1325"/>
      <c r="C51" s="1330"/>
      <c r="D51" s="1330"/>
      <c r="E51" s="1330"/>
      <c r="F51" s="1330"/>
      <c r="G51" s="1330"/>
      <c r="H51" s="1330"/>
      <c r="I51" s="1330"/>
      <c r="J51" s="1330"/>
      <c r="K51" s="1326"/>
      <c r="L51" s="1326"/>
      <c r="M51" s="1326"/>
    </row>
    <row r="52" spans="1:13" ht="15.75">
      <c r="A52" s="1328"/>
      <c r="B52" s="407"/>
      <c r="C52" s="1330"/>
      <c r="D52" s="1330"/>
      <c r="E52" s="1330"/>
      <c r="F52" s="1330"/>
      <c r="G52" s="1330"/>
      <c r="H52" s="1330"/>
      <c r="I52" s="1330"/>
      <c r="J52" s="1330"/>
      <c r="K52" s="1326"/>
      <c r="L52" s="1326"/>
      <c r="M52" s="1326"/>
    </row>
    <row r="53" spans="1:10" ht="15">
      <c r="A53" s="1331"/>
      <c r="B53" s="409"/>
      <c r="C53" s="409"/>
      <c r="D53" s="409"/>
      <c r="E53" s="409"/>
      <c r="F53" s="409"/>
      <c r="G53" s="409"/>
      <c r="H53" s="409"/>
      <c r="I53" s="409"/>
      <c r="J53" s="409"/>
    </row>
    <row r="54" spans="1:10" ht="15.75">
      <c r="A54" s="1332"/>
      <c r="B54" s="548"/>
      <c r="C54" s="1333"/>
      <c r="D54" s="1333"/>
      <c r="E54" s="1333"/>
      <c r="F54" s="1333"/>
      <c r="G54" s="1333"/>
      <c r="H54" s="1333"/>
      <c r="I54" s="1333"/>
      <c r="J54" s="1333"/>
    </row>
    <row r="55" spans="1:10" ht="15">
      <c r="A55" s="1331"/>
      <c r="B55" s="409"/>
      <c r="C55" s="409"/>
      <c r="D55" s="409"/>
      <c r="E55" s="409"/>
      <c r="F55" s="409"/>
      <c r="G55" s="409"/>
      <c r="H55" s="409"/>
      <c r="I55" s="409"/>
      <c r="J55" s="409"/>
    </row>
    <row r="56" spans="1:10" ht="15.75">
      <c r="A56" s="1332"/>
      <c r="B56" s="409"/>
      <c r="C56" s="409"/>
      <c r="D56" s="409"/>
      <c r="E56" s="409"/>
      <c r="F56" s="409"/>
      <c r="G56" s="409"/>
      <c r="H56" s="409"/>
      <c r="I56" s="409"/>
      <c r="J56" s="409"/>
    </row>
    <row r="57" spans="1:10" ht="15.75">
      <c r="A57" s="1331"/>
      <c r="B57" s="548"/>
      <c r="C57" s="409"/>
      <c r="D57" s="409"/>
      <c r="E57" s="409"/>
      <c r="F57" s="409"/>
      <c r="G57" s="409"/>
      <c r="H57" s="409"/>
      <c r="I57" s="409"/>
      <c r="J57" s="409"/>
    </row>
    <row r="58" spans="1:10" ht="15.75">
      <c r="A58" s="1332"/>
      <c r="B58" s="548"/>
      <c r="C58" s="409"/>
      <c r="D58" s="409"/>
      <c r="E58" s="409"/>
      <c r="F58" s="409"/>
      <c r="G58" s="409"/>
      <c r="H58" s="409"/>
      <c r="I58" s="409"/>
      <c r="J58" s="409"/>
    </row>
    <row r="59" spans="1:10" ht="15.75">
      <c r="A59" s="1331"/>
      <c r="B59" s="548"/>
      <c r="C59" s="409"/>
      <c r="D59" s="409"/>
      <c r="E59" s="409"/>
      <c r="F59" s="409"/>
      <c r="G59" s="409"/>
      <c r="H59" s="409"/>
      <c r="I59" s="409"/>
      <c r="J59" s="409"/>
    </row>
    <row r="60" ht="12.75">
      <c r="B60" s="604"/>
    </row>
    <row r="61" ht="12.75">
      <c r="B61" s="604"/>
    </row>
    <row r="62" ht="12.75">
      <c r="B62" s="604"/>
    </row>
  </sheetData>
  <mergeCells count="14">
    <mergeCell ref="A2:B2"/>
    <mergeCell ref="M38:N38"/>
    <mergeCell ref="A33:B33"/>
    <mergeCell ref="A34:K34"/>
    <mergeCell ref="A36:K36"/>
    <mergeCell ref="M2:N2"/>
    <mergeCell ref="B3:M3"/>
    <mergeCell ref="A6:A9"/>
    <mergeCell ref="B6:B9"/>
    <mergeCell ref="C6:H6"/>
    <mergeCell ref="I6:K7"/>
    <mergeCell ref="L6:N7"/>
    <mergeCell ref="C7:E7"/>
    <mergeCell ref="F7:H7"/>
  </mergeCell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61" r:id="rId1"/>
  <headerFooter alignWithMargins="0">
    <oddFooter>&amp;C&amp;12&amp;P+154&amp;10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4"/>
  <sheetViews>
    <sheetView zoomScale="85" zoomScaleNormal="85" workbookViewId="0" topLeftCell="A16">
      <selection activeCell="B30" sqref="B30"/>
    </sheetView>
  </sheetViews>
  <sheetFormatPr defaultColWidth="9.00390625" defaultRowHeight="12.75"/>
  <cols>
    <col min="1" max="1" width="35.125" style="0" customWidth="1"/>
    <col min="2" max="7" width="20.625" style="0" customWidth="1"/>
    <col min="8" max="8" width="13.875" style="0" customWidth="1"/>
    <col min="9" max="9" width="13.75390625" style="0" customWidth="1"/>
    <col min="10" max="10" width="15.875" style="0" customWidth="1"/>
    <col min="11" max="11" width="13.875" style="0" customWidth="1"/>
    <col min="12" max="12" width="13.75390625" style="0" customWidth="1"/>
    <col min="13" max="13" width="17.875" style="0" customWidth="1"/>
    <col min="14" max="15" width="17.00390625" style="0" customWidth="1"/>
    <col min="16" max="16" width="21.00390625" style="0" customWidth="1"/>
    <col min="17" max="18" width="13.75390625" style="0" customWidth="1"/>
    <col min="19" max="20" width="18.25390625" style="0" customWidth="1"/>
    <col min="21" max="22" width="16.75390625" style="0" customWidth="1"/>
    <col min="23" max="23" width="19.625" style="175" customWidth="1"/>
  </cols>
  <sheetData>
    <row r="1" spans="1:23" s="1343" customFormat="1" ht="25.5" customHeight="1">
      <c r="A1" s="1343" t="s">
        <v>1063</v>
      </c>
      <c r="N1" s="1344"/>
      <c r="V1" s="1533" t="s">
        <v>1613</v>
      </c>
      <c r="W1" s="1533"/>
    </row>
    <row r="2" ht="29.25" customHeight="1"/>
    <row r="3" spans="1:23" s="1345" customFormat="1" ht="31.5" customHeight="1">
      <c r="A3" s="1534" t="s">
        <v>1606</v>
      </c>
      <c r="B3" s="1534"/>
      <c r="C3" s="1534"/>
      <c r="D3" s="1534"/>
      <c r="E3" s="1534"/>
      <c r="F3" s="1534"/>
      <c r="G3" s="1534"/>
      <c r="H3" s="1534"/>
      <c r="I3" s="1534"/>
      <c r="J3" s="1534"/>
      <c r="K3" s="1534"/>
      <c r="L3" s="1534"/>
      <c r="M3" s="1534"/>
      <c r="N3" s="1534"/>
      <c r="O3" s="1534"/>
      <c r="P3" s="1534"/>
      <c r="Q3" s="1534"/>
      <c r="R3" s="1534"/>
      <c r="S3" s="1534"/>
      <c r="T3" s="1534"/>
      <c r="U3" s="1534"/>
      <c r="V3" s="1534"/>
      <c r="W3" s="1534"/>
    </row>
    <row r="4" spans="1:16" ht="51" customHeight="1" thickBot="1">
      <c r="A4" s="24"/>
      <c r="P4" s="1125"/>
    </row>
    <row r="5" spans="1:23" s="807" customFormat="1" ht="33" customHeight="1" thickBot="1">
      <c r="A5" s="1535" t="s">
        <v>871</v>
      </c>
      <c r="B5" s="1537" t="s">
        <v>1607</v>
      </c>
      <c r="C5" s="1538"/>
      <c r="D5" s="1539"/>
      <c r="E5" s="1537" t="s">
        <v>908</v>
      </c>
      <c r="F5" s="1538"/>
      <c r="G5" s="1539"/>
      <c r="H5" s="1193" t="s">
        <v>1067</v>
      </c>
      <c r="I5" s="1194"/>
      <c r="J5" s="1195"/>
      <c r="K5" s="1193" t="s">
        <v>1068</v>
      </c>
      <c r="L5" s="1194"/>
      <c r="M5" s="1195"/>
      <c r="N5" s="1537" t="s">
        <v>1608</v>
      </c>
      <c r="O5" s="1538"/>
      <c r="P5" s="1539"/>
      <c r="Q5" s="1537" t="s">
        <v>1070</v>
      </c>
      <c r="R5" s="1538"/>
      <c r="S5" s="1538"/>
      <c r="T5" s="1196" t="s">
        <v>1071</v>
      </c>
      <c r="U5" s="1538" t="s">
        <v>1609</v>
      </c>
      <c r="V5" s="1538"/>
      <c r="W5" s="1539"/>
    </row>
    <row r="6" spans="1:23" s="807" customFormat="1" ht="33" customHeight="1" thickBot="1">
      <c r="A6" s="1536"/>
      <c r="B6" s="1197" t="s">
        <v>1038</v>
      </c>
      <c r="C6" s="1198" t="s">
        <v>1039</v>
      </c>
      <c r="D6" s="1199" t="s">
        <v>1074</v>
      </c>
      <c r="E6" s="1197" t="s">
        <v>1038</v>
      </c>
      <c r="F6" s="1198" t="s">
        <v>1039</v>
      </c>
      <c r="G6" s="1199" t="s">
        <v>1074</v>
      </c>
      <c r="H6" s="1197" t="s">
        <v>1038</v>
      </c>
      <c r="I6" s="1198" t="s">
        <v>1039</v>
      </c>
      <c r="J6" s="1199" t="s">
        <v>1074</v>
      </c>
      <c r="K6" s="1197" t="s">
        <v>1038</v>
      </c>
      <c r="L6" s="1198" t="s">
        <v>1039</v>
      </c>
      <c r="M6" s="1199" t="s">
        <v>1074</v>
      </c>
      <c r="N6" s="1197" t="s">
        <v>1038</v>
      </c>
      <c r="O6" s="1200" t="s">
        <v>1039</v>
      </c>
      <c r="P6" s="1199" t="s">
        <v>1074</v>
      </c>
      <c r="Q6" s="1197" t="s">
        <v>1038</v>
      </c>
      <c r="R6" s="1198" t="s">
        <v>1039</v>
      </c>
      <c r="S6" s="1197" t="s">
        <v>1074</v>
      </c>
      <c r="T6" s="1201" t="s">
        <v>1075</v>
      </c>
      <c r="U6" s="1197" t="s">
        <v>1038</v>
      </c>
      <c r="V6" s="1198" t="s">
        <v>1039</v>
      </c>
      <c r="W6" s="1199" t="s">
        <v>1074</v>
      </c>
    </row>
    <row r="7" spans="1:23" s="948" customFormat="1" ht="33" customHeight="1">
      <c r="A7" s="1346" t="s">
        <v>1610</v>
      </c>
      <c r="B7" s="1131">
        <v>398105</v>
      </c>
      <c r="C7" s="1132">
        <v>409030</v>
      </c>
      <c r="D7" s="1133">
        <v>410743.29</v>
      </c>
      <c r="E7" s="1131">
        <v>136723</v>
      </c>
      <c r="F7" s="1132">
        <v>140679</v>
      </c>
      <c r="G7" s="1133">
        <v>141076.36</v>
      </c>
      <c r="H7" s="1131">
        <v>7749</v>
      </c>
      <c r="I7" s="1132">
        <v>7953</v>
      </c>
      <c r="J7" s="1133">
        <v>7987.27</v>
      </c>
      <c r="K7" s="1131">
        <v>51891</v>
      </c>
      <c r="L7" s="1132">
        <v>57957</v>
      </c>
      <c r="M7" s="1134">
        <v>57926.91</v>
      </c>
      <c r="N7" s="1135">
        <v>68461</v>
      </c>
      <c r="O7" s="1132">
        <v>89633</v>
      </c>
      <c r="P7" s="1136">
        <v>94577.68</v>
      </c>
      <c r="Q7" s="1137">
        <v>0</v>
      </c>
      <c r="R7" s="1138">
        <v>0</v>
      </c>
      <c r="S7" s="1139">
        <v>0</v>
      </c>
      <c r="T7" s="1140">
        <v>294.18</v>
      </c>
      <c r="U7" s="1141">
        <f aca="true" t="shared" si="0" ref="U7:V21">B7+E7+H7+K7+N7+Q7</f>
        <v>662929</v>
      </c>
      <c r="V7" s="1132">
        <f t="shared" si="0"/>
        <v>705252</v>
      </c>
      <c r="W7" s="1134">
        <f aca="true" t="shared" si="1" ref="W7:W21">D7+G7+J7+M7+P7+S7+T7</f>
        <v>712605.6900000001</v>
      </c>
    </row>
    <row r="8" spans="1:23" s="948" customFormat="1" ht="33" customHeight="1">
      <c r="A8" s="1346" t="s">
        <v>2510</v>
      </c>
      <c r="B8" s="1142">
        <v>446685</v>
      </c>
      <c r="C8" s="1143">
        <v>458377</v>
      </c>
      <c r="D8" s="1144">
        <v>459645.95</v>
      </c>
      <c r="E8" s="1142">
        <v>154353</v>
      </c>
      <c r="F8" s="1143">
        <v>157589</v>
      </c>
      <c r="G8" s="1144">
        <v>158947.74</v>
      </c>
      <c r="H8" s="1142">
        <v>8691</v>
      </c>
      <c r="I8" s="1143">
        <v>8906</v>
      </c>
      <c r="J8" s="1144">
        <v>8931.38</v>
      </c>
      <c r="K8" s="1142">
        <v>62880</v>
      </c>
      <c r="L8" s="1143">
        <v>68648</v>
      </c>
      <c r="M8" s="1145">
        <v>76013.5</v>
      </c>
      <c r="N8" s="1146">
        <v>71571</v>
      </c>
      <c r="O8" s="1147">
        <v>121881</v>
      </c>
      <c r="P8" s="1148">
        <v>131929.65</v>
      </c>
      <c r="Q8" s="1149">
        <v>0</v>
      </c>
      <c r="R8" s="1150">
        <v>0</v>
      </c>
      <c r="S8" s="1151">
        <v>0</v>
      </c>
      <c r="T8" s="1152">
        <v>170</v>
      </c>
      <c r="U8" s="1153">
        <f t="shared" si="0"/>
        <v>744180</v>
      </c>
      <c r="V8" s="1147">
        <f t="shared" si="0"/>
        <v>815401</v>
      </c>
      <c r="W8" s="1145">
        <f t="shared" si="1"/>
        <v>835638.22</v>
      </c>
    </row>
    <row r="9" spans="1:23" s="948" customFormat="1" ht="33" customHeight="1">
      <c r="A9" s="1346" t="s">
        <v>2511</v>
      </c>
      <c r="B9" s="1142">
        <v>283990</v>
      </c>
      <c r="C9" s="1143">
        <v>293478</v>
      </c>
      <c r="D9" s="1144">
        <v>294327.51</v>
      </c>
      <c r="E9" s="1142">
        <v>98179</v>
      </c>
      <c r="F9" s="1143">
        <v>101170</v>
      </c>
      <c r="G9" s="1144">
        <v>101170</v>
      </c>
      <c r="H9" s="1142">
        <v>5564</v>
      </c>
      <c r="I9" s="1143">
        <v>5740</v>
      </c>
      <c r="J9" s="1144">
        <v>5757.61</v>
      </c>
      <c r="K9" s="1142">
        <v>39495</v>
      </c>
      <c r="L9" s="1143">
        <v>40935</v>
      </c>
      <c r="M9" s="1144">
        <v>41410.69</v>
      </c>
      <c r="N9" s="1146">
        <v>98277</v>
      </c>
      <c r="O9" s="1147">
        <v>109092</v>
      </c>
      <c r="P9" s="1148">
        <v>109774.34</v>
      </c>
      <c r="Q9" s="1154">
        <v>0</v>
      </c>
      <c r="R9" s="1155">
        <v>0</v>
      </c>
      <c r="S9" s="1156">
        <v>0</v>
      </c>
      <c r="T9" s="1157">
        <v>167.21</v>
      </c>
      <c r="U9" s="1153">
        <f t="shared" si="0"/>
        <v>525505</v>
      </c>
      <c r="V9" s="1147">
        <f t="shared" si="0"/>
        <v>550415</v>
      </c>
      <c r="W9" s="1158">
        <f t="shared" si="1"/>
        <v>552607.36</v>
      </c>
    </row>
    <row r="10" spans="1:23" s="948" customFormat="1" ht="33" customHeight="1">
      <c r="A10" s="1346" t="s">
        <v>2512</v>
      </c>
      <c r="B10" s="1142">
        <v>262323</v>
      </c>
      <c r="C10" s="1143">
        <v>271304</v>
      </c>
      <c r="D10" s="1144">
        <v>271840.21</v>
      </c>
      <c r="E10" s="1142">
        <v>89965</v>
      </c>
      <c r="F10" s="1143">
        <v>93098</v>
      </c>
      <c r="G10" s="1144">
        <v>93285.67</v>
      </c>
      <c r="H10" s="1142">
        <v>5104</v>
      </c>
      <c r="I10" s="1143">
        <v>5270</v>
      </c>
      <c r="J10" s="1144">
        <v>5279.24</v>
      </c>
      <c r="K10" s="1142">
        <v>39874</v>
      </c>
      <c r="L10" s="1143">
        <v>40846</v>
      </c>
      <c r="M10" s="1144">
        <v>43696.37</v>
      </c>
      <c r="N10" s="1146">
        <v>60854</v>
      </c>
      <c r="O10" s="1147">
        <v>86792</v>
      </c>
      <c r="P10" s="1148">
        <v>108776.18</v>
      </c>
      <c r="Q10" s="1149">
        <v>0</v>
      </c>
      <c r="R10" s="1150">
        <v>0</v>
      </c>
      <c r="S10" s="1151">
        <v>0</v>
      </c>
      <c r="T10" s="1152">
        <v>67.97</v>
      </c>
      <c r="U10" s="1153">
        <f t="shared" si="0"/>
        <v>458120</v>
      </c>
      <c r="V10" s="1147">
        <f t="shared" si="0"/>
        <v>497310</v>
      </c>
      <c r="W10" s="1145">
        <f t="shared" si="1"/>
        <v>522945.63999999996</v>
      </c>
    </row>
    <row r="11" spans="1:23" s="948" customFormat="1" ht="33" customHeight="1">
      <c r="A11" s="1346" t="s">
        <v>2513</v>
      </c>
      <c r="B11" s="1142">
        <v>132270</v>
      </c>
      <c r="C11" s="1143">
        <v>122219</v>
      </c>
      <c r="D11" s="1144">
        <v>135448.55</v>
      </c>
      <c r="E11" s="1142">
        <v>45220</v>
      </c>
      <c r="F11" s="1143">
        <v>41825</v>
      </c>
      <c r="G11" s="1144">
        <v>46423.63</v>
      </c>
      <c r="H11" s="1142">
        <v>2568</v>
      </c>
      <c r="I11" s="1143">
        <v>2373</v>
      </c>
      <c r="J11" s="1144">
        <v>2635.59</v>
      </c>
      <c r="K11" s="1142">
        <v>17357</v>
      </c>
      <c r="L11" s="1143">
        <v>17858</v>
      </c>
      <c r="M11" s="1144">
        <v>21469.92</v>
      </c>
      <c r="N11" s="1146">
        <v>25215</v>
      </c>
      <c r="O11" s="1147">
        <v>35996</v>
      </c>
      <c r="P11" s="1148">
        <v>49783.53</v>
      </c>
      <c r="Q11" s="1154">
        <v>0</v>
      </c>
      <c r="R11" s="1155">
        <v>0</v>
      </c>
      <c r="S11" s="1156">
        <v>0</v>
      </c>
      <c r="T11" s="1157">
        <v>357.65</v>
      </c>
      <c r="U11" s="1153">
        <f t="shared" si="0"/>
        <v>222630</v>
      </c>
      <c r="V11" s="1147">
        <f t="shared" si="0"/>
        <v>220271</v>
      </c>
      <c r="W11" s="1158">
        <f t="shared" si="1"/>
        <v>256118.87</v>
      </c>
    </row>
    <row r="12" spans="1:23" s="948" customFormat="1" ht="33" customHeight="1">
      <c r="A12" s="1346" t="s">
        <v>2514</v>
      </c>
      <c r="B12" s="1142">
        <v>311528</v>
      </c>
      <c r="C12" s="1143">
        <v>321809</v>
      </c>
      <c r="D12" s="1144">
        <v>323100.13</v>
      </c>
      <c r="E12" s="1142">
        <v>107005</v>
      </c>
      <c r="F12" s="1143">
        <v>110341</v>
      </c>
      <c r="G12" s="1144">
        <v>110727.78</v>
      </c>
      <c r="H12" s="1142">
        <v>6046</v>
      </c>
      <c r="I12" s="1143">
        <v>6236</v>
      </c>
      <c r="J12" s="1144">
        <v>6262.36</v>
      </c>
      <c r="K12" s="1142">
        <v>43950</v>
      </c>
      <c r="L12" s="1143">
        <v>48110</v>
      </c>
      <c r="M12" s="1144">
        <v>48576.93</v>
      </c>
      <c r="N12" s="1146">
        <v>67637</v>
      </c>
      <c r="O12" s="1147">
        <v>85073</v>
      </c>
      <c r="P12" s="1148">
        <v>93278.42</v>
      </c>
      <c r="Q12" s="1149">
        <v>0</v>
      </c>
      <c r="R12" s="1150">
        <v>0</v>
      </c>
      <c r="S12" s="1151">
        <v>0</v>
      </c>
      <c r="T12" s="1157">
        <v>296.57</v>
      </c>
      <c r="U12" s="1153">
        <f t="shared" si="0"/>
        <v>536166</v>
      </c>
      <c r="V12" s="1147">
        <f t="shared" si="0"/>
        <v>571569</v>
      </c>
      <c r="W12" s="1145">
        <f t="shared" si="1"/>
        <v>582242.19</v>
      </c>
    </row>
    <row r="13" spans="1:23" s="948" customFormat="1" ht="33" customHeight="1">
      <c r="A13" s="1346" t="s">
        <v>2515</v>
      </c>
      <c r="B13" s="1142">
        <v>158338</v>
      </c>
      <c r="C13" s="1143">
        <v>163784</v>
      </c>
      <c r="D13" s="1144">
        <v>164005.61</v>
      </c>
      <c r="E13" s="1142">
        <v>54486</v>
      </c>
      <c r="F13" s="1143">
        <v>56329</v>
      </c>
      <c r="G13" s="1144">
        <v>56370.44</v>
      </c>
      <c r="H13" s="1142">
        <v>3096</v>
      </c>
      <c r="I13" s="1143">
        <v>3196</v>
      </c>
      <c r="J13" s="1144">
        <v>3200.43</v>
      </c>
      <c r="K13" s="1142">
        <v>18043</v>
      </c>
      <c r="L13" s="1143">
        <v>24197</v>
      </c>
      <c r="M13" s="1144">
        <v>24266.52</v>
      </c>
      <c r="N13" s="1146">
        <v>33215</v>
      </c>
      <c r="O13" s="1147">
        <v>51958</v>
      </c>
      <c r="P13" s="1148">
        <v>53297.66</v>
      </c>
      <c r="Q13" s="1154">
        <v>0</v>
      </c>
      <c r="R13" s="1155">
        <v>0</v>
      </c>
      <c r="S13" s="1156">
        <v>0</v>
      </c>
      <c r="T13" s="1157">
        <v>145.75</v>
      </c>
      <c r="U13" s="1153">
        <f t="shared" si="0"/>
        <v>267178</v>
      </c>
      <c r="V13" s="1147">
        <f t="shared" si="0"/>
        <v>299464</v>
      </c>
      <c r="W13" s="1158">
        <f t="shared" si="1"/>
        <v>301286.41</v>
      </c>
    </row>
    <row r="14" spans="1:23" s="948" customFormat="1" ht="33" customHeight="1">
      <c r="A14" s="1346" t="s">
        <v>2516</v>
      </c>
      <c r="B14" s="1142">
        <v>199684</v>
      </c>
      <c r="C14" s="1143">
        <v>204827</v>
      </c>
      <c r="D14" s="1144">
        <v>207452.54</v>
      </c>
      <c r="E14" s="1142">
        <v>69213</v>
      </c>
      <c r="F14" s="1143">
        <v>70514</v>
      </c>
      <c r="G14" s="1144">
        <v>71432.94</v>
      </c>
      <c r="H14" s="1142">
        <v>3883</v>
      </c>
      <c r="I14" s="1143">
        <v>3983</v>
      </c>
      <c r="J14" s="1144">
        <v>4034.27</v>
      </c>
      <c r="K14" s="1142">
        <v>31354</v>
      </c>
      <c r="L14" s="1143">
        <v>34709</v>
      </c>
      <c r="M14" s="1144">
        <v>35865.5</v>
      </c>
      <c r="N14" s="1146">
        <v>39755</v>
      </c>
      <c r="O14" s="1147">
        <v>59708</v>
      </c>
      <c r="P14" s="1148">
        <v>63946.86</v>
      </c>
      <c r="Q14" s="1149">
        <v>0</v>
      </c>
      <c r="R14" s="1150">
        <v>0</v>
      </c>
      <c r="S14" s="1151">
        <v>0</v>
      </c>
      <c r="T14" s="1157">
        <v>166.34</v>
      </c>
      <c r="U14" s="1153">
        <f t="shared" si="0"/>
        <v>343889</v>
      </c>
      <c r="V14" s="1147">
        <f t="shared" si="0"/>
        <v>373741</v>
      </c>
      <c r="W14" s="1145">
        <f t="shared" si="1"/>
        <v>382898.45</v>
      </c>
    </row>
    <row r="15" spans="1:23" s="948" customFormat="1" ht="33" customHeight="1">
      <c r="A15" s="1346" t="s">
        <v>2517</v>
      </c>
      <c r="B15" s="1142">
        <v>175124</v>
      </c>
      <c r="C15" s="1143">
        <v>180769</v>
      </c>
      <c r="D15" s="1144">
        <v>181428.25</v>
      </c>
      <c r="E15" s="1142">
        <v>60374</v>
      </c>
      <c r="F15" s="1143">
        <v>62335</v>
      </c>
      <c r="G15" s="1144">
        <v>62560.84</v>
      </c>
      <c r="H15" s="1142">
        <v>3425</v>
      </c>
      <c r="I15" s="1143">
        <v>3532</v>
      </c>
      <c r="J15" s="1144">
        <v>3545.18</v>
      </c>
      <c r="K15" s="1142">
        <v>22819</v>
      </c>
      <c r="L15" s="1143">
        <v>23063</v>
      </c>
      <c r="M15" s="1144">
        <v>26132.59</v>
      </c>
      <c r="N15" s="1146">
        <v>51124</v>
      </c>
      <c r="O15" s="1147">
        <v>69726</v>
      </c>
      <c r="P15" s="1148">
        <v>72015.74</v>
      </c>
      <c r="Q15" s="1154">
        <v>0</v>
      </c>
      <c r="R15" s="1155">
        <v>0</v>
      </c>
      <c r="S15" s="1156">
        <v>0</v>
      </c>
      <c r="T15" s="1157">
        <v>43.9</v>
      </c>
      <c r="U15" s="1153">
        <f t="shared" si="0"/>
        <v>312866</v>
      </c>
      <c r="V15" s="1147">
        <f t="shared" si="0"/>
        <v>339425</v>
      </c>
      <c r="W15" s="1145">
        <f t="shared" si="1"/>
        <v>345726.5</v>
      </c>
    </row>
    <row r="16" spans="1:23" s="948" customFormat="1" ht="33" customHeight="1">
      <c r="A16" s="1346" t="s">
        <v>2518</v>
      </c>
      <c r="B16" s="1142">
        <v>230467</v>
      </c>
      <c r="C16" s="1143">
        <v>238302</v>
      </c>
      <c r="D16" s="1144">
        <v>238923.85</v>
      </c>
      <c r="E16" s="1142">
        <v>80171</v>
      </c>
      <c r="F16" s="1143">
        <v>82351</v>
      </c>
      <c r="G16" s="1144">
        <v>82340.84</v>
      </c>
      <c r="H16" s="1142">
        <v>4488</v>
      </c>
      <c r="I16" s="1143">
        <v>4630</v>
      </c>
      <c r="J16" s="1144">
        <v>4642.44</v>
      </c>
      <c r="K16" s="1142">
        <v>32882</v>
      </c>
      <c r="L16" s="1143">
        <v>33786</v>
      </c>
      <c r="M16" s="1144">
        <v>36285.55</v>
      </c>
      <c r="N16" s="1146">
        <v>48420</v>
      </c>
      <c r="O16" s="1147">
        <v>68516</v>
      </c>
      <c r="P16" s="1148">
        <v>75032.98</v>
      </c>
      <c r="Q16" s="1149">
        <v>0</v>
      </c>
      <c r="R16" s="1150">
        <v>0</v>
      </c>
      <c r="S16" s="1151">
        <v>0</v>
      </c>
      <c r="T16" s="1157">
        <v>61.39</v>
      </c>
      <c r="U16" s="1153">
        <f t="shared" si="0"/>
        <v>396428</v>
      </c>
      <c r="V16" s="1147">
        <f t="shared" si="0"/>
        <v>427585</v>
      </c>
      <c r="W16" s="1158">
        <f t="shared" si="1"/>
        <v>437287.05</v>
      </c>
    </row>
    <row r="17" spans="1:23" s="948" customFormat="1" ht="33" customHeight="1">
      <c r="A17" s="1346" t="s">
        <v>2519</v>
      </c>
      <c r="B17" s="1142">
        <v>357907</v>
      </c>
      <c r="C17" s="1143">
        <v>370163</v>
      </c>
      <c r="D17" s="1144">
        <v>373236.46</v>
      </c>
      <c r="E17" s="1142">
        <v>122900</v>
      </c>
      <c r="F17" s="1143">
        <v>126708</v>
      </c>
      <c r="G17" s="1144">
        <v>127693.71</v>
      </c>
      <c r="H17" s="1142">
        <v>6989</v>
      </c>
      <c r="I17" s="1143">
        <v>7201</v>
      </c>
      <c r="J17" s="1144">
        <v>7262.47</v>
      </c>
      <c r="K17" s="1142">
        <v>47683</v>
      </c>
      <c r="L17" s="1143">
        <v>49725</v>
      </c>
      <c r="M17" s="1144">
        <v>58082.53</v>
      </c>
      <c r="N17" s="1146">
        <v>73690</v>
      </c>
      <c r="O17" s="1147">
        <v>100463</v>
      </c>
      <c r="P17" s="1148">
        <v>134986.32</v>
      </c>
      <c r="Q17" s="1154">
        <v>0</v>
      </c>
      <c r="R17" s="1155">
        <v>0</v>
      </c>
      <c r="S17" s="1156">
        <v>0</v>
      </c>
      <c r="T17" s="1157">
        <v>103.77</v>
      </c>
      <c r="U17" s="1153">
        <f t="shared" si="0"/>
        <v>609169</v>
      </c>
      <c r="V17" s="1147">
        <f t="shared" si="0"/>
        <v>654260</v>
      </c>
      <c r="W17" s="1145">
        <f t="shared" si="1"/>
        <v>701365.26</v>
      </c>
    </row>
    <row r="18" spans="1:23" s="948" customFormat="1" ht="33" customHeight="1">
      <c r="A18" s="1346" t="s">
        <v>2520</v>
      </c>
      <c r="B18" s="1142">
        <v>174643</v>
      </c>
      <c r="C18" s="1143">
        <v>180002</v>
      </c>
      <c r="D18" s="1144">
        <v>180674.94</v>
      </c>
      <c r="E18" s="1142">
        <v>60024</v>
      </c>
      <c r="F18" s="1143">
        <v>61821</v>
      </c>
      <c r="G18" s="1144">
        <v>62056.46</v>
      </c>
      <c r="H18" s="1142">
        <v>3402</v>
      </c>
      <c r="I18" s="1143">
        <v>3508</v>
      </c>
      <c r="J18" s="1144">
        <v>3521.46</v>
      </c>
      <c r="K18" s="1142">
        <v>28632</v>
      </c>
      <c r="L18" s="1143">
        <v>24217</v>
      </c>
      <c r="M18" s="1144">
        <v>26181</v>
      </c>
      <c r="N18" s="1146">
        <v>42500</v>
      </c>
      <c r="O18" s="1147">
        <v>86215</v>
      </c>
      <c r="P18" s="1148">
        <v>94974.25</v>
      </c>
      <c r="Q18" s="1149">
        <v>0</v>
      </c>
      <c r="R18" s="1150">
        <v>0</v>
      </c>
      <c r="S18" s="1151">
        <v>0</v>
      </c>
      <c r="T18" s="1157">
        <v>23.95</v>
      </c>
      <c r="U18" s="1153">
        <f t="shared" si="0"/>
        <v>309201</v>
      </c>
      <c r="V18" s="1147">
        <f t="shared" si="0"/>
        <v>355763</v>
      </c>
      <c r="W18" s="1158">
        <f t="shared" si="1"/>
        <v>367432.06</v>
      </c>
    </row>
    <row r="19" spans="1:23" s="948" customFormat="1" ht="33" customHeight="1">
      <c r="A19" s="1346" t="s">
        <v>2521</v>
      </c>
      <c r="B19" s="1142">
        <v>228779</v>
      </c>
      <c r="C19" s="1143">
        <v>234551</v>
      </c>
      <c r="D19" s="1144">
        <v>235874.66</v>
      </c>
      <c r="E19" s="1142">
        <v>78281</v>
      </c>
      <c r="F19" s="1143">
        <v>80311</v>
      </c>
      <c r="G19" s="1144">
        <v>80772.54</v>
      </c>
      <c r="H19" s="1142">
        <v>4426</v>
      </c>
      <c r="I19" s="1143">
        <v>4552</v>
      </c>
      <c r="J19" s="1144">
        <v>4578.47</v>
      </c>
      <c r="K19" s="1142">
        <v>32914</v>
      </c>
      <c r="L19" s="1143">
        <v>35232</v>
      </c>
      <c r="M19" s="1144">
        <v>36776.98</v>
      </c>
      <c r="N19" s="1146">
        <v>42698</v>
      </c>
      <c r="O19" s="1147">
        <v>62538</v>
      </c>
      <c r="P19" s="1148">
        <v>67883.21</v>
      </c>
      <c r="Q19" s="1154">
        <v>0</v>
      </c>
      <c r="R19" s="1155">
        <v>0</v>
      </c>
      <c r="S19" s="1156">
        <v>0</v>
      </c>
      <c r="T19" s="1157">
        <v>17.86</v>
      </c>
      <c r="U19" s="1153">
        <f t="shared" si="0"/>
        <v>387098</v>
      </c>
      <c r="V19" s="1147">
        <f t="shared" si="0"/>
        <v>417184</v>
      </c>
      <c r="W19" s="1145">
        <f t="shared" si="1"/>
        <v>425903.72</v>
      </c>
    </row>
    <row r="20" spans="1:23" s="948" customFormat="1" ht="33" customHeight="1">
      <c r="A20" s="1346" t="s">
        <v>2522</v>
      </c>
      <c r="B20" s="1142">
        <v>383571</v>
      </c>
      <c r="C20" s="1143">
        <v>397526</v>
      </c>
      <c r="D20" s="1144">
        <v>397526</v>
      </c>
      <c r="E20" s="1142">
        <v>132342</v>
      </c>
      <c r="F20" s="1143">
        <v>136522</v>
      </c>
      <c r="G20" s="1144">
        <v>136152</v>
      </c>
      <c r="H20" s="1142">
        <v>7295</v>
      </c>
      <c r="I20" s="1143">
        <v>7588</v>
      </c>
      <c r="J20" s="1144">
        <v>7588</v>
      </c>
      <c r="K20" s="1159">
        <v>59652</v>
      </c>
      <c r="L20" s="1143">
        <v>63118</v>
      </c>
      <c r="M20" s="1160">
        <v>69400.56</v>
      </c>
      <c r="N20" s="1146">
        <v>58527</v>
      </c>
      <c r="O20" s="1147">
        <v>79917</v>
      </c>
      <c r="P20" s="1148">
        <v>85744.57</v>
      </c>
      <c r="Q20" s="1149">
        <v>0</v>
      </c>
      <c r="R20" s="1150">
        <v>0</v>
      </c>
      <c r="S20" s="1151">
        <v>0</v>
      </c>
      <c r="T20" s="1161">
        <v>462</v>
      </c>
      <c r="U20" s="1162">
        <f t="shared" si="0"/>
        <v>641387</v>
      </c>
      <c r="V20" s="1143">
        <f t="shared" si="0"/>
        <v>684671</v>
      </c>
      <c r="W20" s="1145">
        <f t="shared" si="1"/>
        <v>696873.1300000001</v>
      </c>
    </row>
    <row r="21" spans="1:23" s="948" customFormat="1" ht="33" customHeight="1" thickBot="1">
      <c r="A21" s="1347" t="s">
        <v>1611</v>
      </c>
      <c r="B21" s="1163">
        <v>0</v>
      </c>
      <c r="C21" s="1164">
        <v>0</v>
      </c>
      <c r="D21" s="1158">
        <v>0</v>
      </c>
      <c r="E21" s="1163">
        <v>0</v>
      </c>
      <c r="F21" s="1164">
        <v>0</v>
      </c>
      <c r="G21" s="1158">
        <v>0</v>
      </c>
      <c r="H21" s="1163">
        <v>0</v>
      </c>
      <c r="I21" s="1164">
        <v>0</v>
      </c>
      <c r="J21" s="1158">
        <v>0</v>
      </c>
      <c r="K21" s="1165">
        <v>23076</v>
      </c>
      <c r="L21" s="1164">
        <v>0</v>
      </c>
      <c r="M21" s="1158">
        <v>0</v>
      </c>
      <c r="N21" s="1166">
        <v>86576</v>
      </c>
      <c r="O21" s="1167">
        <v>0</v>
      </c>
      <c r="P21" s="1168">
        <v>0</v>
      </c>
      <c r="Q21" s="1169">
        <v>0</v>
      </c>
      <c r="R21" s="1170">
        <v>0</v>
      </c>
      <c r="S21" s="1171">
        <v>0</v>
      </c>
      <c r="T21" s="1152">
        <v>0</v>
      </c>
      <c r="U21" s="1172">
        <f t="shared" si="0"/>
        <v>109652</v>
      </c>
      <c r="V21" s="1164">
        <f t="shared" si="0"/>
        <v>0</v>
      </c>
      <c r="W21" s="1144">
        <f t="shared" si="1"/>
        <v>0</v>
      </c>
    </row>
    <row r="22" spans="1:23" s="1360" customFormat="1" ht="33" customHeight="1" thickBot="1">
      <c r="A22" s="1348" t="s">
        <v>1612</v>
      </c>
      <c r="B22" s="1351">
        <f aca="true" t="shared" si="2" ref="B22:P22">SUM(B7:B21)</f>
        <v>3743414</v>
      </c>
      <c r="C22" s="1352">
        <f t="shared" si="2"/>
        <v>3846141</v>
      </c>
      <c r="D22" s="1353">
        <f t="shared" si="2"/>
        <v>3874227.95</v>
      </c>
      <c r="E22" s="1351">
        <f t="shared" si="2"/>
        <v>1289236</v>
      </c>
      <c r="F22" s="1352">
        <f t="shared" si="2"/>
        <v>1321593</v>
      </c>
      <c r="G22" s="1353">
        <f t="shared" si="2"/>
        <v>1331010.9499999997</v>
      </c>
      <c r="H22" s="1351">
        <f t="shared" si="2"/>
        <v>72726</v>
      </c>
      <c r="I22" s="1352">
        <f t="shared" si="2"/>
        <v>74668</v>
      </c>
      <c r="J22" s="1353">
        <f t="shared" si="2"/>
        <v>75226.17</v>
      </c>
      <c r="K22" s="1351">
        <f t="shared" si="2"/>
        <v>552502</v>
      </c>
      <c r="L22" s="1352">
        <f t="shared" si="2"/>
        <v>562401</v>
      </c>
      <c r="M22" s="1353">
        <f t="shared" si="2"/>
        <v>602085.55</v>
      </c>
      <c r="N22" s="1351">
        <f t="shared" si="2"/>
        <v>868520</v>
      </c>
      <c r="O22" s="1352">
        <f t="shared" si="2"/>
        <v>1107508</v>
      </c>
      <c r="P22" s="1354">
        <f t="shared" si="2"/>
        <v>1236001.3900000001</v>
      </c>
      <c r="Q22" s="1355">
        <v>0</v>
      </c>
      <c r="R22" s="1356">
        <v>0</v>
      </c>
      <c r="S22" s="1357">
        <v>0</v>
      </c>
      <c r="T22" s="1358">
        <f>SUM(T7:T21)</f>
        <v>2378.54</v>
      </c>
      <c r="U22" s="1359">
        <f>SUM(U7:U21)</f>
        <v>6526398</v>
      </c>
      <c r="V22" s="1352">
        <f>SUM(V7:V21)</f>
        <v>6912311</v>
      </c>
      <c r="W22" s="1353">
        <f>SUM(W7:W21)</f>
        <v>7120930.549999999</v>
      </c>
    </row>
    <row r="23" spans="1:23" s="948" customFormat="1" ht="24" customHeight="1">
      <c r="A23" s="1349"/>
      <c r="B23" s="1173"/>
      <c r="C23" s="1174"/>
      <c r="D23" s="1175"/>
      <c r="E23" s="1173"/>
      <c r="F23" s="1174"/>
      <c r="G23" s="1175"/>
      <c r="H23" s="1173"/>
      <c r="I23" s="1174"/>
      <c r="J23" s="1175"/>
      <c r="K23" s="1173"/>
      <c r="L23" s="1174"/>
      <c r="M23" s="1175"/>
      <c r="N23" s="1176"/>
      <c r="O23" s="1177"/>
      <c r="P23" s="1178"/>
      <c r="Q23" s="1176"/>
      <c r="R23" s="1177"/>
      <c r="S23" s="1179"/>
      <c r="T23" s="1180"/>
      <c r="U23" s="1181"/>
      <c r="V23" s="1177"/>
      <c r="W23" s="1182"/>
    </row>
    <row r="24" spans="1:23" s="1373" customFormat="1" ht="33" customHeight="1">
      <c r="A24" s="1350" t="s">
        <v>2108</v>
      </c>
      <c r="B24" s="1361">
        <v>14201</v>
      </c>
      <c r="C24" s="1362">
        <v>14380</v>
      </c>
      <c r="D24" s="1363">
        <v>14366.6</v>
      </c>
      <c r="E24" s="1361">
        <v>4857</v>
      </c>
      <c r="F24" s="1362">
        <v>4912</v>
      </c>
      <c r="G24" s="1363">
        <v>4901.21</v>
      </c>
      <c r="H24" s="1361">
        <v>277</v>
      </c>
      <c r="I24" s="1362">
        <v>280</v>
      </c>
      <c r="J24" s="1363">
        <v>279.74</v>
      </c>
      <c r="K24" s="1361">
        <v>2851</v>
      </c>
      <c r="L24" s="1362">
        <v>3951</v>
      </c>
      <c r="M24" s="1363">
        <v>3949.97</v>
      </c>
      <c r="N24" s="1364">
        <v>4658</v>
      </c>
      <c r="O24" s="1365">
        <v>4931</v>
      </c>
      <c r="P24" s="1366">
        <v>4842.01</v>
      </c>
      <c r="Q24" s="1367"/>
      <c r="R24" s="1368"/>
      <c r="S24" s="1369"/>
      <c r="T24" s="1370">
        <v>104.34</v>
      </c>
      <c r="U24" s="1371">
        <f>B24+E24+H24+K24+N24+Q24</f>
        <v>26844</v>
      </c>
      <c r="V24" s="1365">
        <f>C24+F24+I24+L24+O24+R24</f>
        <v>28454</v>
      </c>
      <c r="W24" s="1372">
        <f>D24+G24+J24+M24+P24+S24+T24</f>
        <v>28443.870000000006</v>
      </c>
    </row>
    <row r="25" spans="1:23" s="1373" customFormat="1" ht="33" customHeight="1" thickBot="1">
      <c r="A25" s="1350" t="s">
        <v>390</v>
      </c>
      <c r="B25" s="1374">
        <f>237518+6186</f>
        <v>243704</v>
      </c>
      <c r="C25" s="1375">
        <v>243947</v>
      </c>
      <c r="D25" s="1376">
        <v>245230.78</v>
      </c>
      <c r="E25" s="1374">
        <f>81576+79</f>
        <v>81655</v>
      </c>
      <c r="F25" s="1375">
        <v>83517</v>
      </c>
      <c r="G25" s="1376">
        <v>83955.88</v>
      </c>
      <c r="H25" s="1374">
        <f>4562+5</f>
        <v>4567</v>
      </c>
      <c r="I25" s="1375">
        <v>4666</v>
      </c>
      <c r="J25" s="1376">
        <v>4694.64</v>
      </c>
      <c r="K25" s="1374">
        <v>171522</v>
      </c>
      <c r="L25" s="1375">
        <f>160107-1020</f>
        <v>159087</v>
      </c>
      <c r="M25" s="1376">
        <f>166606.85-816</f>
        <v>165790.85</v>
      </c>
      <c r="N25" s="1377">
        <v>790521</v>
      </c>
      <c r="O25" s="1378">
        <v>563105</v>
      </c>
      <c r="P25" s="1379">
        <v>500558.48</v>
      </c>
      <c r="Q25" s="1377">
        <v>12257</v>
      </c>
      <c r="R25" s="1378">
        <v>17457</v>
      </c>
      <c r="S25" s="1380">
        <v>25430.83</v>
      </c>
      <c r="T25" s="1381">
        <f>103309.76-94</f>
        <v>103215.76</v>
      </c>
      <c r="U25" s="1382">
        <f>B25+E25+H25+K25+N25+Q25</f>
        <v>1304226</v>
      </c>
      <c r="V25" s="1378">
        <f>C25+F25+I25+L25+O25+R25</f>
        <v>1071779</v>
      </c>
      <c r="W25" s="1372">
        <f>D25+G25+J25+M25+P25+S25+T25</f>
        <v>1128877.22</v>
      </c>
    </row>
    <row r="26" spans="1:23" s="1192" customFormat="1" ht="39" customHeight="1" thickBot="1">
      <c r="A26" s="1183" t="s">
        <v>1026</v>
      </c>
      <c r="B26" s="1184">
        <f aca="true" t="shared" si="3" ref="B26:S26">SUM(B22:B25)</f>
        <v>4001319</v>
      </c>
      <c r="C26" s="1185">
        <f t="shared" si="3"/>
        <v>4104468</v>
      </c>
      <c r="D26" s="1186">
        <f t="shared" si="3"/>
        <v>4133825.33</v>
      </c>
      <c r="E26" s="1184">
        <f t="shared" si="3"/>
        <v>1375748</v>
      </c>
      <c r="F26" s="1185">
        <f t="shared" si="3"/>
        <v>1410022</v>
      </c>
      <c r="G26" s="1186">
        <f t="shared" si="3"/>
        <v>1419868.0399999996</v>
      </c>
      <c r="H26" s="1184">
        <f t="shared" si="3"/>
        <v>77570</v>
      </c>
      <c r="I26" s="1185">
        <f t="shared" si="3"/>
        <v>79614</v>
      </c>
      <c r="J26" s="1186">
        <f t="shared" si="3"/>
        <v>80200.55</v>
      </c>
      <c r="K26" s="1184">
        <f t="shared" si="3"/>
        <v>726875</v>
      </c>
      <c r="L26" s="1185">
        <f t="shared" si="3"/>
        <v>725439</v>
      </c>
      <c r="M26" s="1186">
        <f t="shared" si="3"/>
        <v>771826.37</v>
      </c>
      <c r="N26" s="1184">
        <f t="shared" si="3"/>
        <v>1663699</v>
      </c>
      <c r="O26" s="1185">
        <f t="shared" si="3"/>
        <v>1675544</v>
      </c>
      <c r="P26" s="1187">
        <f t="shared" si="3"/>
        <v>1741401.8800000001</v>
      </c>
      <c r="Q26" s="1188">
        <f t="shared" si="3"/>
        <v>12257</v>
      </c>
      <c r="R26" s="1185">
        <f t="shared" si="3"/>
        <v>17457</v>
      </c>
      <c r="S26" s="1189">
        <f t="shared" si="3"/>
        <v>25430.83</v>
      </c>
      <c r="T26" s="1190">
        <f>T22+T24+T25</f>
        <v>105698.64</v>
      </c>
      <c r="U26" s="1191">
        <f>SUM(U22:U25)</f>
        <v>7857468</v>
      </c>
      <c r="V26" s="1185">
        <f>SUM(V22:V25)-60</f>
        <v>8012484</v>
      </c>
      <c r="W26" s="1186">
        <f>SUM(W22:W25)-60</f>
        <v>8278191.639999999</v>
      </c>
    </row>
    <row r="27" spans="1:16" ht="12.75" customHeight="1">
      <c r="A27" s="940"/>
      <c r="B27" s="941"/>
      <c r="C27" s="941"/>
      <c r="D27" s="941"/>
      <c r="E27" s="941"/>
      <c r="F27" s="941"/>
      <c r="G27" s="941"/>
      <c r="H27" s="941"/>
      <c r="I27" s="941"/>
      <c r="J27" s="941"/>
      <c r="K27" s="941"/>
      <c r="L27" s="941"/>
      <c r="M27" s="941"/>
      <c r="N27" s="941"/>
      <c r="O27" s="941"/>
      <c r="P27" s="941"/>
    </row>
    <row r="28" spans="1:23" s="301" customFormat="1" ht="21.75" customHeight="1">
      <c r="A28" s="1126" t="s">
        <v>898</v>
      </c>
      <c r="B28" s="1127"/>
      <c r="C28" s="1127"/>
      <c r="D28" s="1127"/>
      <c r="E28" s="1127"/>
      <c r="F28" s="1127"/>
      <c r="G28" s="1127"/>
      <c r="H28" s="1127"/>
      <c r="I28" s="1127"/>
      <c r="J28" s="1127"/>
      <c r="K28" s="1127"/>
      <c r="L28" s="1127"/>
      <c r="M28" s="1127"/>
      <c r="N28" s="1127"/>
      <c r="O28" s="1127"/>
      <c r="P28" s="1127"/>
      <c r="W28" s="1128"/>
    </row>
    <row r="29" spans="1:23" s="301" customFormat="1" ht="21.75" customHeight="1">
      <c r="A29" s="1129" t="s">
        <v>897</v>
      </c>
      <c r="B29" s="1127"/>
      <c r="C29" s="1127"/>
      <c r="D29" s="1127"/>
      <c r="E29" s="1127"/>
      <c r="F29" s="1127"/>
      <c r="G29" s="1127"/>
      <c r="H29" s="1127"/>
      <c r="I29" s="1127"/>
      <c r="J29" s="1127"/>
      <c r="K29" s="1127"/>
      <c r="L29" s="1127"/>
      <c r="M29" s="1127"/>
      <c r="N29" s="1127"/>
      <c r="O29" s="1127"/>
      <c r="P29" s="1127"/>
      <c r="W29" s="1128"/>
    </row>
    <row r="30" spans="1:23" s="301" customFormat="1" ht="21.75" customHeight="1">
      <c r="A30" s="1129" t="s">
        <v>896</v>
      </c>
      <c r="W30" s="1128"/>
    </row>
    <row r="31" spans="1:23" s="301" customFormat="1" ht="21.75" customHeight="1">
      <c r="A31" s="1129"/>
      <c r="W31" s="1128"/>
    </row>
    <row r="32" ht="31.5" customHeight="1"/>
    <row r="33" spans="1:23" s="1216" customFormat="1" ht="23.25">
      <c r="A33" s="1215" t="s">
        <v>2534</v>
      </c>
      <c r="C33" s="1215"/>
      <c r="D33" s="1215"/>
      <c r="E33" s="1215"/>
      <c r="F33" s="1215"/>
      <c r="H33" s="1217"/>
      <c r="J33" s="1217"/>
      <c r="K33" s="1217"/>
      <c r="L33" s="1217" t="s">
        <v>2535</v>
      </c>
      <c r="O33" s="1217"/>
      <c r="P33" s="1217"/>
      <c r="Q33" s="1217"/>
      <c r="V33" s="1532" t="s">
        <v>912</v>
      </c>
      <c r="W33" s="1532"/>
    </row>
    <row r="34" spans="12:16" ht="12.75">
      <c r="L34" s="1130"/>
      <c r="N34" s="1130"/>
      <c r="O34" s="1130"/>
      <c r="P34" s="1130"/>
    </row>
  </sheetData>
  <mergeCells count="9">
    <mergeCell ref="V33:W33"/>
    <mergeCell ref="V1:W1"/>
    <mergeCell ref="A3:W3"/>
    <mergeCell ref="A5:A6"/>
    <mergeCell ref="B5:D5"/>
    <mergeCell ref="E5:G5"/>
    <mergeCell ref="N5:P5"/>
    <mergeCell ref="Q5:S5"/>
    <mergeCell ref="U5:W5"/>
  </mergeCells>
  <printOptions horizontalCentered="1"/>
  <pageMargins left="0.1968503937007874" right="0.1968503937007874" top="0.984251968503937" bottom="0.7874015748031497" header="0.7086614173228347" footer="0.5118110236220472"/>
  <pageSetup horizontalDpi="600" verticalDpi="600" orientation="landscape" paperSize="9" scale="35" r:id="rId1"/>
  <headerFooter alignWithMargins="0">
    <oddFooter>&amp;C&amp;22&amp;P+155&amp;16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5"/>
  <sheetViews>
    <sheetView zoomScale="75" zoomScaleNormal="75" workbookViewId="0" topLeftCell="A1">
      <selection activeCell="Y22" sqref="Y22:Z22"/>
    </sheetView>
  </sheetViews>
  <sheetFormatPr defaultColWidth="9.00390625" defaultRowHeight="19.5" customHeight="1"/>
  <cols>
    <col min="1" max="1" width="32.875" style="182" customWidth="1"/>
    <col min="2" max="4" width="9.75390625" style="182" hidden="1" customWidth="1"/>
    <col min="5" max="10" width="12.375" style="182" customWidth="1"/>
    <col min="11" max="13" width="10.875" style="182" customWidth="1"/>
    <col min="14" max="19" width="12.375" style="182" customWidth="1"/>
    <col min="20" max="23" width="10.875" style="182" customWidth="1"/>
    <col min="24" max="26" width="14.375" style="182" customWidth="1"/>
    <col min="27" max="27" width="2.75390625" style="182" customWidth="1"/>
    <col min="28" max="16384" width="9.125" style="182" customWidth="1"/>
  </cols>
  <sheetData>
    <row r="2" spans="1:26" s="1202" customFormat="1" ht="19.5" customHeight="1">
      <c r="A2" s="1408" t="s">
        <v>1063</v>
      </c>
      <c r="Y2" s="1541" t="s">
        <v>1087</v>
      </c>
      <c r="Z2" s="1541"/>
    </row>
    <row r="3" spans="1:26" ht="19.5" customHeight="1">
      <c r="A3" s="180"/>
      <c r="Y3" s="226"/>
      <c r="Z3" s="226"/>
    </row>
    <row r="4" spans="1:26" s="1409" customFormat="1" ht="19.5" customHeight="1">
      <c r="A4" s="1548" t="s">
        <v>2048</v>
      </c>
      <c r="B4" s="1548"/>
      <c r="C4" s="1548"/>
      <c r="D4" s="1548"/>
      <c r="E4" s="1548"/>
      <c r="F4" s="1548"/>
      <c r="G4" s="1548"/>
      <c r="H4" s="1548"/>
      <c r="I4" s="1548"/>
      <c r="J4" s="1548"/>
      <c r="K4" s="1548"/>
      <c r="L4" s="1548"/>
      <c r="M4" s="1548"/>
      <c r="N4" s="1548"/>
      <c r="O4" s="1548"/>
      <c r="P4" s="1548"/>
      <c r="Q4" s="1548"/>
      <c r="R4" s="1548"/>
      <c r="S4" s="1548"/>
      <c r="T4" s="1548"/>
      <c r="U4" s="1548"/>
      <c r="V4" s="1548"/>
      <c r="W4" s="1548"/>
      <c r="X4" s="1548"/>
      <c r="Y4" s="1548"/>
      <c r="Z4" s="1548"/>
    </row>
    <row r="6" spans="1:31" ht="19.5" customHeight="1" thickBot="1">
      <c r="A6" s="183"/>
      <c r="B6" s="183"/>
      <c r="C6" s="183"/>
      <c r="D6" s="183"/>
      <c r="Q6" s="184"/>
      <c r="R6" s="184"/>
      <c r="S6" s="184"/>
      <c r="T6" s="184"/>
      <c r="U6" s="184"/>
      <c r="V6" s="185"/>
      <c r="W6" s="185"/>
      <c r="X6" s="184"/>
      <c r="Y6" s="184"/>
      <c r="Z6" s="185" t="s">
        <v>1037</v>
      </c>
      <c r="AA6" s="184"/>
      <c r="AB6" s="184"/>
      <c r="AC6" s="184"/>
      <c r="AD6" s="184"/>
      <c r="AE6" s="184"/>
    </row>
    <row r="7" spans="1:31" s="1399" customFormat="1" ht="42" customHeight="1" thickBot="1">
      <c r="A7" s="1392"/>
      <c r="B7" s="1545" t="s">
        <v>1064</v>
      </c>
      <c r="C7" s="1546"/>
      <c r="D7" s="1547"/>
      <c r="E7" s="1545" t="s">
        <v>1065</v>
      </c>
      <c r="F7" s="1546"/>
      <c r="G7" s="1547"/>
      <c r="H7" s="1393"/>
      <c r="I7" s="1394" t="s">
        <v>1066</v>
      </c>
      <c r="J7" s="1395"/>
      <c r="K7" s="1393"/>
      <c r="L7" s="1391" t="s">
        <v>1067</v>
      </c>
      <c r="M7" s="1395"/>
      <c r="N7" s="1393"/>
      <c r="O7" s="1391" t="s">
        <v>1068</v>
      </c>
      <c r="P7" s="1395"/>
      <c r="Q7" s="1542" t="s">
        <v>1069</v>
      </c>
      <c r="R7" s="1543"/>
      <c r="S7" s="1544"/>
      <c r="T7" s="1545" t="s">
        <v>1070</v>
      </c>
      <c r="U7" s="1546"/>
      <c r="V7" s="1547"/>
      <c r="W7" s="1394" t="s">
        <v>1071</v>
      </c>
      <c r="X7" s="1390"/>
      <c r="Y7" s="1391" t="s">
        <v>1072</v>
      </c>
      <c r="Z7" s="1396"/>
      <c r="AA7" s="1397"/>
      <c r="AB7" s="1398"/>
      <c r="AC7" s="1398"/>
      <c r="AD7" s="1398"/>
      <c r="AE7" s="1398"/>
    </row>
    <row r="8" spans="1:31" s="1399" customFormat="1" ht="30.75" customHeight="1" thickBot="1">
      <c r="A8" s="1400" t="s">
        <v>1073</v>
      </c>
      <c r="B8" s="1400" t="s">
        <v>1038</v>
      </c>
      <c r="C8" s="1401" t="s">
        <v>1039</v>
      </c>
      <c r="D8" s="1402" t="s">
        <v>1074</v>
      </c>
      <c r="E8" s="1400" t="s">
        <v>1038</v>
      </c>
      <c r="F8" s="1401" t="s">
        <v>1039</v>
      </c>
      <c r="G8" s="1403" t="s">
        <v>1074</v>
      </c>
      <c r="H8" s="1400" t="s">
        <v>1038</v>
      </c>
      <c r="I8" s="1404" t="s">
        <v>1039</v>
      </c>
      <c r="J8" s="1403" t="s">
        <v>1074</v>
      </c>
      <c r="K8" s="1400" t="s">
        <v>1038</v>
      </c>
      <c r="L8" s="1401" t="s">
        <v>1039</v>
      </c>
      <c r="M8" s="1403" t="s">
        <v>1074</v>
      </c>
      <c r="N8" s="1400" t="s">
        <v>1038</v>
      </c>
      <c r="O8" s="1401" t="s">
        <v>1039</v>
      </c>
      <c r="P8" s="1403" t="s">
        <v>1074</v>
      </c>
      <c r="Q8" s="1400" t="s">
        <v>1038</v>
      </c>
      <c r="R8" s="1401" t="s">
        <v>1039</v>
      </c>
      <c r="S8" s="1403" t="s">
        <v>1074</v>
      </c>
      <c r="T8" s="1405" t="s">
        <v>1038</v>
      </c>
      <c r="U8" s="1406" t="s">
        <v>1039</v>
      </c>
      <c r="V8" s="1403" t="s">
        <v>1074</v>
      </c>
      <c r="W8" s="1407" t="s">
        <v>1075</v>
      </c>
      <c r="X8" s="1405" t="s">
        <v>1038</v>
      </c>
      <c r="Y8" s="1406" t="s">
        <v>1039</v>
      </c>
      <c r="Z8" s="1403" t="s">
        <v>1074</v>
      </c>
      <c r="AA8" s="1397"/>
      <c r="AB8" s="1397"/>
      <c r="AC8" s="1397"/>
      <c r="AD8" s="1397"/>
      <c r="AE8" s="1397"/>
    </row>
    <row r="9" spans="1:31" ht="30.75" customHeight="1">
      <c r="A9" s="188" t="s">
        <v>1076</v>
      </c>
      <c r="B9" s="189">
        <v>850</v>
      </c>
      <c r="C9" s="190">
        <v>1449</v>
      </c>
      <c r="D9" s="191">
        <v>1464.529</v>
      </c>
      <c r="E9" s="186">
        <f>107282+1958</f>
        <v>109240</v>
      </c>
      <c r="F9" s="192">
        <f>117389+1996</f>
        <v>119385</v>
      </c>
      <c r="G9" s="187">
        <f>117382.48045+1929.68</f>
        <v>119312.16045</v>
      </c>
      <c r="H9" s="186">
        <v>37549</v>
      </c>
      <c r="I9" s="193">
        <v>41222</v>
      </c>
      <c r="J9" s="187">
        <v>41207.827</v>
      </c>
      <c r="K9" s="194">
        <v>2146</v>
      </c>
      <c r="L9" s="195">
        <v>2348</v>
      </c>
      <c r="M9" s="187">
        <v>2347.649</v>
      </c>
      <c r="N9" s="194">
        <v>40561</v>
      </c>
      <c r="O9" s="196">
        <v>50124</v>
      </c>
      <c r="P9" s="197">
        <v>51027.695</v>
      </c>
      <c r="Q9" s="186">
        <v>49576</v>
      </c>
      <c r="R9" s="192">
        <v>51797</v>
      </c>
      <c r="S9" s="187">
        <v>59839.413</v>
      </c>
      <c r="T9" s="198"/>
      <c r="U9" s="199"/>
      <c r="V9" s="200"/>
      <c r="W9" s="201">
        <v>19730.587</v>
      </c>
      <c r="X9" s="202">
        <f aca="true" t="shared" si="0" ref="X9:Y14">T9+Q9+N9+K9+H9+E9</f>
        <v>239072</v>
      </c>
      <c r="Y9" s="203">
        <f t="shared" si="0"/>
        <v>264876</v>
      </c>
      <c r="Z9" s="204">
        <f aca="true" t="shared" si="1" ref="Z9:Z14">G9+J9+M9+P9+S9+V9+W9</f>
        <v>293465.33145</v>
      </c>
      <c r="AA9" s="184"/>
      <c r="AB9" s="184"/>
      <c r="AC9" s="184"/>
      <c r="AD9" s="184"/>
      <c r="AE9" s="184"/>
    </row>
    <row r="10" spans="1:31" ht="30.75" customHeight="1">
      <c r="A10" s="188" t="s">
        <v>1077</v>
      </c>
      <c r="B10" s="188">
        <v>1150</v>
      </c>
      <c r="C10" s="193">
        <v>1150</v>
      </c>
      <c r="D10" s="205">
        <v>670.15</v>
      </c>
      <c r="E10" s="206">
        <v>72686</v>
      </c>
      <c r="F10" s="207">
        <v>84340</v>
      </c>
      <c r="G10" s="208">
        <v>84768.229</v>
      </c>
      <c r="H10" s="209">
        <v>24791</v>
      </c>
      <c r="I10" s="210">
        <v>29505</v>
      </c>
      <c r="J10" s="211">
        <v>29402.242</v>
      </c>
      <c r="K10" s="209">
        <v>1417</v>
      </c>
      <c r="L10" s="212">
        <v>1646</v>
      </c>
      <c r="M10" s="211">
        <v>1659.459</v>
      </c>
      <c r="N10" s="209">
        <v>23082</v>
      </c>
      <c r="O10" s="213">
        <v>23933</v>
      </c>
      <c r="P10" s="211">
        <v>23941.359</v>
      </c>
      <c r="Q10" s="206">
        <v>20519</v>
      </c>
      <c r="R10" s="207">
        <v>20692</v>
      </c>
      <c r="S10" s="208">
        <v>20682.705</v>
      </c>
      <c r="T10" s="209"/>
      <c r="U10" s="212"/>
      <c r="V10" s="208"/>
      <c r="W10" s="214">
        <f>829.104-397.526-82.234</f>
        <v>349.34400000000005</v>
      </c>
      <c r="X10" s="209">
        <f t="shared" si="0"/>
        <v>142495</v>
      </c>
      <c r="Y10" s="212">
        <f t="shared" si="0"/>
        <v>160116</v>
      </c>
      <c r="Z10" s="211">
        <f t="shared" si="1"/>
        <v>160803.33800000002</v>
      </c>
      <c r="AA10" s="184"/>
      <c r="AB10" s="184"/>
      <c r="AC10" s="184"/>
      <c r="AD10" s="184"/>
      <c r="AE10" s="184"/>
    </row>
    <row r="11" spans="1:31" ht="30.75" customHeight="1">
      <c r="A11" s="206" t="s">
        <v>1078</v>
      </c>
      <c r="B11" s="215">
        <v>2360</v>
      </c>
      <c r="C11" s="216">
        <v>2360</v>
      </c>
      <c r="D11" s="200">
        <v>2022.921</v>
      </c>
      <c r="E11" s="215">
        <f>88582+2070</f>
        <v>90652</v>
      </c>
      <c r="F11" s="216">
        <f>99230+2065</f>
        <v>101295</v>
      </c>
      <c r="G11" s="200">
        <v>100519.022</v>
      </c>
      <c r="H11" s="209">
        <v>31004</v>
      </c>
      <c r="I11" s="184">
        <v>35210</v>
      </c>
      <c r="J11" s="211">
        <v>34918.922</v>
      </c>
      <c r="K11" s="209">
        <v>1771</v>
      </c>
      <c r="L11" s="199">
        <v>1984</v>
      </c>
      <c r="M11" s="200">
        <v>1972.346</v>
      </c>
      <c r="N11" s="198">
        <v>28703</v>
      </c>
      <c r="O11" s="199">
        <v>31601</v>
      </c>
      <c r="P11" s="200">
        <v>31636.614</v>
      </c>
      <c r="Q11" s="206">
        <f>4500+11974</f>
        <v>16474</v>
      </c>
      <c r="R11" s="216">
        <f>5518+14731</f>
        <v>20249</v>
      </c>
      <c r="S11" s="200">
        <v>20247.019</v>
      </c>
      <c r="T11" s="209"/>
      <c r="U11" s="199"/>
      <c r="V11" s="200"/>
      <c r="W11" s="217">
        <f>1433-291.449-45.63</f>
        <v>1095.9209999999998</v>
      </c>
      <c r="X11" s="209">
        <f t="shared" si="0"/>
        <v>168604</v>
      </c>
      <c r="Y11" s="212">
        <f t="shared" si="0"/>
        <v>190339</v>
      </c>
      <c r="Z11" s="211">
        <f t="shared" si="1"/>
        <v>190389.84399999998</v>
      </c>
      <c r="AA11" s="184"/>
      <c r="AB11" s="184"/>
      <c r="AC11" s="184"/>
      <c r="AD11" s="184"/>
      <c r="AE11" s="184"/>
    </row>
    <row r="12" spans="1:31" ht="30.75" customHeight="1">
      <c r="A12" s="206" t="s">
        <v>1079</v>
      </c>
      <c r="B12" s="206">
        <v>303</v>
      </c>
      <c r="C12" s="207">
        <v>333</v>
      </c>
      <c r="D12" s="208">
        <v>58.233</v>
      </c>
      <c r="E12" s="206">
        <v>26827</v>
      </c>
      <c r="F12" s="207">
        <v>31632</v>
      </c>
      <c r="G12" s="208">
        <v>31632</v>
      </c>
      <c r="H12" s="209">
        <v>9252</v>
      </c>
      <c r="I12" s="213">
        <v>10975</v>
      </c>
      <c r="J12" s="211">
        <v>10975</v>
      </c>
      <c r="K12" s="209">
        <v>529</v>
      </c>
      <c r="L12" s="212">
        <v>626</v>
      </c>
      <c r="M12" s="211">
        <v>624.78</v>
      </c>
      <c r="N12" s="209">
        <v>9470</v>
      </c>
      <c r="O12" s="213">
        <v>9470</v>
      </c>
      <c r="P12" s="211">
        <v>9468.394</v>
      </c>
      <c r="Q12" s="206">
        <v>18950</v>
      </c>
      <c r="R12" s="207">
        <v>19137</v>
      </c>
      <c r="S12" s="208">
        <v>19132.946</v>
      </c>
      <c r="T12" s="209"/>
      <c r="U12" s="212"/>
      <c r="V12" s="208"/>
      <c r="W12" s="214">
        <f>274.767-250-24.767</f>
        <v>0</v>
      </c>
      <c r="X12" s="209">
        <f t="shared" si="0"/>
        <v>65028</v>
      </c>
      <c r="Y12" s="212">
        <f t="shared" si="0"/>
        <v>71840</v>
      </c>
      <c r="Z12" s="211">
        <f t="shared" si="1"/>
        <v>71833.12</v>
      </c>
      <c r="AA12" s="184"/>
      <c r="AB12" s="184"/>
      <c r="AC12" s="184"/>
      <c r="AD12" s="184"/>
      <c r="AE12" s="184"/>
    </row>
    <row r="13" spans="1:31" ht="30.75" customHeight="1">
      <c r="A13" s="206" t="s">
        <v>1080</v>
      </c>
      <c r="B13" s="215">
        <v>415</v>
      </c>
      <c r="C13" s="216">
        <v>1008</v>
      </c>
      <c r="D13" s="200">
        <v>999.08</v>
      </c>
      <c r="E13" s="215">
        <f>27072+524</f>
        <v>27596</v>
      </c>
      <c r="F13" s="216">
        <f>31051+623</f>
        <v>31674</v>
      </c>
      <c r="G13" s="200">
        <v>32142.487</v>
      </c>
      <c r="H13" s="209">
        <v>9475</v>
      </c>
      <c r="I13" s="184">
        <v>11054</v>
      </c>
      <c r="J13" s="211">
        <v>11115.406</v>
      </c>
      <c r="K13" s="209">
        <v>542</v>
      </c>
      <c r="L13" s="199">
        <v>621</v>
      </c>
      <c r="M13" s="200">
        <v>630.491</v>
      </c>
      <c r="N13" s="209">
        <v>10350</v>
      </c>
      <c r="O13" s="213">
        <v>11895</v>
      </c>
      <c r="P13" s="211">
        <v>11997.853</v>
      </c>
      <c r="Q13" s="206">
        <f>9740+1799</f>
        <v>11539</v>
      </c>
      <c r="R13" s="216">
        <f>10073+4926</f>
        <v>14999</v>
      </c>
      <c r="S13" s="200">
        <v>15160.655</v>
      </c>
      <c r="T13" s="209"/>
      <c r="U13" s="199"/>
      <c r="V13" s="200"/>
      <c r="W13" s="217">
        <f>159.958-0.797-8.123</f>
        <v>151.038</v>
      </c>
      <c r="X13" s="209">
        <f t="shared" si="0"/>
        <v>59502</v>
      </c>
      <c r="Y13" s="212">
        <f t="shared" si="0"/>
        <v>70243</v>
      </c>
      <c r="Z13" s="211">
        <f t="shared" si="1"/>
        <v>71197.93000000001</v>
      </c>
      <c r="AA13" s="184"/>
      <c r="AB13" s="184"/>
      <c r="AC13" s="184"/>
      <c r="AD13" s="184"/>
      <c r="AE13" s="184"/>
    </row>
    <row r="14" spans="1:31" ht="30.75" customHeight="1">
      <c r="A14" s="206" t="s">
        <v>1081</v>
      </c>
      <c r="B14" s="206"/>
      <c r="C14" s="207">
        <v>144</v>
      </c>
      <c r="D14" s="208">
        <v>153.806</v>
      </c>
      <c r="E14" s="206">
        <f>12306+212</f>
        <v>12518</v>
      </c>
      <c r="F14" s="207">
        <f>14285+212</f>
        <v>14497</v>
      </c>
      <c r="G14" s="208">
        <f>14301.167+195.6</f>
        <v>14496.767</v>
      </c>
      <c r="H14" s="209">
        <v>4307</v>
      </c>
      <c r="I14" s="213">
        <v>5004</v>
      </c>
      <c r="J14" s="211">
        <v>5011.207</v>
      </c>
      <c r="K14" s="209">
        <v>246</v>
      </c>
      <c r="L14" s="212">
        <v>286</v>
      </c>
      <c r="M14" s="211">
        <v>286.5</v>
      </c>
      <c r="N14" s="198">
        <f>22333-Q14-K14-H14-E14-B14</f>
        <v>1571</v>
      </c>
      <c r="O14" s="199">
        <f>24836-R14-L14-I14-F14-C14</f>
        <v>1470</v>
      </c>
      <c r="P14" s="200">
        <v>1468.936</v>
      </c>
      <c r="Q14" s="206">
        <f>2555+1136</f>
        <v>3691</v>
      </c>
      <c r="R14" s="207">
        <f>1836+1599</f>
        <v>3435</v>
      </c>
      <c r="S14" s="208">
        <v>3383.763</v>
      </c>
      <c r="T14" s="209"/>
      <c r="U14" s="212"/>
      <c r="V14" s="208"/>
      <c r="W14" s="214">
        <f>70.041-2.404</f>
        <v>67.637</v>
      </c>
      <c r="X14" s="209">
        <f t="shared" si="0"/>
        <v>22333</v>
      </c>
      <c r="Y14" s="212">
        <f t="shared" si="0"/>
        <v>24692</v>
      </c>
      <c r="Z14" s="211">
        <f t="shared" si="1"/>
        <v>24714.81</v>
      </c>
      <c r="AA14" s="184"/>
      <c r="AB14" s="184"/>
      <c r="AC14" s="184"/>
      <c r="AD14" s="184"/>
      <c r="AE14" s="184"/>
    </row>
    <row r="15" spans="1:31" ht="30.75" customHeight="1" thickBot="1">
      <c r="A15" s="206" t="s">
        <v>1041</v>
      </c>
      <c r="B15" s="206">
        <v>500</v>
      </c>
      <c r="C15" s="207">
        <v>958</v>
      </c>
      <c r="D15" s="208">
        <v>870.916</v>
      </c>
      <c r="E15" s="206">
        <v>110673</v>
      </c>
      <c r="F15" s="207">
        <v>130496</v>
      </c>
      <c r="G15" s="208">
        <v>130918.936</v>
      </c>
      <c r="H15" s="209">
        <v>38025</v>
      </c>
      <c r="I15" s="213">
        <v>45118</v>
      </c>
      <c r="J15" s="211">
        <v>45093.948</v>
      </c>
      <c r="K15" s="209">
        <v>2173</v>
      </c>
      <c r="L15" s="212">
        <v>2547</v>
      </c>
      <c r="M15" s="208">
        <v>2573.437</v>
      </c>
      <c r="N15" s="209">
        <v>46085</v>
      </c>
      <c r="O15" s="213">
        <v>45745</v>
      </c>
      <c r="P15" s="211">
        <v>47583.125</v>
      </c>
      <c r="Q15" s="206">
        <v>32376</v>
      </c>
      <c r="R15" s="207">
        <v>38000</v>
      </c>
      <c r="S15" s="208">
        <v>35331.219</v>
      </c>
      <c r="T15" s="209">
        <v>1800</v>
      </c>
      <c r="U15" s="212">
        <v>4600</v>
      </c>
      <c r="V15" s="208">
        <v>4104.169</v>
      </c>
      <c r="W15" s="214">
        <f>5427.662-0.633-86.451</f>
        <v>5340.578</v>
      </c>
      <c r="X15" s="209">
        <f>T15+Q15+N15+K15+H15+E15</f>
        <v>231132</v>
      </c>
      <c r="Y15" s="212">
        <f>U15+R15+O15+L15+I15+F15-870-270</f>
        <v>265366</v>
      </c>
      <c r="Z15" s="211">
        <f>G15+J15+M15+P15+S15+V15+W15-645.7</f>
        <v>270299.71199999994</v>
      </c>
      <c r="AA15" s="184"/>
      <c r="AB15" s="184"/>
      <c r="AC15" s="184"/>
      <c r="AD15" s="184"/>
      <c r="AE15" s="184"/>
    </row>
    <row r="16" spans="1:31" ht="30.75" customHeight="1" thickBot="1">
      <c r="A16" s="218" t="s">
        <v>1040</v>
      </c>
      <c r="B16" s="219">
        <f aca="true" t="shared" si="2" ref="B16:Z16">SUM(B9:B15)</f>
        <v>5578</v>
      </c>
      <c r="C16" s="220">
        <f t="shared" si="2"/>
        <v>7402</v>
      </c>
      <c r="D16" s="221">
        <f t="shared" si="2"/>
        <v>6239.635</v>
      </c>
      <c r="E16" s="219">
        <f t="shared" si="2"/>
        <v>450192</v>
      </c>
      <c r="F16" s="220">
        <f t="shared" si="2"/>
        <v>513319</v>
      </c>
      <c r="G16" s="221">
        <f t="shared" si="2"/>
        <v>513789.60145</v>
      </c>
      <c r="H16" s="219">
        <f t="shared" si="2"/>
        <v>154403</v>
      </c>
      <c r="I16" s="220">
        <f t="shared" si="2"/>
        <v>178088</v>
      </c>
      <c r="J16" s="221">
        <f t="shared" si="2"/>
        <v>177724.552</v>
      </c>
      <c r="K16" s="219">
        <f t="shared" si="2"/>
        <v>8824</v>
      </c>
      <c r="L16" s="220">
        <f t="shared" si="2"/>
        <v>10058</v>
      </c>
      <c r="M16" s="221">
        <f t="shared" si="2"/>
        <v>10094.662</v>
      </c>
      <c r="N16" s="219">
        <f t="shared" si="2"/>
        <v>159822</v>
      </c>
      <c r="O16" s="220">
        <f t="shared" si="2"/>
        <v>174238</v>
      </c>
      <c r="P16" s="221">
        <f t="shared" si="2"/>
        <v>177123.97600000002</v>
      </c>
      <c r="Q16" s="219">
        <f t="shared" si="2"/>
        <v>153125</v>
      </c>
      <c r="R16" s="220">
        <f t="shared" si="2"/>
        <v>168309</v>
      </c>
      <c r="S16" s="221">
        <f t="shared" si="2"/>
        <v>173777.72000000003</v>
      </c>
      <c r="T16" s="219">
        <f t="shared" si="2"/>
        <v>1800</v>
      </c>
      <c r="U16" s="220">
        <f t="shared" si="2"/>
        <v>4600</v>
      </c>
      <c r="V16" s="221">
        <f t="shared" si="2"/>
        <v>4104.169</v>
      </c>
      <c r="W16" s="222">
        <f t="shared" si="2"/>
        <v>26735.105</v>
      </c>
      <c r="X16" s="219">
        <f t="shared" si="2"/>
        <v>928166</v>
      </c>
      <c r="Y16" s="220">
        <f t="shared" si="2"/>
        <v>1047472</v>
      </c>
      <c r="Z16" s="221">
        <f t="shared" si="2"/>
        <v>1082704.0854500001</v>
      </c>
      <c r="AA16" s="223"/>
      <c r="AB16" s="223"/>
      <c r="AC16" s="223"/>
      <c r="AD16" s="223"/>
      <c r="AE16" s="223"/>
    </row>
    <row r="17" spans="1:31" ht="30.75" customHeight="1" thickBot="1">
      <c r="A17" s="224" t="s">
        <v>1082</v>
      </c>
      <c r="B17" s="194"/>
      <c r="C17" s="192"/>
      <c r="D17" s="197"/>
      <c r="E17" s="194">
        <v>7019</v>
      </c>
      <c r="F17" s="192">
        <v>7134</v>
      </c>
      <c r="G17" s="197">
        <v>7114.579</v>
      </c>
      <c r="H17" s="194">
        <v>2426</v>
      </c>
      <c r="I17" s="192">
        <v>2466</v>
      </c>
      <c r="J17" s="197">
        <v>2459.159</v>
      </c>
      <c r="K17" s="194">
        <v>139</v>
      </c>
      <c r="L17" s="192">
        <v>141</v>
      </c>
      <c r="M17" s="197">
        <v>140.525</v>
      </c>
      <c r="N17" s="194">
        <f>2674+2000</f>
        <v>4674</v>
      </c>
      <c r="O17" s="192">
        <v>4906</v>
      </c>
      <c r="P17" s="197">
        <v>4884.709</v>
      </c>
      <c r="Q17" s="194">
        <v>4703</v>
      </c>
      <c r="R17" s="192">
        <v>4703</v>
      </c>
      <c r="S17" s="197">
        <v>4698.327</v>
      </c>
      <c r="T17" s="194"/>
      <c r="U17" s="192"/>
      <c r="V17" s="197"/>
      <c r="W17" s="201">
        <v>137</v>
      </c>
      <c r="X17" s="194">
        <f>T17+Q17+N17+K17+H17+E17</f>
        <v>18961</v>
      </c>
      <c r="Y17" s="192">
        <f>U17+R17+O17+L17+I17+F17</f>
        <v>19350</v>
      </c>
      <c r="Z17" s="197">
        <f>G17+J17+M17+P17+S17+V17+W17</f>
        <v>19434.299</v>
      </c>
      <c r="AA17" s="184"/>
      <c r="AB17" s="184"/>
      <c r="AC17" s="184"/>
      <c r="AD17" s="184"/>
      <c r="AE17" s="184"/>
    </row>
    <row r="18" spans="1:31" ht="30.75" customHeight="1" thickBot="1">
      <c r="A18" s="215" t="s">
        <v>1084</v>
      </c>
      <c r="B18" s="194"/>
      <c r="C18" s="192"/>
      <c r="D18" s="197"/>
      <c r="E18" s="194">
        <v>49088</v>
      </c>
      <c r="F18" s="192"/>
      <c r="G18" s="197"/>
      <c r="H18" s="194">
        <v>16753</v>
      </c>
      <c r="I18" s="192"/>
      <c r="J18" s="197"/>
      <c r="K18" s="194">
        <v>957</v>
      </c>
      <c r="L18" s="192"/>
      <c r="M18" s="197"/>
      <c r="N18" s="194"/>
      <c r="O18" s="192"/>
      <c r="P18" s="197"/>
      <c r="Q18" s="194"/>
      <c r="R18" s="192"/>
      <c r="S18" s="197"/>
      <c r="T18" s="194"/>
      <c r="U18" s="192"/>
      <c r="V18" s="197"/>
      <c r="W18" s="201"/>
      <c r="X18" s="194">
        <f>T18+Q18+N18+K18+H18+E18</f>
        <v>66798</v>
      </c>
      <c r="Y18" s="192"/>
      <c r="Z18" s="197"/>
      <c r="AA18" s="184"/>
      <c r="AB18" s="184"/>
      <c r="AC18" s="184"/>
      <c r="AD18" s="184"/>
      <c r="AE18" s="184"/>
    </row>
    <row r="19" spans="1:31" s="1383" customFormat="1" ht="36.75" customHeight="1" thickBot="1">
      <c r="A19" s="1384" t="s">
        <v>1083</v>
      </c>
      <c r="B19" s="1385">
        <f>SUM(B16:B17)</f>
        <v>5578</v>
      </c>
      <c r="C19" s="1386">
        <f>SUM(C16:C17)</f>
        <v>7402</v>
      </c>
      <c r="D19" s="1387">
        <f>SUM(D16:D17)</f>
        <v>6239.635</v>
      </c>
      <c r="E19" s="1385">
        <f aca="true" t="shared" si="3" ref="E19:Z19">SUM(E16:E18)</f>
        <v>506299</v>
      </c>
      <c r="F19" s="1385">
        <f t="shared" si="3"/>
        <v>520453</v>
      </c>
      <c r="G19" s="1385">
        <f t="shared" si="3"/>
        <v>520904.18045000004</v>
      </c>
      <c r="H19" s="1385">
        <f t="shared" si="3"/>
        <v>173582</v>
      </c>
      <c r="I19" s="1385">
        <f t="shared" si="3"/>
        <v>180554</v>
      </c>
      <c r="J19" s="1385">
        <f t="shared" si="3"/>
        <v>180183.711</v>
      </c>
      <c r="K19" s="1385">
        <f t="shared" si="3"/>
        <v>9920</v>
      </c>
      <c r="L19" s="1385">
        <f t="shared" si="3"/>
        <v>10199</v>
      </c>
      <c r="M19" s="1385">
        <f t="shared" si="3"/>
        <v>10235.187</v>
      </c>
      <c r="N19" s="1385">
        <f t="shared" si="3"/>
        <v>164496</v>
      </c>
      <c r="O19" s="1385">
        <f t="shared" si="3"/>
        <v>179144</v>
      </c>
      <c r="P19" s="1385">
        <f t="shared" si="3"/>
        <v>182008.68500000003</v>
      </c>
      <c r="Q19" s="1385">
        <f t="shared" si="3"/>
        <v>157828</v>
      </c>
      <c r="R19" s="1385">
        <f t="shared" si="3"/>
        <v>173012</v>
      </c>
      <c r="S19" s="1385">
        <f t="shared" si="3"/>
        <v>178476.04700000002</v>
      </c>
      <c r="T19" s="1385">
        <f t="shared" si="3"/>
        <v>1800</v>
      </c>
      <c r="U19" s="1385">
        <f t="shared" si="3"/>
        <v>4600</v>
      </c>
      <c r="V19" s="1385">
        <f t="shared" si="3"/>
        <v>4104.169</v>
      </c>
      <c r="W19" s="1385">
        <f t="shared" si="3"/>
        <v>26872.105</v>
      </c>
      <c r="X19" s="1385">
        <f t="shared" si="3"/>
        <v>1013925</v>
      </c>
      <c r="Y19" s="1385">
        <f t="shared" si="3"/>
        <v>1066822</v>
      </c>
      <c r="Z19" s="1388">
        <f t="shared" si="3"/>
        <v>1102138.3844500002</v>
      </c>
      <c r="AA19" s="1389"/>
      <c r="AB19" s="1389"/>
      <c r="AC19" s="1389"/>
      <c r="AD19" s="1389"/>
      <c r="AE19" s="1389"/>
    </row>
    <row r="22" spans="1:26" s="1383" customFormat="1" ht="21.75" customHeight="1">
      <c r="A22" s="1383" t="s">
        <v>1055</v>
      </c>
      <c r="N22" s="1383" t="s">
        <v>1056</v>
      </c>
      <c r="Y22" s="1540" t="s">
        <v>912</v>
      </c>
      <c r="Z22" s="1540"/>
    </row>
    <row r="23" ht="19.5" customHeight="1">
      <c r="O23" s="184"/>
    </row>
    <row r="25" ht="19.5" customHeight="1">
      <c r="G25" s="225"/>
    </row>
  </sheetData>
  <mergeCells count="7">
    <mergeCell ref="Y22:Z22"/>
    <mergeCell ref="Y2:Z2"/>
    <mergeCell ref="Q7:S7"/>
    <mergeCell ref="T7:V7"/>
    <mergeCell ref="A4:Z4"/>
    <mergeCell ref="B7:D7"/>
    <mergeCell ref="E7:G7"/>
  </mergeCells>
  <printOptions horizontalCentered="1"/>
  <pageMargins left="0.3937007874015748" right="0.3937007874015748" top="0.984251968503937" bottom="0.7874015748031497" header="0.7086614173228347" footer="0.31496062992125984"/>
  <pageSetup fitToHeight="1" fitToWidth="1" horizontalDpi="600" verticalDpi="600" orientation="landscape" paperSize="9" scale="47" r:id="rId1"/>
  <headerFooter alignWithMargins="0">
    <oddFooter>&amp;C&amp;16&amp;P+156&amp;18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34"/>
  <sheetViews>
    <sheetView workbookViewId="0" topLeftCell="A7">
      <selection activeCell="C24" sqref="C24"/>
    </sheetView>
  </sheetViews>
  <sheetFormatPr defaultColWidth="9.00390625" defaultRowHeight="12.75"/>
  <cols>
    <col min="1" max="1" width="29.875" style="0" customWidth="1"/>
    <col min="2" max="2" width="9.625" style="0" customWidth="1"/>
    <col min="3" max="3" width="9.875" style="0" customWidth="1"/>
    <col min="4" max="4" width="10.375" style="0" customWidth="1"/>
    <col min="5" max="7" width="9.875" style="0" customWidth="1"/>
    <col min="8" max="8" width="7.75390625" style="0" customWidth="1"/>
    <col min="9" max="9" width="7.625" style="0" customWidth="1"/>
    <col min="10" max="10" width="8.75390625" style="0" customWidth="1"/>
    <col min="11" max="12" width="9.75390625" style="0" customWidth="1"/>
    <col min="13" max="13" width="10.00390625" style="0" customWidth="1"/>
    <col min="14" max="16" width="10.75390625" style="0" customWidth="1"/>
    <col min="17" max="17" width="6.875" style="0" customWidth="1"/>
    <col min="18" max="19" width="7.625" style="0" customWidth="1"/>
    <col min="20" max="20" width="10.125" style="0" customWidth="1"/>
    <col min="21" max="23" width="9.875" style="0" customWidth="1"/>
    <col min="25" max="25" width="10.75390625" style="0" customWidth="1"/>
    <col min="26" max="26" width="11.875" style="0" customWidth="1"/>
  </cols>
  <sheetData>
    <row r="4" spans="1:23" s="948" customFormat="1" ht="18">
      <c r="A4" s="1203" t="s">
        <v>1063</v>
      </c>
      <c r="V4" s="1549" t="s">
        <v>1086</v>
      </c>
      <c r="W4" s="1549"/>
    </row>
    <row r="5" spans="1:23" ht="15.75">
      <c r="A5" s="306"/>
      <c r="V5" s="797"/>
      <c r="W5" s="797"/>
    </row>
    <row r="6" spans="8:9" s="1002" customFormat="1" ht="20.25">
      <c r="H6" s="622" t="s">
        <v>909</v>
      </c>
      <c r="I6" s="622"/>
    </row>
    <row r="7" spans="1:28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3.5" thickBot="1">
      <c r="A8" s="305"/>
      <c r="B8" s="49"/>
      <c r="C8" s="49"/>
      <c r="D8" s="49"/>
      <c r="E8" s="49"/>
      <c r="F8" s="49"/>
      <c r="G8" s="49"/>
      <c r="H8" s="49"/>
      <c r="I8" s="302"/>
      <c r="J8" s="49"/>
      <c r="K8" s="49"/>
      <c r="L8" s="49"/>
      <c r="M8" s="49"/>
      <c r="N8" s="303"/>
      <c r="O8" s="303"/>
      <c r="P8" s="303"/>
      <c r="Q8" s="303"/>
      <c r="R8" s="303"/>
      <c r="S8" s="304"/>
      <c r="T8" s="304"/>
      <c r="U8" s="303"/>
      <c r="V8" s="303"/>
      <c r="W8" s="304" t="s">
        <v>1037</v>
      </c>
      <c r="X8" s="303"/>
      <c r="Y8" s="303"/>
      <c r="Z8" s="303"/>
      <c r="AA8" s="303"/>
      <c r="AB8" s="303"/>
    </row>
    <row r="9" spans="1:28" s="354" customFormat="1" ht="20.25" customHeight="1" thickBot="1">
      <c r="A9" s="344"/>
      <c r="B9" s="1550" t="s">
        <v>1065</v>
      </c>
      <c r="C9" s="1551"/>
      <c r="D9" s="1552"/>
      <c r="E9" s="347"/>
      <c r="F9" s="348" t="s">
        <v>908</v>
      </c>
      <c r="G9" s="345"/>
      <c r="H9" s="347"/>
      <c r="I9" s="348" t="s">
        <v>1067</v>
      </c>
      <c r="J9" s="346"/>
      <c r="K9" s="345"/>
      <c r="L9" s="348" t="s">
        <v>1068</v>
      </c>
      <c r="M9" s="346"/>
      <c r="N9" s="347"/>
      <c r="O9" s="348" t="s">
        <v>1069</v>
      </c>
      <c r="P9" s="346"/>
      <c r="Q9" s="347"/>
      <c r="R9" s="348" t="s">
        <v>1070</v>
      </c>
      <c r="S9" s="346"/>
      <c r="T9" s="349" t="s">
        <v>1071</v>
      </c>
      <c r="U9" s="350"/>
      <c r="V9" s="348" t="s">
        <v>1072</v>
      </c>
      <c r="W9" s="351"/>
      <c r="X9" s="352"/>
      <c r="Y9" s="353"/>
      <c r="Z9" s="353"/>
      <c r="AA9" s="353"/>
      <c r="AB9" s="353"/>
    </row>
    <row r="10" spans="1:28" s="311" customFormat="1" ht="20.25" customHeight="1">
      <c r="A10" s="312" t="s">
        <v>1073</v>
      </c>
      <c r="B10" s="313" t="s">
        <v>1038</v>
      </c>
      <c r="C10" s="314" t="s">
        <v>1039</v>
      </c>
      <c r="D10" s="315" t="s">
        <v>1074</v>
      </c>
      <c r="E10" s="313" t="s">
        <v>1038</v>
      </c>
      <c r="F10" s="316" t="s">
        <v>1039</v>
      </c>
      <c r="G10" s="315" t="s">
        <v>1074</v>
      </c>
      <c r="H10" s="313" t="s">
        <v>1038</v>
      </c>
      <c r="I10" s="316" t="s">
        <v>1039</v>
      </c>
      <c r="J10" s="315" t="s">
        <v>1074</v>
      </c>
      <c r="K10" s="313" t="s">
        <v>1038</v>
      </c>
      <c r="L10" s="316" t="s">
        <v>1039</v>
      </c>
      <c r="M10" s="315" t="s">
        <v>1074</v>
      </c>
      <c r="N10" s="313" t="s">
        <v>1038</v>
      </c>
      <c r="O10" s="314" t="s">
        <v>1039</v>
      </c>
      <c r="P10" s="317" t="s">
        <v>1074</v>
      </c>
      <c r="Q10" s="318" t="s">
        <v>1038</v>
      </c>
      <c r="R10" s="319" t="s">
        <v>1039</v>
      </c>
      <c r="S10" s="315" t="s">
        <v>1074</v>
      </c>
      <c r="T10" s="312" t="s">
        <v>1075</v>
      </c>
      <c r="U10" s="318" t="s">
        <v>1038</v>
      </c>
      <c r="V10" s="319" t="s">
        <v>1039</v>
      </c>
      <c r="W10" s="315" t="s">
        <v>1074</v>
      </c>
      <c r="X10" s="309"/>
      <c r="Y10" s="309"/>
      <c r="Z10" s="309"/>
      <c r="AA10" s="309"/>
      <c r="AB10" s="309"/>
    </row>
    <row r="11" spans="1:28" s="311" customFormat="1" ht="20.25" customHeight="1" thickBot="1">
      <c r="A11" s="320"/>
      <c r="B11" s="321"/>
      <c r="C11" s="322"/>
      <c r="D11" s="323"/>
      <c r="E11" s="324"/>
      <c r="F11" s="325"/>
      <c r="G11" s="326"/>
      <c r="H11" s="327"/>
      <c r="I11" s="328"/>
      <c r="J11" s="329"/>
      <c r="K11" s="324"/>
      <c r="L11" s="328"/>
      <c r="M11" s="329"/>
      <c r="N11" s="328"/>
      <c r="O11" s="330"/>
      <c r="P11" s="331"/>
      <c r="Q11" s="327"/>
      <c r="R11" s="324"/>
      <c r="S11" s="323"/>
      <c r="T11" s="332"/>
      <c r="U11" s="333"/>
      <c r="V11" s="334"/>
      <c r="W11" s="323"/>
      <c r="X11" s="335"/>
      <c r="Y11" s="310"/>
      <c r="Z11" s="310"/>
      <c r="AA11" s="310"/>
      <c r="AB11" s="310"/>
    </row>
    <row r="12" spans="1:28" s="368" customFormat="1" ht="22.5" customHeight="1">
      <c r="A12" s="355" t="s">
        <v>911</v>
      </c>
      <c r="B12" s="356">
        <v>39547</v>
      </c>
      <c r="C12" s="357">
        <f>41047+555</f>
        <v>41602</v>
      </c>
      <c r="D12" s="358">
        <v>41602</v>
      </c>
      <c r="E12" s="359">
        <v>13496</v>
      </c>
      <c r="F12" s="360">
        <f>14040+11</f>
        <v>14051</v>
      </c>
      <c r="G12" s="361">
        <v>14051</v>
      </c>
      <c r="H12" s="362">
        <v>771</v>
      </c>
      <c r="I12" s="363">
        <v>797</v>
      </c>
      <c r="J12" s="358">
        <v>797</v>
      </c>
      <c r="K12" s="359">
        <v>34149</v>
      </c>
      <c r="L12" s="360">
        <v>35141</v>
      </c>
      <c r="M12" s="364">
        <v>35131</v>
      </c>
      <c r="N12" s="360">
        <v>21850</v>
      </c>
      <c r="O12" s="357">
        <v>21705</v>
      </c>
      <c r="P12" s="360">
        <v>21699</v>
      </c>
      <c r="Q12" s="362">
        <v>0</v>
      </c>
      <c r="R12" s="359">
        <v>3050</v>
      </c>
      <c r="S12" s="365">
        <v>3025</v>
      </c>
      <c r="T12" s="366">
        <v>321</v>
      </c>
      <c r="U12" s="359">
        <f aca="true" t="shared" si="0" ref="U12:U18">B12+E12+H12+K12+N12+Q12</f>
        <v>109813</v>
      </c>
      <c r="V12" s="357">
        <f>C12+F12+I12+L12+O12+R12-566</f>
        <v>115780</v>
      </c>
      <c r="W12" s="358">
        <f>D12+G12+J12+M12+P12+S12-566+T12</f>
        <v>116060</v>
      </c>
      <c r="X12" s="365"/>
      <c r="Y12" s="367"/>
      <c r="Z12" s="367"/>
      <c r="AA12" s="365"/>
      <c r="AB12" s="365"/>
    </row>
    <row r="13" spans="1:28" s="368" customFormat="1" ht="22.5" customHeight="1">
      <c r="A13" s="355" t="s">
        <v>907</v>
      </c>
      <c r="B13" s="369">
        <v>38509</v>
      </c>
      <c r="C13" s="370">
        <v>39722</v>
      </c>
      <c r="D13" s="371">
        <v>39697</v>
      </c>
      <c r="E13" s="372">
        <v>13167</v>
      </c>
      <c r="F13" s="373">
        <v>13797</v>
      </c>
      <c r="G13" s="374">
        <v>13793</v>
      </c>
      <c r="H13" s="375">
        <v>752</v>
      </c>
      <c r="I13" s="372">
        <v>772</v>
      </c>
      <c r="J13" s="376">
        <v>772</v>
      </c>
      <c r="K13" s="372">
        <v>19853</v>
      </c>
      <c r="L13" s="373">
        <v>20153</v>
      </c>
      <c r="M13" s="376">
        <v>20136</v>
      </c>
      <c r="N13" s="373">
        <v>10840</v>
      </c>
      <c r="O13" s="370">
        <v>11038</v>
      </c>
      <c r="P13" s="373">
        <v>11268</v>
      </c>
      <c r="Q13" s="375"/>
      <c r="R13" s="372"/>
      <c r="S13" s="373"/>
      <c r="T13" s="377">
        <v>41</v>
      </c>
      <c r="U13" s="372">
        <f t="shared" si="0"/>
        <v>83121</v>
      </c>
      <c r="V13" s="370">
        <f>C13+F13+I13+L13+O13+R13</f>
        <v>85482</v>
      </c>
      <c r="W13" s="371">
        <f>D13+G13+J13+M13+P13+S13+T13</f>
        <v>85707</v>
      </c>
      <c r="X13" s="365"/>
      <c r="Y13" s="367"/>
      <c r="Z13" s="367"/>
      <c r="AA13" s="365"/>
      <c r="AB13" s="365"/>
    </row>
    <row r="14" spans="1:28" s="368" customFormat="1" ht="22.5" customHeight="1">
      <c r="A14" s="378" t="s">
        <v>906</v>
      </c>
      <c r="B14" s="379">
        <v>29456</v>
      </c>
      <c r="C14" s="357">
        <v>29921</v>
      </c>
      <c r="D14" s="358">
        <v>29921</v>
      </c>
      <c r="E14" s="372">
        <v>10169</v>
      </c>
      <c r="F14" s="360">
        <v>10268</v>
      </c>
      <c r="G14" s="374">
        <v>10268</v>
      </c>
      <c r="H14" s="375">
        <v>581</v>
      </c>
      <c r="I14" s="359">
        <v>584</v>
      </c>
      <c r="J14" s="358">
        <v>583</v>
      </c>
      <c r="K14" s="359">
        <v>9005</v>
      </c>
      <c r="L14" s="360">
        <v>10105</v>
      </c>
      <c r="M14" s="364">
        <v>9681</v>
      </c>
      <c r="N14" s="373">
        <v>5999</v>
      </c>
      <c r="O14" s="357">
        <v>5954</v>
      </c>
      <c r="P14" s="360">
        <v>5769</v>
      </c>
      <c r="Q14" s="375"/>
      <c r="R14" s="359"/>
      <c r="S14" s="365"/>
      <c r="T14" s="380">
        <v>550</v>
      </c>
      <c r="U14" s="372">
        <f t="shared" si="0"/>
        <v>55210</v>
      </c>
      <c r="V14" s="370">
        <f>C14+F14+I14+L14+O14+R14</f>
        <v>56832</v>
      </c>
      <c r="W14" s="371">
        <f>D14+G14+J14+M14+P14+S14+T14</f>
        <v>56772</v>
      </c>
      <c r="X14" s="365"/>
      <c r="Y14" s="367"/>
      <c r="Z14" s="367"/>
      <c r="AA14" s="365"/>
      <c r="AB14" s="365"/>
    </row>
    <row r="15" spans="1:28" s="368" customFormat="1" ht="22.5" customHeight="1">
      <c r="A15" s="378" t="s">
        <v>905</v>
      </c>
      <c r="B15" s="369">
        <v>31749</v>
      </c>
      <c r="C15" s="370">
        <v>33955</v>
      </c>
      <c r="D15" s="371">
        <v>33215</v>
      </c>
      <c r="E15" s="372">
        <v>10739</v>
      </c>
      <c r="F15" s="373">
        <v>11377</v>
      </c>
      <c r="G15" s="374">
        <v>11377</v>
      </c>
      <c r="H15" s="375">
        <v>614</v>
      </c>
      <c r="I15" s="372">
        <v>639</v>
      </c>
      <c r="J15" s="376">
        <v>639</v>
      </c>
      <c r="K15" s="372">
        <v>9740</v>
      </c>
      <c r="L15" s="373">
        <v>9740</v>
      </c>
      <c r="M15" s="376">
        <v>9899</v>
      </c>
      <c r="N15" s="373">
        <v>10270</v>
      </c>
      <c r="O15" s="370">
        <v>11470</v>
      </c>
      <c r="P15" s="373">
        <v>11458</v>
      </c>
      <c r="Q15" s="375"/>
      <c r="R15" s="372"/>
      <c r="S15" s="373"/>
      <c r="T15" s="377">
        <v>884</v>
      </c>
      <c r="U15" s="372">
        <f t="shared" si="0"/>
        <v>63112</v>
      </c>
      <c r="V15" s="370">
        <f>C15+F15+I15+L15+O15+R15</f>
        <v>67181</v>
      </c>
      <c r="W15" s="371">
        <f>D15+G15+J15+M15+P15+S15+T15</f>
        <v>67472</v>
      </c>
      <c r="X15" s="365"/>
      <c r="Y15" s="367"/>
      <c r="Z15" s="367"/>
      <c r="AA15" s="365"/>
      <c r="AB15" s="365"/>
    </row>
    <row r="16" spans="1:28" s="368" customFormat="1" ht="22.5" customHeight="1">
      <c r="A16" s="378" t="s">
        <v>904</v>
      </c>
      <c r="B16" s="379">
        <v>29899</v>
      </c>
      <c r="C16" s="357">
        <f>31795+90+173</f>
        <v>32058</v>
      </c>
      <c r="D16" s="358">
        <v>32058</v>
      </c>
      <c r="E16" s="372">
        <v>10135</v>
      </c>
      <c r="F16" s="360">
        <f>10956+32</f>
        <v>10988</v>
      </c>
      <c r="G16" s="374">
        <v>10987</v>
      </c>
      <c r="H16" s="375">
        <v>579</v>
      </c>
      <c r="I16" s="359">
        <f>608+2</f>
        <v>610</v>
      </c>
      <c r="J16" s="358">
        <v>610</v>
      </c>
      <c r="K16" s="359">
        <v>10684</v>
      </c>
      <c r="L16" s="360">
        <v>11784</v>
      </c>
      <c r="M16" s="364">
        <v>11779</v>
      </c>
      <c r="N16" s="373">
        <v>7608</v>
      </c>
      <c r="O16" s="357">
        <v>8796</v>
      </c>
      <c r="P16" s="360">
        <v>8774</v>
      </c>
      <c r="Q16" s="375"/>
      <c r="R16" s="359">
        <v>596</v>
      </c>
      <c r="S16" s="365">
        <v>595</v>
      </c>
      <c r="T16" s="380">
        <v>0</v>
      </c>
      <c r="U16" s="372">
        <f t="shared" si="0"/>
        <v>58905</v>
      </c>
      <c r="V16" s="370">
        <f>C16+F16+I16+L16+O16+R16-297</f>
        <v>64535</v>
      </c>
      <c r="W16" s="371">
        <f>D16+G16+J16+M16+P16+S16-296+T16</f>
        <v>64507</v>
      </c>
      <c r="X16" s="365"/>
      <c r="Y16" s="367"/>
      <c r="Z16" s="367"/>
      <c r="AA16" s="365"/>
      <c r="AB16" s="365"/>
    </row>
    <row r="17" spans="1:28" s="368" customFormat="1" ht="22.5" customHeight="1">
      <c r="A17" s="378" t="s">
        <v>903</v>
      </c>
      <c r="B17" s="369">
        <v>33814</v>
      </c>
      <c r="C17" s="370">
        <v>35063</v>
      </c>
      <c r="D17" s="371">
        <v>34989</v>
      </c>
      <c r="E17" s="372">
        <v>11568</v>
      </c>
      <c r="F17" s="373">
        <v>12273</v>
      </c>
      <c r="G17" s="374">
        <v>12296</v>
      </c>
      <c r="H17" s="375">
        <v>661</v>
      </c>
      <c r="I17" s="372">
        <v>686</v>
      </c>
      <c r="J17" s="376">
        <v>689</v>
      </c>
      <c r="K17" s="372">
        <v>15292</v>
      </c>
      <c r="L17" s="373">
        <v>15292</v>
      </c>
      <c r="M17" s="376">
        <v>15286</v>
      </c>
      <c r="N17" s="373">
        <v>10347</v>
      </c>
      <c r="O17" s="370">
        <v>10847</v>
      </c>
      <c r="P17" s="373">
        <v>10823</v>
      </c>
      <c r="Q17" s="375"/>
      <c r="R17" s="372"/>
      <c r="S17" s="373"/>
      <c r="T17" s="377">
        <v>255</v>
      </c>
      <c r="U17" s="372">
        <f t="shared" si="0"/>
        <v>71682</v>
      </c>
      <c r="V17" s="370">
        <f>C17+F17+I17+L17+O17+R17</f>
        <v>74161</v>
      </c>
      <c r="W17" s="371">
        <f>D17+G17+J17+M17+P17+S17+T17-1</f>
        <v>74337</v>
      </c>
      <c r="X17" s="365"/>
      <c r="Y17" s="367"/>
      <c r="Z17" s="367"/>
      <c r="AA17" s="365"/>
      <c r="AB17" s="365"/>
    </row>
    <row r="18" spans="1:28" s="368" customFormat="1" ht="22.5" customHeight="1">
      <c r="A18" s="378" t="s">
        <v>902</v>
      </c>
      <c r="B18" s="369">
        <v>52954</v>
      </c>
      <c r="C18" s="370">
        <v>55081</v>
      </c>
      <c r="D18" s="371">
        <v>55220</v>
      </c>
      <c r="E18" s="372">
        <v>18344</v>
      </c>
      <c r="F18" s="373">
        <v>18924</v>
      </c>
      <c r="G18" s="374">
        <v>18924</v>
      </c>
      <c r="H18" s="375">
        <v>1048</v>
      </c>
      <c r="I18" s="372">
        <v>1069</v>
      </c>
      <c r="J18" s="371">
        <v>1076</v>
      </c>
      <c r="K18" s="372">
        <v>44825</v>
      </c>
      <c r="L18" s="373">
        <v>43997</v>
      </c>
      <c r="M18" s="376">
        <v>43607</v>
      </c>
      <c r="N18" s="373">
        <v>162555</v>
      </c>
      <c r="O18" s="370">
        <v>182229</v>
      </c>
      <c r="P18" s="373">
        <v>182115</v>
      </c>
      <c r="Q18" s="375"/>
      <c r="R18" s="372"/>
      <c r="S18" s="373"/>
      <c r="T18" s="377">
        <v>205</v>
      </c>
      <c r="U18" s="372">
        <f t="shared" si="0"/>
        <v>279726</v>
      </c>
      <c r="V18" s="370">
        <f>C18+F18+I18+L18+O18+R18</f>
        <v>301300</v>
      </c>
      <c r="W18" s="371">
        <f>D18+G18+J18+M18+P18+S18+T18+1</f>
        <v>301148</v>
      </c>
      <c r="X18" s="365"/>
      <c r="Y18" s="367"/>
      <c r="Z18" s="367"/>
      <c r="AA18" s="365"/>
      <c r="AB18" s="365"/>
    </row>
    <row r="19" spans="1:28" s="368" customFormat="1" ht="22.5" customHeight="1">
      <c r="A19" s="378" t="s">
        <v>901</v>
      </c>
      <c r="B19" s="379">
        <v>42896</v>
      </c>
      <c r="C19" s="357">
        <v>44418</v>
      </c>
      <c r="D19" s="358">
        <v>44442</v>
      </c>
      <c r="E19" s="359">
        <v>14850</v>
      </c>
      <c r="F19" s="360">
        <v>15354</v>
      </c>
      <c r="G19" s="361">
        <v>15354</v>
      </c>
      <c r="H19" s="362">
        <v>849</v>
      </c>
      <c r="I19" s="359">
        <v>872</v>
      </c>
      <c r="J19" s="358">
        <v>872</v>
      </c>
      <c r="K19" s="359">
        <v>27126</v>
      </c>
      <c r="L19" s="360">
        <v>27126</v>
      </c>
      <c r="M19" s="364">
        <v>26983</v>
      </c>
      <c r="N19" s="360">
        <v>29946</v>
      </c>
      <c r="O19" s="357">
        <v>25652</v>
      </c>
      <c r="P19" s="360">
        <v>25662</v>
      </c>
      <c r="Q19" s="362"/>
      <c r="R19" s="359"/>
      <c r="S19" s="365"/>
      <c r="T19" s="380">
        <v>232</v>
      </c>
      <c r="U19" s="359">
        <f>B19+E19+H19+K19+N19</f>
        <v>115667</v>
      </c>
      <c r="V19" s="381">
        <f>C19+F19+I19+L19+O19</f>
        <v>113422</v>
      </c>
      <c r="W19" s="358">
        <f>D19+G19+J19+M19+P19+S19+T19-1</f>
        <v>113544</v>
      </c>
      <c r="X19" s="365"/>
      <c r="Y19" s="367"/>
      <c r="Z19" s="367"/>
      <c r="AA19" s="365"/>
      <c r="AB19" s="365"/>
    </row>
    <row r="20" spans="1:28" s="368" customFormat="1" ht="22.5" customHeight="1" thickBot="1">
      <c r="A20" s="382" t="s">
        <v>900</v>
      </c>
      <c r="B20" s="383">
        <v>1959</v>
      </c>
      <c r="C20" s="384"/>
      <c r="D20" s="385"/>
      <c r="E20" s="386">
        <v>322</v>
      </c>
      <c r="F20" s="387"/>
      <c r="G20" s="388"/>
      <c r="H20" s="389">
        <v>19</v>
      </c>
      <c r="I20" s="386"/>
      <c r="J20" s="385"/>
      <c r="K20" s="386"/>
      <c r="L20" s="387"/>
      <c r="M20" s="390"/>
      <c r="N20" s="387"/>
      <c r="O20" s="384"/>
      <c r="P20" s="387"/>
      <c r="Q20" s="389"/>
      <c r="R20" s="386"/>
      <c r="S20" s="387"/>
      <c r="T20" s="391"/>
      <c r="U20" s="387">
        <f>B20+E20+H20</f>
        <v>2300</v>
      </c>
      <c r="V20" s="384"/>
      <c r="W20" s="385"/>
      <c r="X20" s="365"/>
      <c r="Y20" s="367"/>
      <c r="Z20" s="367"/>
      <c r="AA20" s="365"/>
      <c r="AB20" s="365"/>
    </row>
    <row r="21" spans="1:28" s="307" customFormat="1" ht="27.75" customHeight="1" thickBot="1">
      <c r="A21" s="392" t="s">
        <v>899</v>
      </c>
      <c r="B21" s="393">
        <f>SUM(B12:B20)</f>
        <v>300783</v>
      </c>
      <c r="C21" s="394">
        <f>SUM(C12:C19)</f>
        <v>311820</v>
      </c>
      <c r="D21" s="395">
        <f>SUM(D12:D19)</f>
        <v>311144</v>
      </c>
      <c r="E21" s="396">
        <f>SUM(E12:E20)</f>
        <v>102790</v>
      </c>
      <c r="F21" s="396">
        <f>SUM(F12:F19)</f>
        <v>107032</v>
      </c>
      <c r="G21" s="395">
        <f>SUM(G12:G19)</f>
        <v>107050</v>
      </c>
      <c r="H21" s="397">
        <f>SUM(H12:H20)</f>
        <v>5874</v>
      </c>
      <c r="I21" s="396">
        <f>SUM(I12:I19)</f>
        <v>6029</v>
      </c>
      <c r="J21" s="395">
        <f>SUM(J12:J19)-1</f>
        <v>6037</v>
      </c>
      <c r="K21" s="396">
        <f>SUM(K12:K19)</f>
        <v>170674</v>
      </c>
      <c r="L21" s="398">
        <f>SUM(L12:L19)</f>
        <v>173338</v>
      </c>
      <c r="M21" s="395">
        <f>SUM(M12:M19)</f>
        <v>172502</v>
      </c>
      <c r="N21" s="398">
        <f>SUM(N12:N19)</f>
        <v>259415</v>
      </c>
      <c r="O21" s="394">
        <f>SUM(O12:O19)</f>
        <v>277691</v>
      </c>
      <c r="P21" s="398">
        <f>SUM(P12:P19)+1</f>
        <v>277569</v>
      </c>
      <c r="Q21" s="397">
        <v>0</v>
      </c>
      <c r="R21" s="396">
        <f>R12+R16</f>
        <v>3646</v>
      </c>
      <c r="S21" s="398">
        <f>SUM(S12:S19)</f>
        <v>3620</v>
      </c>
      <c r="T21" s="399">
        <f>SUM(T12:T19)</f>
        <v>2488</v>
      </c>
      <c r="U21" s="398">
        <f>SUM(U12:U20)</f>
        <v>839536</v>
      </c>
      <c r="V21" s="394">
        <f>SUM(V12:V19)</f>
        <v>878693</v>
      </c>
      <c r="W21" s="400">
        <f>SUM(W12:W19)+1</f>
        <v>879548</v>
      </c>
      <c r="X21" s="401"/>
      <c r="Y21" s="402"/>
      <c r="Z21" s="402"/>
      <c r="AA21" s="401"/>
      <c r="AB21" s="401"/>
    </row>
    <row r="22" spans="1:28" s="311" customFormat="1" ht="15">
      <c r="A22" s="339"/>
      <c r="B22" s="337"/>
      <c r="C22" s="337"/>
      <c r="D22" s="337"/>
      <c r="E22" s="337"/>
      <c r="F22" s="337"/>
      <c r="G22" s="338"/>
      <c r="H22" s="337"/>
      <c r="I22" s="337"/>
      <c r="J22" s="337"/>
      <c r="K22" s="337"/>
      <c r="L22" s="337"/>
      <c r="M22" s="337"/>
      <c r="N22" s="337"/>
      <c r="O22" s="337"/>
      <c r="P22" s="338"/>
      <c r="Q22" s="337"/>
      <c r="R22" s="337"/>
      <c r="S22" s="337"/>
      <c r="T22" s="337"/>
      <c r="U22" s="337"/>
      <c r="V22" s="340"/>
      <c r="W22" s="337"/>
      <c r="X22" s="337"/>
      <c r="Y22" s="337"/>
      <c r="Z22" s="337"/>
      <c r="AA22" s="337"/>
      <c r="AB22" s="337"/>
    </row>
    <row r="23" spans="1:10" s="311" customFormat="1" ht="12.75">
      <c r="A23" s="341"/>
      <c r="C23" s="336"/>
      <c r="D23" s="336"/>
      <c r="E23" s="336"/>
      <c r="F23" s="336"/>
      <c r="G23" s="336"/>
      <c r="H23" s="336"/>
      <c r="I23" s="342"/>
      <c r="J23" s="342"/>
    </row>
    <row r="24" s="311" customFormat="1" ht="12.75">
      <c r="A24" s="343" t="s">
        <v>898</v>
      </c>
    </row>
    <row r="25" s="311" customFormat="1" ht="12.75">
      <c r="A25" s="311" t="s">
        <v>897</v>
      </c>
    </row>
    <row r="26" s="311" customFormat="1" ht="12.75">
      <c r="A26" s="311" t="s">
        <v>896</v>
      </c>
    </row>
    <row r="27" s="311" customFormat="1" ht="12.75"/>
    <row r="28" s="311" customFormat="1" ht="12.75"/>
    <row r="29" spans="1:22" s="311" customFormat="1" ht="12.75">
      <c r="A29" s="311" t="s">
        <v>910</v>
      </c>
      <c r="I29" s="311" t="s">
        <v>1056</v>
      </c>
      <c r="V29" s="311" t="s">
        <v>912</v>
      </c>
    </row>
    <row r="30" s="311" customFormat="1" ht="12.75"/>
    <row r="31" s="311" customFormat="1" ht="12.75"/>
    <row r="32" spans="1:7" ht="12.75">
      <c r="A32" s="49"/>
      <c r="B32" s="49"/>
      <c r="C32" s="49"/>
      <c r="D32" s="49"/>
      <c r="E32" s="49"/>
      <c r="F32" s="49"/>
      <c r="G32" s="49"/>
    </row>
    <row r="33" spans="1:7" ht="12.75">
      <c r="A33" s="49"/>
      <c r="B33" s="49"/>
      <c r="C33" s="49"/>
      <c r="D33" s="49"/>
      <c r="E33" s="49"/>
      <c r="F33" s="49"/>
      <c r="G33" s="49"/>
    </row>
    <row r="34" spans="1:7" ht="12.75">
      <c r="A34" s="49"/>
      <c r="B34" s="49"/>
      <c r="C34" s="49"/>
      <c r="D34" s="49"/>
      <c r="E34" s="49"/>
      <c r="F34" s="49"/>
      <c r="G34" s="49"/>
    </row>
  </sheetData>
  <mergeCells count="2">
    <mergeCell ref="V4:W4"/>
    <mergeCell ref="B9:D9"/>
  </mergeCells>
  <printOptions horizontalCentered="1"/>
  <pageMargins left="0.3937007874015748" right="0.3937007874015748" top="0.984251968503937" bottom="0.7874015748031497" header="0.7086614173228347" footer="0.5118110236220472"/>
  <pageSetup fitToHeight="1" fitToWidth="1" horizontalDpi="600" verticalDpi="600" orientation="landscape" paperSize="9" scale="60" r:id="rId1"/>
  <headerFooter alignWithMargins="0">
    <oddFooter>&amp;C&amp;14&amp;P+157&amp;10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zoomScale="80" zoomScaleNormal="80" workbookViewId="0" topLeftCell="A1">
      <selection activeCell="P14" sqref="P14"/>
    </sheetView>
  </sheetViews>
  <sheetFormatPr defaultColWidth="9.00390625" defaultRowHeight="12.75"/>
  <cols>
    <col min="1" max="1" width="76.625" style="228" customWidth="1"/>
    <col min="2" max="10" width="11.75390625" style="228" hidden="1" customWidth="1"/>
    <col min="11" max="11" width="5.125" style="228" hidden="1" customWidth="1"/>
    <col min="12" max="14" width="19.75390625" style="228" customWidth="1"/>
    <col min="15" max="16" width="17.625" style="228" customWidth="1"/>
    <col min="17" max="17" width="23.375" style="228" customWidth="1"/>
    <col min="18" max="16384" width="9.125" style="228" customWidth="1"/>
  </cols>
  <sheetData>
    <row r="1" spans="1:17" s="183" customFormat="1" ht="19.5" customHeight="1">
      <c r="A1" s="181" t="s">
        <v>1063</v>
      </c>
      <c r="P1" s="1555" t="s">
        <v>1085</v>
      </c>
      <c r="Q1" s="1555"/>
    </row>
    <row r="2" spans="1:26" s="182" customFormat="1" ht="9.75" customHeight="1">
      <c r="A2" s="180"/>
      <c r="Y2" s="226"/>
      <c r="Z2" s="226"/>
    </row>
    <row r="3" spans="1:17" s="294" customFormat="1" ht="18">
      <c r="A3" s="1553" t="s">
        <v>913</v>
      </c>
      <c r="B3" s="1553"/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1553"/>
    </row>
    <row r="4" spans="1:17" ht="7.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17" ht="13.5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30"/>
      <c r="L5" s="230"/>
      <c r="N5" s="231"/>
      <c r="O5" s="231"/>
      <c r="P5" s="231"/>
      <c r="Q5" s="231" t="s">
        <v>1037</v>
      </c>
    </row>
    <row r="6" spans="1:17" s="300" customFormat="1" ht="39.75" customHeight="1" thickBot="1">
      <c r="A6" s="295" t="s">
        <v>914</v>
      </c>
      <c r="B6" s="296" t="s">
        <v>915</v>
      </c>
      <c r="C6" s="296" t="s">
        <v>916</v>
      </c>
      <c r="D6" s="296" t="s">
        <v>917</v>
      </c>
      <c r="E6" s="296" t="s">
        <v>918</v>
      </c>
      <c r="F6" s="296" t="s">
        <v>919</v>
      </c>
      <c r="G6" s="296" t="s">
        <v>920</v>
      </c>
      <c r="H6" s="296" t="s">
        <v>921</v>
      </c>
      <c r="I6" s="296" t="s">
        <v>922</v>
      </c>
      <c r="J6" s="296" t="s">
        <v>923</v>
      </c>
      <c r="K6" s="296" t="s">
        <v>924</v>
      </c>
      <c r="L6" s="296" t="s">
        <v>925</v>
      </c>
      <c r="M6" s="296" t="s">
        <v>926</v>
      </c>
      <c r="N6" s="297" t="s">
        <v>927</v>
      </c>
      <c r="O6" s="297" t="s">
        <v>928</v>
      </c>
      <c r="P6" s="298" t="s">
        <v>929</v>
      </c>
      <c r="Q6" s="299" t="s">
        <v>930</v>
      </c>
    </row>
    <row r="7" spans="1:17" ht="14.25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235"/>
      <c r="N7" s="236"/>
      <c r="O7" s="236"/>
      <c r="P7" s="235"/>
      <c r="Q7" s="237"/>
    </row>
    <row r="8" spans="1:17" ht="15">
      <c r="A8" s="238" t="s">
        <v>931</v>
      </c>
      <c r="B8" s="239">
        <v>2184630</v>
      </c>
      <c r="C8" s="239">
        <v>2599678</v>
      </c>
      <c r="D8" s="239">
        <v>3381679</v>
      </c>
      <c r="E8" s="239">
        <v>3676044</v>
      </c>
      <c r="F8" s="239">
        <v>3849359</v>
      </c>
      <c r="G8" s="239">
        <v>3540245</v>
      </c>
      <c r="H8" s="239">
        <v>3722534</v>
      </c>
      <c r="I8" s="239">
        <v>3811742</v>
      </c>
      <c r="J8" s="239">
        <v>4880203</v>
      </c>
      <c r="K8" s="239">
        <v>5766027</v>
      </c>
      <c r="L8" s="240">
        <v>6420538</v>
      </c>
      <c r="M8" s="241">
        <f>M9+M11</f>
        <v>6945471</v>
      </c>
      <c r="N8" s="242">
        <f>SUM(N9+N11)</f>
        <v>8041294</v>
      </c>
      <c r="O8" s="243">
        <f>SUM(O9+O11)</f>
        <v>10777246</v>
      </c>
      <c r="P8" s="241">
        <f>SUM(P9+P11)</f>
        <v>9129596.52</v>
      </c>
      <c r="Q8" s="244">
        <f>SUM(Q9+Q11)</f>
        <v>9672334</v>
      </c>
    </row>
    <row r="9" spans="1:17" ht="14.25">
      <c r="A9" s="245" t="s">
        <v>932</v>
      </c>
      <c r="B9" s="246">
        <v>1861383</v>
      </c>
      <c r="C9" s="246">
        <v>2270532</v>
      </c>
      <c r="D9" s="246">
        <v>2826957</v>
      </c>
      <c r="E9" s="246">
        <v>3119388</v>
      </c>
      <c r="F9" s="246">
        <v>3006009</v>
      </c>
      <c r="G9" s="246">
        <v>3104569</v>
      </c>
      <c r="H9" s="246">
        <v>3398643</v>
      </c>
      <c r="I9" s="246">
        <v>3485784</v>
      </c>
      <c r="J9" s="246">
        <v>4417989</v>
      </c>
      <c r="K9" s="246">
        <v>4960978</v>
      </c>
      <c r="L9" s="247">
        <v>5454470</v>
      </c>
      <c r="M9" s="248">
        <v>5713826</v>
      </c>
      <c r="N9" s="249">
        <v>6398546</v>
      </c>
      <c r="O9" s="249">
        <v>6551027</v>
      </c>
      <c r="P9" s="248">
        <v>7003512.33</v>
      </c>
      <c r="Q9" s="250">
        <v>7426681</v>
      </c>
    </row>
    <row r="10" spans="1:17" ht="14.25">
      <c r="A10" s="245" t="s">
        <v>933</v>
      </c>
      <c r="B10" s="246"/>
      <c r="C10" s="246"/>
      <c r="D10" s="246"/>
      <c r="E10" s="246"/>
      <c r="F10" s="246">
        <v>2299176</v>
      </c>
      <c r="G10" s="246">
        <v>2374086</v>
      </c>
      <c r="H10" s="246">
        <v>2598970</v>
      </c>
      <c r="I10" s="246">
        <v>2665607</v>
      </c>
      <c r="J10" s="246">
        <v>3378372</v>
      </c>
      <c r="K10" s="246">
        <v>3793638</v>
      </c>
      <c r="L10" s="247">
        <v>4170967</v>
      </c>
      <c r="M10" s="248">
        <v>4677966</v>
      </c>
      <c r="N10" s="249">
        <v>5268749</v>
      </c>
      <c r="O10" s="249">
        <v>5394329</v>
      </c>
      <c r="P10" s="248">
        <v>5766971</v>
      </c>
      <c r="Q10" s="250">
        <v>6116090</v>
      </c>
    </row>
    <row r="11" spans="1:17" ht="14.25">
      <c r="A11" s="245" t="s">
        <v>934</v>
      </c>
      <c r="B11" s="246">
        <v>323247</v>
      </c>
      <c r="C11" s="246">
        <v>329146</v>
      </c>
      <c r="D11" s="246">
        <v>554722</v>
      </c>
      <c r="E11" s="246">
        <v>556656</v>
      </c>
      <c r="F11" s="246">
        <v>843350</v>
      </c>
      <c r="G11" s="246">
        <v>435676</v>
      </c>
      <c r="H11" s="246">
        <v>323891</v>
      </c>
      <c r="I11" s="246">
        <v>325958</v>
      </c>
      <c r="J11" s="246">
        <v>462214</v>
      </c>
      <c r="K11" s="246">
        <v>805049</v>
      </c>
      <c r="L11" s="247">
        <v>966068</v>
      </c>
      <c r="M11" s="248">
        <v>1231645</v>
      </c>
      <c r="N11" s="249">
        <v>1642748</v>
      </c>
      <c r="O11" s="249">
        <v>4226219</v>
      </c>
      <c r="P11" s="248">
        <f>439331.74+149813.32+1536939.13</f>
        <v>2126084.19</v>
      </c>
      <c r="Q11" s="250">
        <v>2245653</v>
      </c>
    </row>
    <row r="12" spans="1:17" ht="14.25">
      <c r="A12" s="245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2"/>
      <c r="M12" s="253"/>
      <c r="N12" s="254"/>
      <c r="O12" s="255"/>
      <c r="P12" s="256"/>
      <c r="Q12" s="257"/>
    </row>
    <row r="13" spans="1:17" ht="15">
      <c r="A13" s="238" t="s">
        <v>935</v>
      </c>
      <c r="B13" s="239">
        <v>16540704</v>
      </c>
      <c r="C13" s="239">
        <v>19962546</v>
      </c>
      <c r="D13" s="239">
        <v>22262993</v>
      </c>
      <c r="E13" s="239">
        <v>26614103</v>
      </c>
      <c r="F13" s="239">
        <v>26285720</v>
      </c>
      <c r="G13" s="239">
        <v>27161846</v>
      </c>
      <c r="H13" s="239">
        <v>28965733</v>
      </c>
      <c r="I13" s="239">
        <v>32702908</v>
      </c>
      <c r="J13" s="239">
        <v>36903150</v>
      </c>
      <c r="K13" s="239">
        <v>40969999</v>
      </c>
      <c r="L13" s="240">
        <f>SUM(L14:L17)-884</f>
        <v>45006355</v>
      </c>
      <c r="M13" s="240">
        <f>SUM(M14:M17)-598</f>
        <v>47669199</v>
      </c>
      <c r="N13" s="242">
        <f>SUM(N14:N17)-996</f>
        <v>51516745</v>
      </c>
      <c r="O13" s="243">
        <f>SUM(O14:O17)-1040</f>
        <v>55610478</v>
      </c>
      <c r="P13" s="241">
        <f>SUM(P14:P17)-2132-1</f>
        <v>58233846.388</v>
      </c>
      <c r="Q13" s="244">
        <f>SUM(Q14:Q17)</f>
        <v>58165469</v>
      </c>
    </row>
    <row r="14" spans="1:17" ht="15">
      <c r="A14" s="238" t="s">
        <v>936</v>
      </c>
      <c r="B14" s="239">
        <v>893335</v>
      </c>
      <c r="C14" s="239">
        <v>1369069</v>
      </c>
      <c r="D14" s="239">
        <v>2463595</v>
      </c>
      <c r="E14" s="239">
        <v>3655657</v>
      </c>
      <c r="F14" s="239">
        <v>3160778</v>
      </c>
      <c r="G14" s="239">
        <v>3114618</v>
      </c>
      <c r="H14" s="239">
        <v>2880670</v>
      </c>
      <c r="I14" s="239">
        <v>5350844</v>
      </c>
      <c r="J14" s="239">
        <v>2939061</v>
      </c>
      <c r="K14" s="239">
        <v>3523235</v>
      </c>
      <c r="L14" s="240">
        <v>3709460</v>
      </c>
      <c r="M14" s="241">
        <v>3999177</v>
      </c>
      <c r="N14" s="242">
        <v>5304676</v>
      </c>
      <c r="O14" s="243">
        <v>7704261</v>
      </c>
      <c r="P14" s="241">
        <f>8532553.46-890573.85-270508.64-1</f>
        <v>7371469.970000002</v>
      </c>
      <c r="Q14" s="244">
        <v>7088333</v>
      </c>
    </row>
    <row r="15" spans="1:17" s="258" customFormat="1" ht="17.25">
      <c r="A15" s="238" t="s">
        <v>937</v>
      </c>
      <c r="B15" s="239"/>
      <c r="C15" s="239"/>
      <c r="D15" s="239"/>
      <c r="E15" s="239">
        <v>24802</v>
      </c>
      <c r="F15" s="239">
        <v>18148</v>
      </c>
      <c r="G15" s="239">
        <v>17940</v>
      </c>
      <c r="H15" s="239">
        <v>10040</v>
      </c>
      <c r="I15" s="239">
        <v>18795</v>
      </c>
      <c r="J15" s="239">
        <v>21217</v>
      </c>
      <c r="K15" s="239">
        <v>19819</v>
      </c>
      <c r="L15" s="240">
        <v>19679</v>
      </c>
      <c r="M15" s="241">
        <v>19728</v>
      </c>
      <c r="N15" s="242">
        <v>22603</v>
      </c>
      <c r="O15" s="243">
        <v>29568</v>
      </c>
      <c r="P15" s="241">
        <f>79841.18-2967.2-69.45-1</f>
        <v>76803.53</v>
      </c>
      <c r="Q15" s="244">
        <v>44030</v>
      </c>
    </row>
    <row r="16" spans="1:17" s="258" customFormat="1" ht="15">
      <c r="A16" s="238" t="s">
        <v>938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40">
        <v>884129</v>
      </c>
      <c r="M16" s="241">
        <v>1386188</v>
      </c>
      <c r="N16" s="242">
        <v>3027140</v>
      </c>
      <c r="O16" s="243">
        <v>2066692</v>
      </c>
      <c r="P16" s="259">
        <v>1786112.54</v>
      </c>
      <c r="Q16" s="1204" t="s">
        <v>939</v>
      </c>
    </row>
    <row r="17" spans="1:17" ht="15">
      <c r="A17" s="238" t="s">
        <v>940</v>
      </c>
      <c r="B17" s="239">
        <v>15647369</v>
      </c>
      <c r="C17" s="239">
        <v>18593477</v>
      </c>
      <c r="D17" s="239">
        <v>19799398</v>
      </c>
      <c r="E17" s="239">
        <v>22933644</v>
      </c>
      <c r="F17" s="239">
        <v>23106794</v>
      </c>
      <c r="G17" s="239">
        <v>24029288</v>
      </c>
      <c r="H17" s="239">
        <v>26075023</v>
      </c>
      <c r="I17" s="239">
        <v>27333269</v>
      </c>
      <c r="J17" s="239">
        <v>33942872</v>
      </c>
      <c r="K17" s="239">
        <v>37426945</v>
      </c>
      <c r="L17" s="240">
        <f aca="true" t="shared" si="0" ref="L17:Q17">SUM(L19:L24)</f>
        <v>40393971</v>
      </c>
      <c r="M17" s="240">
        <f t="shared" si="0"/>
        <v>42264704</v>
      </c>
      <c r="N17" s="242">
        <f t="shared" si="0"/>
        <v>43163322</v>
      </c>
      <c r="O17" s="243">
        <f t="shared" si="0"/>
        <v>45810997</v>
      </c>
      <c r="P17" s="241">
        <f>SUM(P19:P24)+1</f>
        <v>49001593.348</v>
      </c>
      <c r="Q17" s="244">
        <f t="shared" si="0"/>
        <v>51033106</v>
      </c>
    </row>
    <row r="18" spans="1:17" ht="14.25">
      <c r="A18" s="245" t="s">
        <v>941</v>
      </c>
      <c r="B18" s="246"/>
      <c r="C18" s="246"/>
      <c r="D18" s="246"/>
      <c r="E18" s="246"/>
      <c r="F18" s="251"/>
      <c r="G18" s="251"/>
      <c r="H18" s="251"/>
      <c r="I18" s="251"/>
      <c r="J18" s="251"/>
      <c r="K18" s="251"/>
      <c r="L18" s="252"/>
      <c r="M18" s="253"/>
      <c r="N18" s="254"/>
      <c r="O18" s="255"/>
      <c r="P18" s="256"/>
      <c r="Q18" s="257"/>
    </row>
    <row r="19" spans="1:17" ht="16.5">
      <c r="A19" s="245" t="s">
        <v>1042</v>
      </c>
      <c r="B19" s="246">
        <v>6171043</v>
      </c>
      <c r="C19" s="246">
        <v>7872043</v>
      </c>
      <c r="D19" s="246">
        <v>10072856</v>
      </c>
      <c r="E19" s="246">
        <v>10907304</v>
      </c>
      <c r="F19" s="246">
        <v>11747617</v>
      </c>
      <c r="G19" s="246">
        <v>11647992</v>
      </c>
      <c r="H19" s="246">
        <v>12903293</v>
      </c>
      <c r="I19" s="246">
        <v>13152476</v>
      </c>
      <c r="J19" s="246">
        <v>16478311</v>
      </c>
      <c r="K19" s="246">
        <v>18375403</v>
      </c>
      <c r="L19" s="247">
        <v>20127308</v>
      </c>
      <c r="M19" s="248">
        <v>21240215</v>
      </c>
      <c r="N19" s="249">
        <v>23220063</v>
      </c>
      <c r="O19" s="249">
        <v>23930626</v>
      </c>
      <c r="P19" s="248">
        <v>25677160.83</v>
      </c>
      <c r="Q19" s="250">
        <v>26821193</v>
      </c>
    </row>
    <row r="20" spans="1:17" ht="14.25">
      <c r="A20" s="245" t="s">
        <v>1043</v>
      </c>
      <c r="B20" s="246">
        <v>2074597</v>
      </c>
      <c r="C20" s="246">
        <v>2672123</v>
      </c>
      <c r="D20" s="246">
        <v>3255184</v>
      </c>
      <c r="E20" s="246">
        <v>4218593</v>
      </c>
      <c r="F20" s="246">
        <v>4077869</v>
      </c>
      <c r="G20" s="246">
        <v>4168996</v>
      </c>
      <c r="H20" s="246">
        <v>4682757</v>
      </c>
      <c r="I20" s="246">
        <v>4762695</v>
      </c>
      <c r="J20" s="246">
        <v>5971350</v>
      </c>
      <c r="K20" s="246">
        <v>6650119</v>
      </c>
      <c r="L20" s="247">
        <v>7294162</v>
      </c>
      <c r="M20" s="247">
        <v>7724405</v>
      </c>
      <c r="N20" s="249">
        <v>8441378</v>
      </c>
      <c r="O20" s="249">
        <f>8231991+468415</f>
        <v>8700406</v>
      </c>
      <c r="P20" s="248">
        <f>8824344.73+501914.64+1</f>
        <v>9326260.370000001</v>
      </c>
      <c r="Q20" s="250">
        <f>9212723+524600</f>
        <v>9737323</v>
      </c>
    </row>
    <row r="21" spans="1:17" ht="14.25">
      <c r="A21" s="245" t="s">
        <v>1044</v>
      </c>
      <c r="B21" s="246">
        <v>1523017</v>
      </c>
      <c r="C21" s="246">
        <v>1682398</v>
      </c>
      <c r="D21" s="246">
        <v>1981775</v>
      </c>
      <c r="E21" s="246">
        <v>2220806</v>
      </c>
      <c r="F21" s="246">
        <v>2451248</v>
      </c>
      <c r="G21" s="246">
        <v>2760686</v>
      </c>
      <c r="H21" s="246">
        <v>3062731</v>
      </c>
      <c r="I21" s="246">
        <v>3205198</v>
      </c>
      <c r="J21" s="246">
        <v>3518349</v>
      </c>
      <c r="K21" s="246">
        <v>3827208</v>
      </c>
      <c r="L21" s="247">
        <v>3949884</v>
      </c>
      <c r="M21" s="248">
        <v>4112755</v>
      </c>
      <c r="N21" s="249">
        <v>4875183</v>
      </c>
      <c r="O21" s="249">
        <f>2999454+2261590</f>
        <v>5261044</v>
      </c>
      <c r="P21" s="248">
        <f>3337271.37-587.26+3004503.56-72546.62</f>
        <v>6268641.05</v>
      </c>
      <c r="Q21" s="250">
        <f>3489047+3321724</f>
        <v>6810771</v>
      </c>
    </row>
    <row r="22" spans="1:17" ht="14.25">
      <c r="A22" s="245" t="s">
        <v>1045</v>
      </c>
      <c r="B22" s="246">
        <v>1395251</v>
      </c>
      <c r="C22" s="246">
        <v>55957</v>
      </c>
      <c r="D22" s="246">
        <v>85103</v>
      </c>
      <c r="E22" s="246">
        <v>122713</v>
      </c>
      <c r="F22" s="246">
        <v>111525</v>
      </c>
      <c r="G22" s="246">
        <v>159435</v>
      </c>
      <c r="H22" s="246">
        <v>281209</v>
      </c>
      <c r="I22" s="246">
        <v>379624</v>
      </c>
      <c r="J22" s="246">
        <v>492871</v>
      </c>
      <c r="K22" s="246">
        <v>521497</v>
      </c>
      <c r="L22" s="247">
        <v>575133</v>
      </c>
      <c r="M22" s="248">
        <v>619167</v>
      </c>
      <c r="N22" s="249">
        <v>691130</v>
      </c>
      <c r="O22" s="249">
        <v>723725</v>
      </c>
      <c r="P22" s="248">
        <v>865918</v>
      </c>
      <c r="Q22" s="250">
        <v>815332</v>
      </c>
    </row>
    <row r="23" spans="1:17" ht="14.25">
      <c r="A23" s="245" t="s">
        <v>1046</v>
      </c>
      <c r="B23" s="246">
        <v>39000</v>
      </c>
      <c r="C23" s="246">
        <v>63500</v>
      </c>
      <c r="D23" s="246">
        <v>71711</v>
      </c>
      <c r="E23" s="246">
        <v>65868</v>
      </c>
      <c r="F23" s="246">
        <v>60300</v>
      </c>
      <c r="G23" s="246">
        <v>54543</v>
      </c>
      <c r="H23" s="246">
        <v>39211</v>
      </c>
      <c r="I23" s="246">
        <v>30050</v>
      </c>
      <c r="J23" s="246">
        <v>33030</v>
      </c>
      <c r="K23" s="246">
        <v>33943</v>
      </c>
      <c r="L23" s="247">
        <v>36454</v>
      </c>
      <c r="M23" s="248">
        <f>42572+110</f>
        <v>42682</v>
      </c>
      <c r="N23" s="249">
        <v>46856</v>
      </c>
      <c r="O23" s="249">
        <f>71465</f>
        <v>71465</v>
      </c>
      <c r="P23" s="248">
        <f>86294.94-50-12.302</f>
        <v>86232.638</v>
      </c>
      <c r="Q23" s="250">
        <v>59523</v>
      </c>
    </row>
    <row r="24" spans="1:17" ht="14.25">
      <c r="A24" s="245" t="s">
        <v>1047</v>
      </c>
      <c r="B24" s="246">
        <v>4444461</v>
      </c>
      <c r="C24" s="246">
        <v>6247456</v>
      </c>
      <c r="D24" s="246">
        <v>4332769</v>
      </c>
      <c r="E24" s="246">
        <v>5398360</v>
      </c>
      <c r="F24" s="246">
        <v>4658235</v>
      </c>
      <c r="G24" s="246">
        <v>5237636</v>
      </c>
      <c r="H24" s="246">
        <v>5105822</v>
      </c>
      <c r="I24" s="246">
        <v>5803226</v>
      </c>
      <c r="J24" s="246">
        <v>7448961</v>
      </c>
      <c r="K24" s="246">
        <v>8018775</v>
      </c>
      <c r="L24" s="247">
        <v>8411030</v>
      </c>
      <c r="M24" s="248">
        <v>8525480</v>
      </c>
      <c r="N24" s="260">
        <v>5888712</v>
      </c>
      <c r="O24" s="249">
        <f>7105580+18151</f>
        <v>7123731</v>
      </c>
      <c r="P24" s="248">
        <f>53413159.21-25096118.88-581041.96-8824344.75-86294.94-865918-501914.66-624960.6-6268641.06-3748421.98-40058-260+2132.08+50+12+1</f>
        <v>6777379.459999999</v>
      </c>
      <c r="Q24" s="250">
        <v>6788964</v>
      </c>
    </row>
    <row r="25" spans="1:17" ht="14.25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51"/>
      <c r="L25" s="252"/>
      <c r="M25" s="253"/>
      <c r="N25" s="254"/>
      <c r="O25" s="255"/>
      <c r="P25" s="256"/>
      <c r="Q25" s="257"/>
    </row>
    <row r="26" spans="1:17" ht="15">
      <c r="A26" s="238" t="s">
        <v>1048</v>
      </c>
      <c r="B26" s="239">
        <v>56259</v>
      </c>
      <c r="C26" s="239">
        <v>61856</v>
      </c>
      <c r="D26" s="239">
        <v>59353</v>
      </c>
      <c r="E26" s="239">
        <v>60542</v>
      </c>
      <c r="F26" s="239">
        <v>61174</v>
      </c>
      <c r="G26" s="239">
        <v>60689</v>
      </c>
      <c r="H26" s="239">
        <v>61888</v>
      </c>
      <c r="I26" s="239">
        <v>61879</v>
      </c>
      <c r="J26" s="239">
        <v>70457</v>
      </c>
      <c r="K26" s="239">
        <v>71818</v>
      </c>
      <c r="L26" s="240">
        <v>74214</v>
      </c>
      <c r="M26" s="241">
        <v>74400</v>
      </c>
      <c r="N26" s="242">
        <v>73324</v>
      </c>
      <c r="O26" s="243">
        <f>SUM(O27:O28)</f>
        <v>72474</v>
      </c>
      <c r="P26" s="241">
        <v>71395</v>
      </c>
      <c r="Q26" s="244">
        <f>SUM(Q27:Q28)</f>
        <v>74560</v>
      </c>
    </row>
    <row r="27" spans="1:17" ht="14.25">
      <c r="A27" s="245" t="s">
        <v>1049</v>
      </c>
      <c r="B27" s="246">
        <v>46779</v>
      </c>
      <c r="C27" s="246">
        <v>51845</v>
      </c>
      <c r="D27" s="246">
        <v>46748</v>
      </c>
      <c r="E27" s="246">
        <v>47160</v>
      </c>
      <c r="F27" s="246">
        <v>45056</v>
      </c>
      <c r="G27" s="246">
        <v>44711</v>
      </c>
      <c r="H27" s="246">
        <v>45094</v>
      </c>
      <c r="I27" s="246">
        <v>45083</v>
      </c>
      <c r="J27" s="246">
        <v>53660</v>
      </c>
      <c r="K27" s="246">
        <v>54733</v>
      </c>
      <c r="L27" s="247">
        <v>56453</v>
      </c>
      <c r="M27" s="247">
        <v>57018</v>
      </c>
      <c r="N27" s="260">
        <v>56360</v>
      </c>
      <c r="O27" s="249">
        <v>55168</v>
      </c>
      <c r="P27" s="248">
        <v>54267</v>
      </c>
      <c r="Q27" s="250">
        <v>57437</v>
      </c>
    </row>
    <row r="28" spans="1:17" ht="14.25">
      <c r="A28" s="245" t="s">
        <v>1050</v>
      </c>
      <c r="B28" s="246">
        <v>9480</v>
      </c>
      <c r="C28" s="246">
        <v>10011</v>
      </c>
      <c r="D28" s="246">
        <v>12605</v>
      </c>
      <c r="E28" s="246">
        <v>13382</v>
      </c>
      <c r="F28" s="246">
        <v>16118</v>
      </c>
      <c r="G28" s="246">
        <v>15978</v>
      </c>
      <c r="H28" s="246">
        <v>16794</v>
      </c>
      <c r="I28" s="246">
        <v>16796</v>
      </c>
      <c r="J28" s="246">
        <v>16797</v>
      </c>
      <c r="K28" s="246">
        <v>17085</v>
      </c>
      <c r="L28" s="247">
        <v>17761</v>
      </c>
      <c r="M28" s="247">
        <v>17382</v>
      </c>
      <c r="N28" s="260">
        <v>16964</v>
      </c>
      <c r="O28" s="249">
        <v>17306</v>
      </c>
      <c r="P28" s="248">
        <v>17128</v>
      </c>
      <c r="Q28" s="250">
        <v>17123</v>
      </c>
    </row>
    <row r="29" spans="1:17" ht="14.25">
      <c r="A29" s="245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2"/>
      <c r="M29" s="261"/>
      <c r="N29" s="254"/>
      <c r="O29" s="255"/>
      <c r="P29" s="256"/>
      <c r="Q29" s="257"/>
    </row>
    <row r="30" spans="1:17" ht="15">
      <c r="A30" s="238" t="s">
        <v>1051</v>
      </c>
      <c r="B30" s="239">
        <v>8840</v>
      </c>
      <c r="C30" s="239">
        <v>10234</v>
      </c>
      <c r="D30" s="239">
        <v>13708</v>
      </c>
      <c r="E30" s="239">
        <v>14895</v>
      </c>
      <c r="F30" s="239">
        <v>15406</v>
      </c>
      <c r="G30" s="239">
        <v>15058</v>
      </c>
      <c r="H30" s="239">
        <v>17001</v>
      </c>
      <c r="I30" s="239">
        <v>17309</v>
      </c>
      <c r="J30" s="239">
        <v>19003</v>
      </c>
      <c r="K30" s="239">
        <v>20760</v>
      </c>
      <c r="L30" s="240">
        <v>22038</v>
      </c>
      <c r="M30" s="241">
        <v>23288</v>
      </c>
      <c r="N30" s="242">
        <v>25809</v>
      </c>
      <c r="O30" s="243">
        <v>26925</v>
      </c>
      <c r="P30" s="241">
        <v>29293</v>
      </c>
      <c r="Q30" s="244">
        <v>29316</v>
      </c>
    </row>
    <row r="31" spans="1:17" ht="14.25">
      <c r="A31" s="245" t="s">
        <v>1052</v>
      </c>
      <c r="B31" s="246">
        <v>9777</v>
      </c>
      <c r="C31" s="246">
        <v>12862</v>
      </c>
      <c r="D31" s="246">
        <v>14367</v>
      </c>
      <c r="E31" s="246">
        <v>16279</v>
      </c>
      <c r="F31" s="246">
        <v>16415</v>
      </c>
      <c r="G31" s="246">
        <v>16911</v>
      </c>
      <c r="H31" s="246">
        <v>18576</v>
      </c>
      <c r="I31" s="246">
        <v>18952</v>
      </c>
      <c r="J31" s="246">
        <v>20604</v>
      </c>
      <c r="K31" s="246">
        <v>22473</v>
      </c>
      <c r="L31" s="247">
        <v>23765</v>
      </c>
      <c r="M31" s="247">
        <v>24892</v>
      </c>
      <c r="N31" s="260">
        <v>27914</v>
      </c>
      <c r="O31" s="249">
        <v>29160</v>
      </c>
      <c r="P31" s="248">
        <v>31791</v>
      </c>
      <c r="Q31" s="250">
        <v>31696</v>
      </c>
    </row>
    <row r="32" spans="1:17" ht="14.25">
      <c r="A32" s="245" t="s">
        <v>1053</v>
      </c>
      <c r="B32" s="246">
        <v>6002</v>
      </c>
      <c r="C32" s="246">
        <v>6796</v>
      </c>
      <c r="D32" s="246">
        <v>9276</v>
      </c>
      <c r="E32" s="246">
        <v>10021</v>
      </c>
      <c r="F32" s="246">
        <v>10695</v>
      </c>
      <c r="G32" s="246">
        <v>11129</v>
      </c>
      <c r="H32" s="246">
        <v>12559</v>
      </c>
      <c r="I32" s="246">
        <v>12900</v>
      </c>
      <c r="J32" s="246">
        <v>13888</v>
      </c>
      <c r="K32" s="246">
        <v>15270</v>
      </c>
      <c r="L32" s="247">
        <v>16549</v>
      </c>
      <c r="M32" s="247">
        <v>18026</v>
      </c>
      <c r="N32" s="260">
        <v>18815</v>
      </c>
      <c r="O32" s="249">
        <v>19799</v>
      </c>
      <c r="P32" s="248">
        <v>21377</v>
      </c>
      <c r="Q32" s="250">
        <v>21333</v>
      </c>
    </row>
    <row r="33" spans="1:17" ht="14.25">
      <c r="A33" s="245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62"/>
      <c r="N33" s="263"/>
      <c r="O33" s="264"/>
      <c r="P33" s="265"/>
      <c r="Q33" s="266"/>
    </row>
    <row r="34" spans="1:17" ht="15">
      <c r="A34" s="238" t="s">
        <v>1054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62"/>
      <c r="N34" s="263"/>
      <c r="O34" s="264"/>
      <c r="P34" s="265"/>
      <c r="Q34" s="266"/>
    </row>
    <row r="35" spans="1:17" ht="14.25">
      <c r="A35" s="245" t="s">
        <v>942</v>
      </c>
      <c r="B35" s="267">
        <v>68.73</v>
      </c>
      <c r="C35" s="267">
        <v>66.18</v>
      </c>
      <c r="D35" s="267">
        <v>77.94</v>
      </c>
      <c r="E35" s="267">
        <v>76.27</v>
      </c>
      <c r="F35" s="267">
        <v>79.69</v>
      </c>
      <c r="G35" s="267">
        <v>78.01</v>
      </c>
      <c r="H35" s="267">
        <v>80.18</v>
      </c>
      <c r="I35" s="267">
        <v>78.45</v>
      </c>
      <c r="J35" s="267">
        <v>77.71</v>
      </c>
      <c r="K35" s="267">
        <v>78.25</v>
      </c>
      <c r="L35" s="268">
        <f aca="true" t="shared" si="1" ref="L35:Q35">(L19+L20+L21)/L17*100</f>
        <v>77.6634562618268</v>
      </c>
      <c r="M35" s="268">
        <f t="shared" si="1"/>
        <v>78.26240780013507</v>
      </c>
      <c r="N35" s="268">
        <f t="shared" si="1"/>
        <v>84.64738650097414</v>
      </c>
      <c r="O35" s="269">
        <f t="shared" si="1"/>
        <v>82.7139300199033</v>
      </c>
      <c r="P35" s="270">
        <f t="shared" si="1"/>
        <v>84.22595966807378</v>
      </c>
      <c r="Q35" s="271">
        <f t="shared" si="1"/>
        <v>84.9826522414685</v>
      </c>
    </row>
    <row r="36" spans="1:17" ht="14.25">
      <c r="A36" s="245" t="s">
        <v>943</v>
      </c>
      <c r="B36" s="267">
        <v>31.27</v>
      </c>
      <c r="C36" s="267">
        <v>33.82</v>
      </c>
      <c r="D36" s="267">
        <v>22.06</v>
      </c>
      <c r="E36" s="267">
        <v>23.73</v>
      </c>
      <c r="F36" s="267">
        <v>20.31</v>
      </c>
      <c r="G36" s="267">
        <v>21.99</v>
      </c>
      <c r="H36" s="267">
        <v>19.82</v>
      </c>
      <c r="I36" s="267">
        <v>21.55</v>
      </c>
      <c r="J36" s="267">
        <v>22.29</v>
      </c>
      <c r="K36" s="267">
        <v>21.75</v>
      </c>
      <c r="L36" s="268">
        <f aca="true" t="shared" si="2" ref="L36:Q36">100-L35</f>
        <v>22.336543738173205</v>
      </c>
      <c r="M36" s="268">
        <f t="shared" si="2"/>
        <v>21.737592199864935</v>
      </c>
      <c r="N36" s="268">
        <f t="shared" si="2"/>
        <v>15.352613499025864</v>
      </c>
      <c r="O36" s="269">
        <f t="shared" si="2"/>
        <v>17.2860699800967</v>
      </c>
      <c r="P36" s="270">
        <f t="shared" si="2"/>
        <v>15.774040331926216</v>
      </c>
      <c r="Q36" s="271">
        <f t="shared" si="2"/>
        <v>15.0173477585315</v>
      </c>
    </row>
    <row r="37" spans="1:17" ht="14.25">
      <c r="A37" s="245" t="s">
        <v>944</v>
      </c>
      <c r="B37" s="267">
        <v>79</v>
      </c>
      <c r="C37" s="267">
        <v>101</v>
      </c>
      <c r="D37" s="267">
        <v>73</v>
      </c>
      <c r="E37" s="267">
        <v>89.17</v>
      </c>
      <c r="F37" s="267">
        <v>76.15</v>
      </c>
      <c r="G37" s="267">
        <v>86.3</v>
      </c>
      <c r="H37" s="267">
        <v>82.5</v>
      </c>
      <c r="I37" s="267">
        <v>93.78</v>
      </c>
      <c r="J37" s="267">
        <v>105.72</v>
      </c>
      <c r="K37" s="267">
        <v>111.65</v>
      </c>
      <c r="L37" s="268">
        <f aca="true" t="shared" si="3" ref="L37:Q37">L24/L26</f>
        <v>113.3348155334573</v>
      </c>
      <c r="M37" s="268">
        <f t="shared" si="3"/>
        <v>114.58978494623656</v>
      </c>
      <c r="N37" s="268">
        <f t="shared" si="3"/>
        <v>80.31083956139872</v>
      </c>
      <c r="O37" s="272">
        <f t="shared" si="3"/>
        <v>98.29360874244557</v>
      </c>
      <c r="P37" s="273">
        <f t="shared" si="3"/>
        <v>94.9279285664262</v>
      </c>
      <c r="Q37" s="274">
        <f t="shared" si="3"/>
        <v>91.0537017167382</v>
      </c>
    </row>
    <row r="38" spans="1:17" ht="14.25">
      <c r="A38" s="245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8"/>
      <c r="M38" s="268"/>
      <c r="N38" s="275"/>
      <c r="O38" s="272"/>
      <c r="P38" s="276"/>
      <c r="Q38" s="277"/>
    </row>
    <row r="39" spans="1:17" ht="14.25">
      <c r="A39" s="245" t="s">
        <v>945</v>
      </c>
      <c r="B39" s="246">
        <v>5337796</v>
      </c>
      <c r="C39" s="246">
        <v>7616525</v>
      </c>
      <c r="D39" s="246">
        <v>6796364</v>
      </c>
      <c r="E39" s="246">
        <v>9054017</v>
      </c>
      <c r="F39" s="246">
        <v>7819013</v>
      </c>
      <c r="G39" s="246">
        <v>8352254</v>
      </c>
      <c r="H39" s="246">
        <v>7986492</v>
      </c>
      <c r="I39" s="246">
        <v>11154070</v>
      </c>
      <c r="J39" s="246">
        <v>10388022</v>
      </c>
      <c r="K39" s="246">
        <v>11542010</v>
      </c>
      <c r="L39" s="247">
        <f>L14+L24</f>
        <v>12120490</v>
      </c>
      <c r="M39" s="247">
        <f>M14+M24</f>
        <v>12524657</v>
      </c>
      <c r="N39" s="247">
        <f>N14+N24</f>
        <v>11193388</v>
      </c>
      <c r="O39" s="249">
        <f>O14+O24</f>
        <v>14827992</v>
      </c>
      <c r="P39" s="248">
        <f>SUM(P14+P24)</f>
        <v>14148849.43</v>
      </c>
      <c r="Q39" s="250">
        <f>SUM(Q14+Q24)</f>
        <v>13877297</v>
      </c>
    </row>
    <row r="40" spans="1:17" ht="14.25">
      <c r="A40" s="245" t="s">
        <v>946</v>
      </c>
      <c r="B40" s="267">
        <v>94.88</v>
      </c>
      <c r="C40" s="267">
        <v>123.13</v>
      </c>
      <c r="D40" s="267">
        <v>114.51</v>
      </c>
      <c r="E40" s="267">
        <v>149.55</v>
      </c>
      <c r="F40" s="267">
        <v>127.82</v>
      </c>
      <c r="G40" s="267">
        <v>137.62</v>
      </c>
      <c r="H40" s="267">
        <v>129.05</v>
      </c>
      <c r="I40" s="267">
        <v>180.26</v>
      </c>
      <c r="J40" s="267">
        <v>147.44</v>
      </c>
      <c r="K40" s="267">
        <v>160.71</v>
      </c>
      <c r="L40" s="268">
        <f>L39/L26</f>
        <v>163.31810709569623</v>
      </c>
      <c r="M40" s="268">
        <f>M39/M26</f>
        <v>168.34216397849463</v>
      </c>
      <c r="N40" s="268">
        <f>N39/N26</f>
        <v>152.65653810484972</v>
      </c>
      <c r="O40" s="269">
        <f>SUM(O39/O26)</f>
        <v>204.59740044705688</v>
      </c>
      <c r="P40" s="270">
        <f>SUM(P39/P26)</f>
        <v>198.17703522655648</v>
      </c>
      <c r="Q40" s="271">
        <f>SUM(Q39/Q26)</f>
        <v>186.12254560085836</v>
      </c>
    </row>
    <row r="41" spans="1:17" ht="14.25">
      <c r="A41" s="245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8"/>
      <c r="M41" s="268"/>
      <c r="N41" s="278"/>
      <c r="O41" s="269"/>
      <c r="P41" s="276"/>
      <c r="Q41" s="277"/>
    </row>
    <row r="42" spans="1:17" ht="14.25">
      <c r="A42" s="245" t="s">
        <v>947</v>
      </c>
      <c r="B42" s="267"/>
      <c r="C42" s="267"/>
      <c r="D42" s="246">
        <v>1466681</v>
      </c>
      <c r="E42" s="246">
        <v>1660649</v>
      </c>
      <c r="F42" s="246">
        <v>1785131</v>
      </c>
      <c r="G42" s="246">
        <v>1962483</v>
      </c>
      <c r="H42" s="246">
        <v>2041353</v>
      </c>
      <c r="I42" s="246">
        <v>2150058</v>
      </c>
      <c r="J42" s="246">
        <v>2315255</v>
      </c>
      <c r="K42" s="246">
        <v>2414669</v>
      </c>
      <c r="L42" s="247">
        <v>2577000000</v>
      </c>
      <c r="M42" s="247">
        <v>2781000000</v>
      </c>
      <c r="N42" s="260">
        <v>2978000000</v>
      </c>
      <c r="O42" s="249">
        <v>3202000000</v>
      </c>
      <c r="P42" s="248">
        <v>3516000000</v>
      </c>
      <c r="Q42" s="250">
        <v>3799000000</v>
      </c>
    </row>
    <row r="43" spans="1:17" ht="15" thickBot="1">
      <c r="A43" s="279" t="s">
        <v>948</v>
      </c>
      <c r="B43" s="280"/>
      <c r="C43" s="280"/>
      <c r="D43" s="280">
        <v>1.52</v>
      </c>
      <c r="E43" s="281">
        <v>1.6</v>
      </c>
      <c r="F43" s="280">
        <v>1.47</v>
      </c>
      <c r="G43" s="280">
        <v>1.38</v>
      </c>
      <c r="H43" s="280">
        <v>1.42</v>
      </c>
      <c r="I43" s="280">
        <v>1.52</v>
      </c>
      <c r="J43" s="280">
        <v>1.59</v>
      </c>
      <c r="K43" s="281">
        <v>1.7</v>
      </c>
      <c r="L43" s="282">
        <f aca="true" t="shared" si="4" ref="L43:Q43">L13/L42*100</f>
        <v>1.746463135428793</v>
      </c>
      <c r="M43" s="282">
        <f t="shared" si="4"/>
        <v>1.7141028047464941</v>
      </c>
      <c r="N43" s="282">
        <f t="shared" si="4"/>
        <v>1.7299108462055073</v>
      </c>
      <c r="O43" s="283">
        <f t="shared" si="4"/>
        <v>1.736741973766396</v>
      </c>
      <c r="P43" s="283">
        <f t="shared" si="4"/>
        <v>1.656252741410694</v>
      </c>
      <c r="Q43" s="284">
        <f t="shared" si="4"/>
        <v>1.5310731508291657</v>
      </c>
    </row>
    <row r="44" spans="1:17" ht="7.5" customHeight="1">
      <c r="A44" s="285"/>
      <c r="B44" s="286"/>
      <c r="C44" s="286"/>
      <c r="D44" s="286"/>
      <c r="E44" s="287"/>
      <c r="F44" s="286"/>
      <c r="G44" s="286"/>
      <c r="H44" s="286"/>
      <c r="I44" s="286"/>
      <c r="J44" s="286"/>
      <c r="K44" s="287"/>
      <c r="L44" s="288"/>
      <c r="M44" s="288"/>
      <c r="N44" s="288"/>
      <c r="O44" s="289"/>
      <c r="P44" s="289"/>
      <c r="Q44" s="289"/>
    </row>
    <row r="45" spans="1:15" ht="12.75">
      <c r="A45" s="286" t="s">
        <v>1059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90"/>
      <c r="N45" s="290"/>
      <c r="O45" s="290"/>
    </row>
    <row r="46" spans="1:2" ht="12.75">
      <c r="A46" s="291" t="s">
        <v>949</v>
      </c>
      <c r="B46" s="290"/>
    </row>
    <row r="47" s="229" customFormat="1" ht="11.25">
      <c r="A47" s="229" t="s">
        <v>950</v>
      </c>
    </row>
    <row r="48" s="229" customFormat="1" ht="11.25">
      <c r="A48" s="229" t="s">
        <v>1061</v>
      </c>
    </row>
    <row r="49" spans="1:17" ht="24.75" customHeight="1">
      <c r="A49" s="1554" t="s">
        <v>1062</v>
      </c>
      <c r="B49" s="1554"/>
      <c r="C49" s="1554"/>
      <c r="D49" s="1554"/>
      <c r="E49" s="1554"/>
      <c r="F49" s="1554"/>
      <c r="G49" s="1554"/>
      <c r="H49" s="1554"/>
      <c r="I49" s="1554"/>
      <c r="J49" s="1554"/>
      <c r="K49" s="1554"/>
      <c r="L49" s="1554"/>
      <c r="M49" s="1554"/>
      <c r="N49" s="1554"/>
      <c r="O49" s="1554"/>
      <c r="P49" s="1554"/>
      <c r="Q49" s="1554"/>
    </row>
    <row r="50" spans="10:13" ht="12.75">
      <c r="J50" s="292"/>
      <c r="M50" s="293"/>
    </row>
    <row r="51" spans="1:17" s="1206" customFormat="1" ht="14.25">
      <c r="A51" s="1205" t="s">
        <v>1057</v>
      </c>
      <c r="M51" s="865" t="s">
        <v>1058</v>
      </c>
      <c r="P51" s="1556" t="s">
        <v>1060</v>
      </c>
      <c r="Q51" s="1556"/>
    </row>
  </sheetData>
  <mergeCells count="4">
    <mergeCell ref="A3:Q3"/>
    <mergeCell ref="A49:Q49"/>
    <mergeCell ref="P1:Q1"/>
    <mergeCell ref="P51:Q51"/>
  </mergeCells>
  <printOptions horizontalCentered="1"/>
  <pageMargins left="0.7874015748031497" right="0.7874015748031497" top="0.984251968503937" bottom="0.5905511811023623" header="0.7086614173228347" footer="0.31496062992125984"/>
  <pageSetup fitToHeight="1" fitToWidth="1" horizontalDpi="600" verticalDpi="600" orientation="landscape" paperSize="9" scale="65" r:id="rId1"/>
  <headerFooter alignWithMargins="0">
    <oddFooter>&amp;C&amp;12&amp;P+158&amp;11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workbookViewId="0" topLeftCell="A7">
      <selection activeCell="H15" sqref="H15"/>
    </sheetView>
  </sheetViews>
  <sheetFormatPr defaultColWidth="9.00390625" defaultRowHeight="12.75"/>
  <cols>
    <col min="1" max="1" width="4.75390625" style="9" customWidth="1"/>
    <col min="2" max="2" width="4.25390625" style="17" customWidth="1"/>
    <col min="3" max="3" width="10.00390625" style="17" customWidth="1"/>
    <col min="4" max="4" width="8.125" style="17" customWidth="1"/>
    <col min="5" max="5" width="10.625" style="17" customWidth="1"/>
    <col min="6" max="6" width="9.25390625" style="17" customWidth="1"/>
    <col min="7" max="7" width="4.00390625" style="17" customWidth="1"/>
    <col min="8" max="8" width="7.125" style="17" customWidth="1"/>
    <col min="9" max="9" width="5.75390625" style="17" customWidth="1"/>
    <col min="10" max="10" width="13.25390625" style="0" customWidth="1"/>
    <col min="11" max="11" width="13.875" style="17" customWidth="1"/>
    <col min="12" max="12" width="3.875" style="13" customWidth="1"/>
    <col min="13" max="13" width="12.75390625" style="17" customWidth="1"/>
    <col min="14" max="14" width="13.125" style="17" customWidth="1"/>
    <col min="15" max="15" width="6.125" style="17" customWidth="1"/>
    <col min="16" max="16" width="5.625" style="17" customWidth="1"/>
    <col min="17" max="17" width="8.25390625" style="17" customWidth="1"/>
    <col min="18" max="18" width="11.125" style="17" customWidth="1"/>
    <col min="19" max="19" width="9.125" style="17" customWidth="1"/>
    <col min="20" max="20" width="5.625" style="17" customWidth="1"/>
    <col min="21" max="21" width="8.25390625" style="17" customWidth="1"/>
    <col min="22" max="22" width="7.375" style="17" customWidth="1"/>
    <col min="23" max="23" width="8.375" style="17" customWidth="1"/>
    <col min="24" max="24" width="8.125" style="17" customWidth="1"/>
    <col min="25" max="25" width="3.625" style="17" customWidth="1"/>
    <col min="26" max="16384" width="9.125" style="17" customWidth="1"/>
  </cols>
  <sheetData>
    <row r="1" spans="1:25" s="6" customFormat="1" ht="26.25" customHeight="1">
      <c r="A1" s="1"/>
      <c r="B1" s="2" t="s">
        <v>1537</v>
      </c>
      <c r="C1" s="3"/>
      <c r="D1" s="4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6" customFormat="1" ht="24" customHeight="1">
      <c r="A2" s="1"/>
      <c r="B2" s="2" t="s">
        <v>1029</v>
      </c>
      <c r="C2" s="3"/>
      <c r="D2" s="4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4" customHeight="1">
      <c r="A3" s="1"/>
      <c r="B3" s="7" t="s">
        <v>1033</v>
      </c>
      <c r="C3" s="3"/>
      <c r="D3" s="4"/>
      <c r="E3" s="3"/>
      <c r="F3" s="3"/>
      <c r="G3" s="3"/>
      <c r="H3" s="3"/>
      <c r="I3" s="3"/>
      <c r="J3" s="4"/>
      <c r="K3" s="3"/>
      <c r="L3" s="5"/>
      <c r="M3" s="3"/>
      <c r="N3" s="3"/>
      <c r="O3" s="3"/>
      <c r="P3" s="8"/>
      <c r="Q3" s="3"/>
      <c r="R3" s="3"/>
      <c r="S3" s="3"/>
      <c r="T3" s="3"/>
      <c r="U3" s="3"/>
      <c r="V3" s="3"/>
      <c r="W3" s="3"/>
      <c r="X3" s="3"/>
      <c r="Y3" s="3"/>
    </row>
    <row r="4" spans="1:23" s="10" customFormat="1" ht="9.75" customHeight="1" thickBot="1">
      <c r="A4" s="9"/>
      <c r="D4" s="11"/>
      <c r="E4" s="12"/>
      <c r="F4" s="12"/>
      <c r="G4" s="12"/>
      <c r="H4" s="12"/>
      <c r="I4" s="12"/>
      <c r="J4"/>
      <c r="K4" s="12"/>
      <c r="L4" s="1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4" customFormat="1" ht="28.5" customHeight="1" hidden="1">
      <c r="A5" s="9"/>
      <c r="D5" s="15"/>
      <c r="E5" s="16"/>
      <c r="F5" s="16"/>
      <c r="G5" s="16"/>
      <c r="H5" s="16"/>
      <c r="I5" s="16"/>
      <c r="J5"/>
      <c r="K5" s="16"/>
      <c r="L5" s="13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7:21" ht="25.5" customHeight="1">
      <c r="G6"/>
      <c r="H6"/>
      <c r="I6"/>
      <c r="K6" s="18" t="s">
        <v>1538</v>
      </c>
      <c r="L6" s="19"/>
      <c r="M6" s="19"/>
      <c r="N6" s="19"/>
      <c r="O6" s="19"/>
      <c r="P6" s="19"/>
      <c r="Q6" s="20"/>
      <c r="R6"/>
      <c r="S6"/>
      <c r="T6"/>
      <c r="U6"/>
    </row>
    <row r="7" spans="7:21" ht="26.25" customHeight="1" thickBot="1">
      <c r="G7"/>
      <c r="H7"/>
      <c r="I7"/>
      <c r="K7" s="21" t="s">
        <v>1539</v>
      </c>
      <c r="L7" s="22"/>
      <c r="M7" s="22"/>
      <c r="N7" s="22"/>
      <c r="O7" s="22"/>
      <c r="P7" s="22"/>
      <c r="Q7" s="23"/>
      <c r="R7"/>
      <c r="S7"/>
      <c r="T7"/>
      <c r="U7"/>
    </row>
    <row r="8" spans="4:22" ht="15.75" customHeight="1" thickBot="1">
      <c r="D8" s="24"/>
      <c r="E8" s="25"/>
      <c r="F8" s="25"/>
      <c r="G8" s="25"/>
      <c r="H8" s="25"/>
      <c r="I8" s="25"/>
      <c r="J8" s="25"/>
      <c r="K8" s="26"/>
      <c r="L8" s="25"/>
      <c r="M8" s="27"/>
      <c r="N8" s="28"/>
      <c r="O8" s="28"/>
      <c r="P8" s="28"/>
      <c r="Q8" s="28"/>
      <c r="R8" s="25"/>
      <c r="S8" s="28"/>
      <c r="T8" s="25"/>
      <c r="U8" s="25"/>
      <c r="V8" s="28"/>
    </row>
    <row r="9" spans="1:22" ht="17.25" customHeight="1" thickBot="1">
      <c r="A9" s="29"/>
      <c r="B9" s="30"/>
      <c r="C9" s="31"/>
      <c r="D9" s="32"/>
      <c r="E9" s="33"/>
      <c r="F9" s="33"/>
      <c r="G9" s="33"/>
      <c r="H9" s="33"/>
      <c r="I9" s="33"/>
      <c r="J9" s="34"/>
      <c r="K9" s="33"/>
      <c r="L9" s="30"/>
      <c r="M9" s="34"/>
      <c r="N9" s="33"/>
      <c r="O9" s="35"/>
      <c r="P9" s="35"/>
      <c r="Q9" s="36"/>
      <c r="R9" s="35"/>
      <c r="S9"/>
      <c r="T9"/>
      <c r="U9"/>
      <c r="V9" s="37"/>
    </row>
    <row r="10" spans="1:24" s="53" customFormat="1" ht="26.25" customHeight="1">
      <c r="A10" s="29"/>
      <c r="B10" s="30"/>
      <c r="C10" s="38" t="s">
        <v>1540</v>
      </c>
      <c r="D10" s="39"/>
      <c r="E10" s="39"/>
      <c r="F10" s="40"/>
      <c r="G10" s="41" t="s">
        <v>1541</v>
      </c>
      <c r="H10" s="42"/>
      <c r="I10" s="42"/>
      <c r="J10" s="43" t="s">
        <v>1542</v>
      </c>
      <c r="K10" s="44"/>
      <c r="L10" s="30"/>
      <c r="M10" s="45" t="s">
        <v>1542</v>
      </c>
      <c r="N10" s="46"/>
      <c r="O10"/>
      <c r="P10" s="176" t="s">
        <v>1543</v>
      </c>
      <c r="Q10" s="47"/>
      <c r="R10" s="47"/>
      <c r="S10" s="48"/>
      <c r="T10" s="49"/>
      <c r="U10" s="50" t="s">
        <v>1544</v>
      </c>
      <c r="V10" s="51"/>
      <c r="W10" s="51"/>
      <c r="X10" s="52"/>
    </row>
    <row r="11" spans="1:24" ht="21" customHeight="1" thickBot="1">
      <c r="A11" s="29"/>
      <c r="B11" s="54"/>
      <c r="C11" s="177" t="s">
        <v>1545</v>
      </c>
      <c r="D11" s="55"/>
      <c r="E11" s="55"/>
      <c r="F11" s="56"/>
      <c r="G11" s="57"/>
      <c r="H11" s="42"/>
      <c r="I11" s="42"/>
      <c r="J11" s="58" t="s">
        <v>1546</v>
      </c>
      <c r="K11" s="59"/>
      <c r="L11" s="30"/>
      <c r="M11" s="60" t="s">
        <v>1547</v>
      </c>
      <c r="N11" s="61"/>
      <c r="O11"/>
      <c r="P11" s="62" t="s">
        <v>1548</v>
      </c>
      <c r="Q11" s="63"/>
      <c r="R11" s="63"/>
      <c r="S11" s="64"/>
      <c r="T11"/>
      <c r="U11" s="65" t="s">
        <v>1549</v>
      </c>
      <c r="V11" s="66"/>
      <c r="W11" s="66"/>
      <c r="X11" s="67"/>
    </row>
    <row r="12" spans="1:25" ht="35.25" customHeight="1" thickBot="1">
      <c r="A12" s="68"/>
      <c r="B12" s="69" t="s">
        <v>1550</v>
      </c>
      <c r="C12" s="70"/>
      <c r="D12" s="71"/>
      <c r="E12" s="70"/>
      <c r="F12" s="70"/>
      <c r="G12" s="72"/>
      <c r="H12" s="73" t="s">
        <v>1551</v>
      </c>
      <c r="I12" s="73"/>
      <c r="J12" s="74"/>
      <c r="K12" s="75"/>
      <c r="L12" s="30"/>
      <c r="M12" s="76"/>
      <c r="N12" s="30"/>
      <c r="O12"/>
      <c r="P12"/>
      <c r="Q12" s="37"/>
      <c r="R12"/>
      <c r="S12"/>
      <c r="T12"/>
      <c r="U12"/>
      <c r="V12" s="37"/>
      <c r="W12"/>
      <c r="X12"/>
      <c r="Y12"/>
    </row>
    <row r="13" spans="1:25" ht="50.25" customHeight="1" thickBot="1">
      <c r="A13" s="68" t="s">
        <v>1552</v>
      </c>
      <c r="B13" s="77"/>
      <c r="C13" s="1557"/>
      <c r="D13" s="1558"/>
      <c r="E13" s="1558"/>
      <c r="F13" s="1559"/>
      <c r="G13" s="78"/>
      <c r="H13" s="73" t="s">
        <v>2100</v>
      </c>
      <c r="I13" s="42"/>
      <c r="J13" s="79" t="s">
        <v>1030</v>
      </c>
      <c r="K13" s="80"/>
      <c r="L13" s="30"/>
      <c r="M13" s="81" t="s">
        <v>1553</v>
      </c>
      <c r="N13" s="82"/>
      <c r="O13"/>
      <c r="P13"/>
      <c r="Q13" s="37"/>
      <c r="R13"/>
      <c r="S13"/>
      <c r="T13"/>
      <c r="U13"/>
      <c r="V13" s="37"/>
      <c r="W13"/>
      <c r="X13"/>
      <c r="Y13"/>
    </row>
    <row r="14" spans="1:25" ht="18.75" customHeight="1" thickBot="1">
      <c r="A14" s="68"/>
      <c r="B14" s="77"/>
      <c r="C14" s="83" t="s">
        <v>2014</v>
      </c>
      <c r="D14" s="84"/>
      <c r="E14" s="84"/>
      <c r="F14" s="85"/>
      <c r="G14" s="78"/>
      <c r="H14" s="42"/>
      <c r="I14" s="42"/>
      <c r="J14" s="74"/>
      <c r="K14" s="75"/>
      <c r="L14" s="30"/>
      <c r="M14" s="76"/>
      <c r="N14" s="30"/>
      <c r="O14"/>
      <c r="P14" s="86" t="s">
        <v>1034</v>
      </c>
      <c r="Q14" s="87"/>
      <c r="R14" s="87"/>
      <c r="S14" s="88"/>
      <c r="T14" s="49"/>
      <c r="U14" s="49"/>
      <c r="V14" s="89"/>
      <c r="W14" s="49"/>
      <c r="X14" s="49"/>
      <c r="Y14" s="49"/>
    </row>
    <row r="15" spans="1:25" ht="36" customHeight="1" thickBot="1">
      <c r="A15" s="68" t="s">
        <v>1555</v>
      </c>
      <c r="B15" s="77"/>
      <c r="C15" s="90" t="s">
        <v>1031</v>
      </c>
      <c r="D15" s="91"/>
      <c r="E15" s="91"/>
      <c r="F15" s="92"/>
      <c r="G15" s="78"/>
      <c r="H15" s="30"/>
      <c r="I15" s="30"/>
      <c r="J15" s="79" t="s">
        <v>1556</v>
      </c>
      <c r="K15" s="80"/>
      <c r="L15" s="30"/>
      <c r="M15" s="81" t="s">
        <v>1557</v>
      </c>
      <c r="N15" s="82"/>
      <c r="O15"/>
      <c r="P15" s="93"/>
      <c r="Q15" s="94"/>
      <c r="R15" s="93"/>
      <c r="S15" s="93"/>
      <c r="T15" s="49"/>
      <c r="U15" s="49"/>
      <c r="V15" s="89"/>
      <c r="W15" s="49"/>
      <c r="X15" s="49"/>
      <c r="Y15" s="49"/>
    </row>
    <row r="16" spans="1:25" ht="17.25" customHeight="1" thickBot="1">
      <c r="A16" s="68"/>
      <c r="B16" s="77"/>
      <c r="C16" s="95"/>
      <c r="D16" s="96"/>
      <c r="E16" s="95"/>
      <c r="F16" s="95"/>
      <c r="G16" s="78"/>
      <c r="H16" s="30"/>
      <c r="I16" s="30"/>
      <c r="J16" s="74"/>
      <c r="K16" s="75"/>
      <c r="L16" s="30"/>
      <c r="M16" s="76"/>
      <c r="N16" s="30"/>
      <c r="O16"/>
      <c r="P16" s="97" t="s">
        <v>1425</v>
      </c>
      <c r="Q16" s="98"/>
      <c r="R16" s="98"/>
      <c r="S16" s="99"/>
      <c r="T16" s="49"/>
      <c r="U16" s="49"/>
      <c r="V16" s="89"/>
      <c r="W16" s="49"/>
      <c r="X16" s="49"/>
      <c r="Y16" s="49"/>
    </row>
    <row r="17" spans="1:25" ht="33.75" customHeight="1" thickBot="1">
      <c r="A17" s="29" t="s">
        <v>1426</v>
      </c>
      <c r="B17" s="77"/>
      <c r="C17" s="100"/>
      <c r="D17" s="101"/>
      <c r="E17" s="102"/>
      <c r="F17" s="102"/>
      <c r="G17" s="78"/>
      <c r="H17" s="30"/>
      <c r="I17" s="30"/>
      <c r="J17" s="1560" t="s">
        <v>1427</v>
      </c>
      <c r="K17" s="1561"/>
      <c r="L17" s="30"/>
      <c r="M17" s="81" t="s">
        <v>1428</v>
      </c>
      <c r="N17" s="82"/>
      <c r="O17"/>
      <c r="P17" s="103"/>
      <c r="Q17" s="104"/>
      <c r="R17" s="103"/>
      <c r="S17" s="103"/>
      <c r="T17" s="49"/>
      <c r="U17" s="49"/>
      <c r="V17" s="89"/>
      <c r="W17" s="49"/>
      <c r="X17" s="49"/>
      <c r="Y17" s="49"/>
    </row>
    <row r="18" spans="1:25" ht="15.75" customHeight="1" thickBot="1">
      <c r="A18" s="68"/>
      <c r="B18" s="77"/>
      <c r="C18" s="105" t="s">
        <v>1429</v>
      </c>
      <c r="D18" s="106"/>
      <c r="E18" s="106"/>
      <c r="F18" s="107"/>
      <c r="G18" s="78"/>
      <c r="H18" s="42"/>
      <c r="I18" s="42"/>
      <c r="J18" s="74"/>
      <c r="K18" s="75"/>
      <c r="L18" s="30"/>
      <c r="M18" s="76"/>
      <c r="N18" s="30"/>
      <c r="O18"/>
      <c r="P18" s="97" t="s">
        <v>1430</v>
      </c>
      <c r="Q18" s="98"/>
      <c r="R18" s="98"/>
      <c r="S18" s="99"/>
      <c r="T18" s="49"/>
      <c r="U18" s="49"/>
      <c r="V18" s="89"/>
      <c r="W18" s="49"/>
      <c r="X18" s="49"/>
      <c r="Y18" s="49"/>
    </row>
    <row r="19" spans="1:25" ht="33" customHeight="1" thickBot="1">
      <c r="A19" s="68" t="s">
        <v>1555</v>
      </c>
      <c r="B19" s="77"/>
      <c r="C19" s="83" t="s">
        <v>1554</v>
      </c>
      <c r="D19" s="84"/>
      <c r="E19" s="84"/>
      <c r="F19" s="85"/>
      <c r="G19" s="78"/>
      <c r="H19" s="42"/>
      <c r="I19" s="42"/>
      <c r="J19" s="79" t="s">
        <v>1431</v>
      </c>
      <c r="K19" s="80"/>
      <c r="L19" s="30"/>
      <c r="M19" s="81" t="s">
        <v>2076</v>
      </c>
      <c r="N19" s="82"/>
      <c r="O19"/>
      <c r="P19" s="93"/>
      <c r="Q19" s="94"/>
      <c r="R19" s="93"/>
      <c r="S19" s="93"/>
      <c r="T19" s="49"/>
      <c r="U19" s="49"/>
      <c r="V19" s="89"/>
      <c r="W19" s="49"/>
      <c r="X19" s="49"/>
      <c r="Y19" s="49"/>
    </row>
    <row r="20" spans="1:25" ht="19.5" customHeight="1" thickBot="1">
      <c r="A20" s="68"/>
      <c r="B20" s="77"/>
      <c r="C20" s="90" t="s">
        <v>2077</v>
      </c>
      <c r="D20" s="108"/>
      <c r="E20" s="108"/>
      <c r="F20" s="109"/>
      <c r="G20" s="78"/>
      <c r="H20" s="42"/>
      <c r="I20" s="42"/>
      <c r="J20" s="74"/>
      <c r="K20" s="75"/>
      <c r="L20" s="30"/>
      <c r="M20" s="76"/>
      <c r="N20" s="30"/>
      <c r="O20"/>
      <c r="P20" s="97" t="s">
        <v>2078</v>
      </c>
      <c r="Q20" s="98"/>
      <c r="R20" s="98"/>
      <c r="S20" s="99"/>
      <c r="T20" s="49"/>
      <c r="U20" s="49"/>
      <c r="V20" s="89"/>
      <c r="W20" s="49"/>
      <c r="X20" s="49"/>
      <c r="Y20" s="49"/>
    </row>
    <row r="21" spans="1:25" ht="33.75" customHeight="1" thickBot="1">
      <c r="A21" s="68" t="s">
        <v>2079</v>
      </c>
      <c r="B21" s="77"/>
      <c r="C21" s="110"/>
      <c r="D21" s="111"/>
      <c r="E21" s="110"/>
      <c r="F21" s="110"/>
      <c r="G21" s="112"/>
      <c r="H21" s="113"/>
      <c r="I21" s="113"/>
      <c r="J21" s="79" t="s">
        <v>2080</v>
      </c>
      <c r="K21" s="80"/>
      <c r="L21" s="30"/>
      <c r="M21" s="81" t="s">
        <v>2081</v>
      </c>
      <c r="N21" s="82"/>
      <c r="O21"/>
      <c r="P21" s="103"/>
      <c r="Q21" s="104"/>
      <c r="R21" s="103"/>
      <c r="S21" s="103"/>
      <c r="T21" s="49"/>
      <c r="U21" s="49"/>
      <c r="V21" s="89"/>
      <c r="W21" s="49"/>
      <c r="X21" s="49"/>
      <c r="Y21" s="49"/>
    </row>
    <row r="22" spans="1:25" ht="15.75" customHeight="1" thickBot="1">
      <c r="A22" s="68"/>
      <c r="B22" s="77"/>
      <c r="C22" s="114"/>
      <c r="D22" s="115"/>
      <c r="E22" s="114"/>
      <c r="F22" s="114"/>
      <c r="G22" s="112"/>
      <c r="H22" s="116"/>
      <c r="I22" s="30"/>
      <c r="J22" s="74"/>
      <c r="K22" s="75"/>
      <c r="L22" s="30"/>
      <c r="M22" s="76"/>
      <c r="N22" s="30"/>
      <c r="O22"/>
      <c r="P22" s="97" t="s">
        <v>1035</v>
      </c>
      <c r="Q22" s="98"/>
      <c r="R22" s="98"/>
      <c r="S22" s="99"/>
      <c r="T22" s="49"/>
      <c r="U22" s="49"/>
      <c r="V22" s="89"/>
      <c r="W22" s="49"/>
      <c r="X22" s="49"/>
      <c r="Y22" s="49"/>
    </row>
    <row r="23" spans="1:25" ht="33" customHeight="1" thickBot="1">
      <c r="A23" s="68" t="s">
        <v>2082</v>
      </c>
      <c r="B23" s="117"/>
      <c r="C23" s="118" t="s">
        <v>2083</v>
      </c>
      <c r="D23" s="119"/>
      <c r="E23" s="120"/>
      <c r="F23" s="121"/>
      <c r="G23" s="122"/>
      <c r="H23" s="123"/>
      <c r="I23" s="30"/>
      <c r="J23" s="79" t="s">
        <v>2084</v>
      </c>
      <c r="K23" s="80"/>
      <c r="L23" s="30"/>
      <c r="M23" s="81" t="s">
        <v>2085</v>
      </c>
      <c r="N23" s="82"/>
      <c r="O23"/>
      <c r="P23" s="124"/>
      <c r="Q23" s="94"/>
      <c r="R23" s="124"/>
      <c r="S23" s="124"/>
      <c r="T23" s="49"/>
      <c r="U23" s="49"/>
      <c r="V23" s="89"/>
      <c r="W23" s="49"/>
      <c r="X23" s="49"/>
      <c r="Y23" s="49"/>
    </row>
    <row r="24" spans="1:25" ht="15" customHeight="1" thickBot="1">
      <c r="A24" s="68"/>
      <c r="B24" s="117"/>
      <c r="C24" s="125"/>
      <c r="D24" s="126"/>
      <c r="E24" s="127"/>
      <c r="F24" s="128"/>
      <c r="G24" s="122"/>
      <c r="H24" s="129"/>
      <c r="I24" s="30"/>
      <c r="J24" s="75"/>
      <c r="K24" s="75"/>
      <c r="L24" s="30"/>
      <c r="M24" s="76"/>
      <c r="N24" s="30"/>
      <c r="O24"/>
      <c r="P24" s="97" t="s">
        <v>2086</v>
      </c>
      <c r="Q24" s="98"/>
      <c r="R24" s="98"/>
      <c r="S24" s="99"/>
      <c r="T24" s="49"/>
      <c r="U24" s="49"/>
      <c r="V24" s="89"/>
      <c r="W24" s="49"/>
      <c r="X24" s="49"/>
      <c r="Y24" s="49"/>
    </row>
    <row r="25" spans="1:25" ht="33.75" customHeight="1" thickBot="1">
      <c r="A25" s="68"/>
      <c r="B25" s="117"/>
      <c r="C25" s="130" t="s">
        <v>2087</v>
      </c>
      <c r="D25" s="119"/>
      <c r="E25" s="120"/>
      <c r="F25" s="121"/>
      <c r="G25" s="122"/>
      <c r="H25" s="129"/>
      <c r="I25" s="30"/>
      <c r="J25" s="79" t="s">
        <v>2088</v>
      </c>
      <c r="K25" s="80"/>
      <c r="L25" s="30"/>
      <c r="M25" s="81" t="s">
        <v>2089</v>
      </c>
      <c r="N25" s="82"/>
      <c r="O25"/>
      <c r="P25" s="131"/>
      <c r="Q25" s="132"/>
      <c r="R25" s="131"/>
      <c r="S25" s="131"/>
      <c r="T25" s="49"/>
      <c r="U25" s="49"/>
      <c r="V25" s="89"/>
      <c r="W25" s="49"/>
      <c r="X25" s="49"/>
      <c r="Y25" s="133"/>
    </row>
    <row r="26" spans="1:25" ht="17.25" customHeight="1" thickBot="1">
      <c r="A26" s="68"/>
      <c r="B26" s="117"/>
      <c r="C26" s="134"/>
      <c r="D26" s="126"/>
      <c r="E26" s="127"/>
      <c r="F26" s="127"/>
      <c r="G26" s="122"/>
      <c r="H26" s="135" t="s">
        <v>1552</v>
      </c>
      <c r="I26" s="30"/>
      <c r="J26" s="75"/>
      <c r="K26" s="75"/>
      <c r="L26" s="30"/>
      <c r="M26" s="76"/>
      <c r="N26" s="30"/>
      <c r="O26"/>
      <c r="P26" s="136" t="s">
        <v>2090</v>
      </c>
      <c r="Q26" s="137"/>
      <c r="R26" s="137"/>
      <c r="S26" s="138"/>
      <c r="T26" s="49"/>
      <c r="U26" s="139" t="s">
        <v>2091</v>
      </c>
      <c r="V26" s="140"/>
      <c r="W26" s="140"/>
      <c r="X26" s="141"/>
      <c r="Y26" s="142" t="s">
        <v>2092</v>
      </c>
    </row>
    <row r="27" spans="1:25" ht="20.25" customHeight="1" thickBot="1">
      <c r="A27" s="68" t="s">
        <v>1552</v>
      </c>
      <c r="B27" s="117"/>
      <c r="C27" s="130" t="s">
        <v>2093</v>
      </c>
      <c r="D27" s="119"/>
      <c r="E27" s="120"/>
      <c r="F27" s="121"/>
      <c r="G27" s="122"/>
      <c r="H27" s="143" t="s">
        <v>2094</v>
      </c>
      <c r="I27" s="30"/>
      <c r="J27" s="79" t="s">
        <v>2095</v>
      </c>
      <c r="K27" s="80"/>
      <c r="L27" s="30"/>
      <c r="M27" s="81" t="s">
        <v>2096</v>
      </c>
      <c r="N27" s="82"/>
      <c r="O27"/>
      <c r="P27" s="131"/>
      <c r="Q27" s="132"/>
      <c r="R27" s="131"/>
      <c r="S27" s="131"/>
      <c r="T27" s="49"/>
      <c r="U27" s="144"/>
      <c r="V27" s="132"/>
      <c r="W27" s="131"/>
      <c r="X27" s="131"/>
      <c r="Y27" s="142"/>
    </row>
    <row r="28" spans="1:25" ht="17.25" customHeight="1" thickBot="1">
      <c r="A28" s="68"/>
      <c r="B28" s="117"/>
      <c r="C28" s="134"/>
      <c r="D28" s="126"/>
      <c r="E28" s="127"/>
      <c r="F28" s="127"/>
      <c r="G28" s="122"/>
      <c r="H28" s="135" t="s">
        <v>2097</v>
      </c>
      <c r="I28" s="30"/>
      <c r="J28" s="30"/>
      <c r="K28" s="30"/>
      <c r="L28" s="30"/>
      <c r="M28" s="76"/>
      <c r="N28" s="30"/>
      <c r="O28"/>
      <c r="P28" s="145" t="s">
        <v>2098</v>
      </c>
      <c r="Q28" s="146"/>
      <c r="R28" s="146"/>
      <c r="S28" s="147"/>
      <c r="T28" s="49"/>
      <c r="U28" s="139" t="s">
        <v>2099</v>
      </c>
      <c r="V28" s="140"/>
      <c r="W28" s="140"/>
      <c r="X28" s="141"/>
      <c r="Y28" s="142" t="s">
        <v>2092</v>
      </c>
    </row>
    <row r="29" spans="1:25" ht="24.75" customHeight="1" thickBot="1">
      <c r="A29" s="68" t="s">
        <v>2101</v>
      </c>
      <c r="B29" s="117"/>
      <c r="C29" s="130" t="s">
        <v>2102</v>
      </c>
      <c r="D29" s="148"/>
      <c r="E29" s="120"/>
      <c r="F29" s="149"/>
      <c r="G29" s="122"/>
      <c r="H29" s="135" t="s">
        <v>2103</v>
      </c>
      <c r="I29" s="30"/>
      <c r="J29" s="30"/>
      <c r="K29" s="30"/>
      <c r="L29" s="30"/>
      <c r="M29" s="150" t="s">
        <v>2104</v>
      </c>
      <c r="N29" s="82"/>
      <c r="O29"/>
      <c r="P29" s="151"/>
      <c r="Q29" s="152"/>
      <c r="R29" s="151"/>
      <c r="S29" s="151"/>
      <c r="T29" s="49"/>
      <c r="U29" s="153"/>
      <c r="V29" s="132"/>
      <c r="W29" s="131"/>
      <c r="X29" s="131"/>
      <c r="Y29" s="142"/>
    </row>
    <row r="30" spans="1:25" ht="16.5" customHeight="1" thickBot="1">
      <c r="A30" s="68"/>
      <c r="B30" s="117"/>
      <c r="C30" s="134"/>
      <c r="D30" s="126"/>
      <c r="E30" s="127"/>
      <c r="F30" s="127"/>
      <c r="G30" s="122"/>
      <c r="H30" s="135" t="s">
        <v>2105</v>
      </c>
      <c r="I30" s="30"/>
      <c r="J30" s="30"/>
      <c r="K30" s="30"/>
      <c r="L30" s="30"/>
      <c r="M30" s="76"/>
      <c r="N30" s="30"/>
      <c r="O30"/>
      <c r="P30" s="154" t="s">
        <v>2106</v>
      </c>
      <c r="Q30" s="146"/>
      <c r="R30" s="146"/>
      <c r="S30" s="147"/>
      <c r="T30" s="49"/>
      <c r="U30" s="139" t="s">
        <v>1529</v>
      </c>
      <c r="V30" s="140"/>
      <c r="W30" s="140"/>
      <c r="X30" s="141"/>
      <c r="Y30" s="142" t="s">
        <v>2092</v>
      </c>
    </row>
    <row r="31" spans="1:25" ht="22.5" customHeight="1" thickBot="1">
      <c r="A31" s="68" t="s">
        <v>1530</v>
      </c>
      <c r="B31" s="117"/>
      <c r="C31" s="130" t="s">
        <v>1531</v>
      </c>
      <c r="D31" s="119"/>
      <c r="E31" s="120"/>
      <c r="F31" s="121"/>
      <c r="G31" s="122"/>
      <c r="H31" s="135" t="s">
        <v>1532</v>
      </c>
      <c r="I31" s="30"/>
      <c r="J31" s="30"/>
      <c r="K31" s="30"/>
      <c r="L31" s="30"/>
      <c r="M31" s="150" t="s">
        <v>1533</v>
      </c>
      <c r="N31" s="82"/>
      <c r="O31"/>
      <c r="P31" s="151"/>
      <c r="Q31" s="152"/>
      <c r="R31" s="151"/>
      <c r="S31" s="151"/>
      <c r="T31" s="49"/>
      <c r="U31" s="144"/>
      <c r="V31" s="132"/>
      <c r="W31" s="131"/>
      <c r="X31" s="131"/>
      <c r="Y31" s="142"/>
    </row>
    <row r="32" spans="1:25" ht="17.25" customHeight="1" thickBot="1">
      <c r="A32" s="68"/>
      <c r="B32" s="117"/>
      <c r="C32" s="134"/>
      <c r="D32" s="126"/>
      <c r="E32" s="127"/>
      <c r="F32" s="127"/>
      <c r="G32" s="122"/>
      <c r="H32" s="135"/>
      <c r="I32" s="30"/>
      <c r="J32" s="30"/>
      <c r="K32" s="30"/>
      <c r="L32" s="30"/>
      <c r="M32" s="155"/>
      <c r="N32" s="30"/>
      <c r="O32"/>
      <c r="P32" s="156" t="s">
        <v>1534</v>
      </c>
      <c r="Q32" s="146"/>
      <c r="R32" s="146"/>
      <c r="S32" s="147"/>
      <c r="T32" s="49"/>
      <c r="U32" s="139" t="s">
        <v>1535</v>
      </c>
      <c r="V32" s="140"/>
      <c r="W32" s="140"/>
      <c r="X32" s="141"/>
      <c r="Y32" s="142" t="s">
        <v>2092</v>
      </c>
    </row>
    <row r="33" spans="1:25" ht="24.75" customHeight="1" thickBot="1">
      <c r="A33" s="68" t="s">
        <v>1426</v>
      </c>
      <c r="B33" s="117"/>
      <c r="C33" s="130" t="s">
        <v>1536</v>
      </c>
      <c r="D33" s="119"/>
      <c r="E33" s="120"/>
      <c r="F33" s="121"/>
      <c r="G33" s="122"/>
      <c r="H33" s="135" t="s">
        <v>2101</v>
      </c>
      <c r="I33" s="30"/>
      <c r="J33" s="30"/>
      <c r="K33" s="30"/>
      <c r="L33" s="30"/>
      <c r="M33" s="150" t="s">
        <v>1558</v>
      </c>
      <c r="N33" s="82"/>
      <c r="O33"/>
      <c r="P33"/>
      <c r="Q33"/>
      <c r="R33"/>
      <c r="S33"/>
      <c r="T33"/>
      <c r="U33" s="157"/>
      <c r="V33" s="37"/>
      <c r="W33"/>
      <c r="X33"/>
      <c r="Y33"/>
    </row>
    <row r="34" spans="1:25" ht="16.5" customHeight="1" thickBot="1">
      <c r="A34" s="68"/>
      <c r="B34" s="117"/>
      <c r="C34" s="134"/>
      <c r="D34" s="126"/>
      <c r="E34" s="127"/>
      <c r="F34" s="127"/>
      <c r="G34" s="122"/>
      <c r="H34" s="135" t="s">
        <v>2097</v>
      </c>
      <c r="I34" s="30"/>
      <c r="J34" s="30"/>
      <c r="K34" s="30"/>
      <c r="L34" s="30"/>
      <c r="M34" s="155"/>
      <c r="N34" s="30"/>
      <c r="O34"/>
      <c r="P34"/>
      <c r="Q34"/>
      <c r="R34"/>
      <c r="S34"/>
      <c r="T34"/>
      <c r="U34" s="139" t="s">
        <v>1559</v>
      </c>
      <c r="V34" s="140"/>
      <c r="W34" s="140"/>
      <c r="X34" s="141"/>
      <c r="Y34" s="142" t="s">
        <v>2092</v>
      </c>
    </row>
    <row r="35" spans="1:26" ht="24.75" customHeight="1" thickBot="1">
      <c r="A35" s="68" t="s">
        <v>1560</v>
      </c>
      <c r="B35" s="117"/>
      <c r="C35" s="130" t="s">
        <v>1561</v>
      </c>
      <c r="D35" s="119"/>
      <c r="E35" s="120"/>
      <c r="F35" s="121"/>
      <c r="G35" s="122"/>
      <c r="H35" s="135" t="s">
        <v>2094</v>
      </c>
      <c r="I35" s="30"/>
      <c r="J35" s="30"/>
      <c r="K35" s="30"/>
      <c r="L35" s="30"/>
      <c r="M35" s="150" t="s">
        <v>1562</v>
      </c>
      <c r="N35" s="82"/>
      <c r="P35"/>
      <c r="Q35"/>
      <c r="R35"/>
      <c r="S35"/>
      <c r="T35"/>
      <c r="U35" s="158"/>
      <c r="V35"/>
      <c r="W35"/>
      <c r="X35"/>
      <c r="Y35"/>
      <c r="Z35"/>
    </row>
    <row r="36" spans="1:26" ht="16.5" customHeight="1" thickBot="1">
      <c r="A36" s="68"/>
      <c r="B36" s="117"/>
      <c r="C36" s="134"/>
      <c r="D36" s="126"/>
      <c r="E36" s="127"/>
      <c r="F36" s="127"/>
      <c r="G36" s="122"/>
      <c r="H36" s="135" t="s">
        <v>1563</v>
      </c>
      <c r="I36" s="30"/>
      <c r="J36" s="30"/>
      <c r="K36" s="30"/>
      <c r="L36" s="30"/>
      <c r="M36" s="155"/>
      <c r="N36" s="30"/>
      <c r="U36"/>
      <c r="V36"/>
      <c r="W36"/>
      <c r="X36"/>
      <c r="Y36"/>
      <c r="Z36"/>
    </row>
    <row r="37" spans="1:26" ht="24.75" customHeight="1" thickBot="1">
      <c r="A37" s="68" t="s">
        <v>1564</v>
      </c>
      <c r="B37" s="117"/>
      <c r="C37" s="130" t="s">
        <v>1565</v>
      </c>
      <c r="D37" s="119"/>
      <c r="E37" s="120"/>
      <c r="F37" s="121"/>
      <c r="G37" s="122"/>
      <c r="H37" s="135" t="s">
        <v>1566</v>
      </c>
      <c r="I37" s="30"/>
      <c r="J37" s="30"/>
      <c r="K37" s="30"/>
      <c r="L37" s="30"/>
      <c r="M37" s="150" t="s">
        <v>1567</v>
      </c>
      <c r="N37" s="82"/>
      <c r="O37"/>
      <c r="P37"/>
      <c r="U37"/>
      <c r="V37"/>
      <c r="W37"/>
      <c r="X37"/>
      <c r="Y37"/>
      <c r="Z37"/>
    </row>
    <row r="38" spans="1:26" ht="15" customHeight="1" thickBot="1">
      <c r="A38" s="68"/>
      <c r="B38" s="117"/>
      <c r="C38" s="134"/>
      <c r="D38" s="126"/>
      <c r="E38" s="127"/>
      <c r="F38" s="127"/>
      <c r="G38" s="122"/>
      <c r="H38" s="135" t="s">
        <v>1563</v>
      </c>
      <c r="I38" s="30"/>
      <c r="J38" s="30"/>
      <c r="K38" s="30"/>
      <c r="L38" s="30"/>
      <c r="M38" s="155"/>
      <c r="N38" s="30"/>
      <c r="O38"/>
      <c r="P38"/>
      <c r="U38"/>
      <c r="V38"/>
      <c r="W38"/>
      <c r="X38"/>
      <c r="Y38"/>
      <c r="Z38"/>
    </row>
    <row r="39" spans="1:26" ht="27" customHeight="1" thickBot="1">
      <c r="A39" s="68"/>
      <c r="B39" s="117"/>
      <c r="C39" s="130" t="s">
        <v>1568</v>
      </c>
      <c r="D39" s="119"/>
      <c r="E39" s="120"/>
      <c r="F39" s="121"/>
      <c r="G39" s="122"/>
      <c r="H39" s="135" t="s">
        <v>1569</v>
      </c>
      <c r="I39" s="30"/>
      <c r="J39" s="30"/>
      <c r="K39" s="30"/>
      <c r="L39" s="30"/>
      <c r="M39" s="150" t="s">
        <v>1570</v>
      </c>
      <c r="N39" s="82"/>
      <c r="O39"/>
      <c r="P39"/>
      <c r="R39"/>
      <c r="S39"/>
      <c r="T39"/>
      <c r="U39"/>
      <c r="V39"/>
      <c r="W39"/>
      <c r="X39"/>
      <c r="Y39"/>
      <c r="Z39"/>
    </row>
    <row r="40" spans="1:26" ht="17.25" customHeight="1" thickBot="1">
      <c r="A40" s="68"/>
      <c r="B40" s="117"/>
      <c r="C40" s="125"/>
      <c r="D40" s="126"/>
      <c r="E40" s="127"/>
      <c r="F40" s="127"/>
      <c r="G40" s="159"/>
      <c r="H40" s="135"/>
      <c r="I40" s="30"/>
      <c r="J40" s="30"/>
      <c r="K40" s="30"/>
      <c r="L40" s="30"/>
      <c r="M40" s="160"/>
      <c r="N40" s="30"/>
      <c r="O40"/>
      <c r="P40"/>
      <c r="R40"/>
      <c r="S40"/>
      <c r="T40"/>
      <c r="U40"/>
      <c r="V40"/>
      <c r="W40"/>
      <c r="X40"/>
      <c r="Y40"/>
      <c r="Z40"/>
    </row>
    <row r="41" spans="1:26" ht="17.25" customHeight="1" thickBot="1">
      <c r="A41" s="68"/>
      <c r="B41" s="161"/>
      <c r="C41" s="162" t="s">
        <v>1571</v>
      </c>
      <c r="D41" s="119"/>
      <c r="E41" s="120"/>
      <c r="F41" s="121"/>
      <c r="G41" s="163"/>
      <c r="H41" s="164"/>
      <c r="I41" s="30"/>
      <c r="J41" s="30"/>
      <c r="K41" s="30"/>
      <c r="L41" s="30"/>
      <c r="M41" s="160"/>
      <c r="N41" s="30"/>
      <c r="O41"/>
      <c r="P41"/>
      <c r="R41"/>
      <c r="S41"/>
      <c r="T41"/>
      <c r="U41"/>
      <c r="V41"/>
      <c r="W41"/>
      <c r="X41"/>
      <c r="Y41"/>
      <c r="Z41"/>
    </row>
    <row r="42" spans="1:26" ht="14.25" customHeight="1">
      <c r="A42" s="68"/>
      <c r="B42" s="30"/>
      <c r="C42" s="30"/>
      <c r="D42" s="165"/>
      <c r="E42" s="166"/>
      <c r="F42" s="166"/>
      <c r="G42" s="166"/>
      <c r="H42" s="166"/>
      <c r="I42" s="30"/>
      <c r="J42" s="30"/>
      <c r="K42" s="30"/>
      <c r="L42" s="30"/>
      <c r="M42" s="166"/>
      <c r="N42" s="166"/>
      <c r="O42" s="167"/>
      <c r="P42" s="167"/>
      <c r="Q42" s="167"/>
      <c r="R42" s="167"/>
      <c r="U42"/>
      <c r="V42"/>
      <c r="W42"/>
      <c r="X42"/>
      <c r="Y42"/>
      <c r="Z42"/>
    </row>
    <row r="43" spans="2:26" ht="15" customHeight="1">
      <c r="B43" s="168" t="s">
        <v>1572</v>
      </c>
      <c r="C43"/>
      <c r="D43"/>
      <c r="E43"/>
      <c r="F43" s="169"/>
      <c r="G43" s="170"/>
      <c r="H43" s="170"/>
      <c r="I43" s="170"/>
      <c r="K43"/>
      <c r="L43"/>
      <c r="M43" s="167"/>
      <c r="N43" s="167"/>
      <c r="O43" s="167"/>
      <c r="P43" s="167"/>
      <c r="Q43" s="167"/>
      <c r="R43"/>
      <c r="U43" s="171"/>
      <c r="V43"/>
      <c r="W43"/>
      <c r="X43"/>
      <c r="Y43"/>
      <c r="Z43"/>
    </row>
    <row r="44" spans="2:26" ht="18" customHeight="1">
      <c r="B44" s="172" t="s">
        <v>1573</v>
      </c>
      <c r="C44"/>
      <c r="D44"/>
      <c r="E44" s="167"/>
      <c r="F44" s="167"/>
      <c r="G44" s="167"/>
      <c r="H44" s="167"/>
      <c r="I44" s="172" t="s">
        <v>1036</v>
      </c>
      <c r="K44"/>
      <c r="L44"/>
      <c r="M44" s="167"/>
      <c r="N44" s="167"/>
      <c r="O44" s="167"/>
      <c r="Q44" s="167"/>
      <c r="R44" s="167"/>
      <c r="W44"/>
      <c r="X44"/>
      <c r="Y44"/>
      <c r="Z44"/>
    </row>
    <row r="45" spans="1:26" ht="15.75" customHeight="1">
      <c r="A45" s="173"/>
      <c r="B45" s="172" t="s">
        <v>1028</v>
      </c>
      <c r="C45"/>
      <c r="D45"/>
      <c r="E45" s="167"/>
      <c r="F45" s="167"/>
      <c r="G45" s="167"/>
      <c r="H45" s="167"/>
      <c r="I45" s="172" t="s">
        <v>1175</v>
      </c>
      <c r="K45" s="172"/>
      <c r="L45" s="174"/>
      <c r="M45" s="167"/>
      <c r="N45" s="167"/>
      <c r="O45" s="167"/>
      <c r="P45" s="167" t="s">
        <v>1032</v>
      </c>
      <c r="Q45" s="167"/>
      <c r="R45" s="167"/>
      <c r="W45"/>
      <c r="X45"/>
      <c r="Y45"/>
      <c r="Z45"/>
    </row>
    <row r="46" spans="2:26" ht="23.25">
      <c r="B46"/>
      <c r="C46"/>
      <c r="D46"/>
      <c r="E46" s="167"/>
      <c r="F46" s="167"/>
      <c r="G46" s="167"/>
      <c r="H46" s="167"/>
      <c r="I46" s="167"/>
      <c r="K46" s="167"/>
      <c r="L46" s="174"/>
      <c r="M46" s="167"/>
      <c r="N46" s="167"/>
      <c r="O46" s="167"/>
      <c r="P46" s="167"/>
      <c r="Q46" s="167"/>
      <c r="R46" s="167"/>
      <c r="U46"/>
      <c r="V46"/>
      <c r="W46"/>
      <c r="X46"/>
      <c r="Y46"/>
      <c r="Z46"/>
    </row>
  </sheetData>
  <mergeCells count="2">
    <mergeCell ref="C13:F13"/>
    <mergeCell ref="J17:K17"/>
  </mergeCells>
  <printOptions horizontalCentered="1"/>
  <pageMargins left="0.1968503937007874" right="0.1968503937007874" top="0.7874015748031497" bottom="0" header="0.7086614173228347" footer="0.1968503937007874"/>
  <pageSetup fitToHeight="1" fitToWidth="1" horizontalDpi="600" verticalDpi="600" orientation="landscape" paperSize="9" scale="53" r:id="rId1"/>
  <headerFooter alignWithMargins="0">
    <oddFooter>&amp;C&amp;14&amp;P+159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workbookViewId="0" topLeftCell="A1">
      <selection activeCell="D28" sqref="D28"/>
    </sheetView>
  </sheetViews>
  <sheetFormatPr defaultColWidth="9.00390625" defaultRowHeight="12.75"/>
  <cols>
    <col min="1" max="1" width="26.375" style="0" customWidth="1"/>
    <col min="2" max="4" width="11.75390625" style="0" customWidth="1"/>
    <col min="5" max="5" width="10.875" style="0" customWidth="1"/>
    <col min="6" max="8" width="11.75390625" style="0" customWidth="1"/>
    <col min="9" max="9" width="10.875" style="0" customWidth="1"/>
    <col min="10" max="12" width="11.75390625" style="0" customWidth="1"/>
    <col min="13" max="13" width="10.875" style="0" customWidth="1"/>
    <col min="14" max="15" width="11.75390625" style="0" customWidth="1"/>
    <col min="16" max="16" width="13.25390625" style="0" customWidth="1"/>
    <col min="17" max="17" width="12.625" style="0" customWidth="1"/>
    <col min="18" max="18" width="14.625" style="0" customWidth="1"/>
  </cols>
  <sheetData>
    <row r="1" spans="1:18" s="804" customFormat="1" ht="20.25" customHeight="1">
      <c r="A1" s="804" t="s">
        <v>1063</v>
      </c>
      <c r="Q1" s="1427" t="s">
        <v>2500</v>
      </c>
      <c r="R1" s="1427"/>
    </row>
    <row r="2" s="805" customFormat="1" ht="12" customHeight="1">
      <c r="S2" s="806"/>
    </row>
    <row r="3" spans="1:18" s="807" customFormat="1" ht="21.75" customHeight="1">
      <c r="A3" s="1428" t="s">
        <v>1830</v>
      </c>
      <c r="B3" s="1428"/>
      <c r="C3" s="1428"/>
      <c r="D3" s="1428"/>
      <c r="E3" s="1428"/>
      <c r="F3" s="1428"/>
      <c r="G3" s="1428"/>
      <c r="H3" s="1428"/>
      <c r="I3" s="1428"/>
      <c r="J3" s="1428"/>
      <c r="K3" s="1428"/>
      <c r="L3" s="1428"/>
      <c r="M3" s="1428"/>
      <c r="N3" s="1428"/>
      <c r="O3" s="1428"/>
      <c r="P3" s="1428"/>
      <c r="Q3" s="1428"/>
      <c r="R3" s="1428"/>
    </row>
    <row r="4" spans="1:15" ht="12.75">
      <c r="A4" s="808"/>
      <c r="B4" s="808"/>
      <c r="C4" s="808"/>
      <c r="D4" s="24"/>
      <c r="G4" s="808"/>
      <c r="K4" s="808"/>
      <c r="O4" s="808"/>
    </row>
    <row r="5" spans="1:18" ht="13.5" thickBot="1">
      <c r="A5" s="24"/>
      <c r="B5" s="24"/>
      <c r="C5" s="808"/>
      <c r="G5" s="808"/>
      <c r="K5" s="808"/>
      <c r="O5" s="808"/>
      <c r="R5" s="809" t="s">
        <v>1037</v>
      </c>
    </row>
    <row r="6" spans="1:18" s="818" customFormat="1" ht="19.5" customHeight="1" thickTop="1">
      <c r="A6" s="810"/>
      <c r="B6" s="1429" t="s">
        <v>2501</v>
      </c>
      <c r="C6" s="1430"/>
      <c r="D6" s="1430"/>
      <c r="E6" s="1431"/>
      <c r="F6" s="811" t="s">
        <v>2502</v>
      </c>
      <c r="G6" s="812"/>
      <c r="H6" s="813"/>
      <c r="I6" s="814"/>
      <c r="J6" s="815" t="s">
        <v>2503</v>
      </c>
      <c r="K6" s="816"/>
      <c r="L6" s="813"/>
      <c r="M6" s="817"/>
      <c r="N6" s="1429" t="s">
        <v>2504</v>
      </c>
      <c r="O6" s="1430"/>
      <c r="P6" s="1430"/>
      <c r="Q6" s="1430"/>
      <c r="R6" s="1432"/>
    </row>
    <row r="7" spans="1:18" s="818" customFormat="1" ht="19.5" customHeight="1">
      <c r="A7" s="819" t="s">
        <v>871</v>
      </c>
      <c r="B7" s="820" t="s">
        <v>1038</v>
      </c>
      <c r="C7" s="821" t="s">
        <v>1039</v>
      </c>
      <c r="D7" s="822" t="s">
        <v>2505</v>
      </c>
      <c r="E7" s="823" t="s">
        <v>2506</v>
      </c>
      <c r="F7" s="824" t="s">
        <v>1038</v>
      </c>
      <c r="G7" s="822" t="s">
        <v>1039</v>
      </c>
      <c r="H7" s="822" t="s">
        <v>2505</v>
      </c>
      <c r="I7" s="823" t="s">
        <v>2506</v>
      </c>
      <c r="J7" s="820" t="s">
        <v>1038</v>
      </c>
      <c r="K7" s="821" t="s">
        <v>1039</v>
      </c>
      <c r="L7" s="823" t="s">
        <v>2505</v>
      </c>
      <c r="M7" s="825" t="s">
        <v>2506</v>
      </c>
      <c r="N7" s="826" t="s">
        <v>1038</v>
      </c>
      <c r="O7" s="821" t="s">
        <v>1039</v>
      </c>
      <c r="P7" s="821" t="s">
        <v>2505</v>
      </c>
      <c r="Q7" s="822" t="s">
        <v>2506</v>
      </c>
      <c r="R7" s="1441" t="s">
        <v>2507</v>
      </c>
    </row>
    <row r="8" spans="1:18" ht="19.5" customHeight="1" thickBot="1">
      <c r="A8" s="827"/>
      <c r="B8" s="828"/>
      <c r="C8" s="829" t="s">
        <v>1024</v>
      </c>
      <c r="D8" s="829" t="s">
        <v>1025</v>
      </c>
      <c r="E8" s="830" t="s">
        <v>2508</v>
      </c>
      <c r="F8" s="831"/>
      <c r="G8" s="829" t="s">
        <v>1024</v>
      </c>
      <c r="H8" s="829" t="s">
        <v>1025</v>
      </c>
      <c r="I8" s="830" t="s">
        <v>2508</v>
      </c>
      <c r="J8" s="831"/>
      <c r="K8" s="829" t="s">
        <v>1024</v>
      </c>
      <c r="L8" s="830" t="s">
        <v>1025</v>
      </c>
      <c r="M8" s="830" t="s">
        <v>2508</v>
      </c>
      <c r="N8" s="831"/>
      <c r="O8" s="829" t="s">
        <v>1024</v>
      </c>
      <c r="P8" s="829" t="s">
        <v>1025</v>
      </c>
      <c r="Q8" s="829" t="s">
        <v>2508</v>
      </c>
      <c r="R8" s="1442"/>
    </row>
    <row r="9" spans="1:18" ht="23.25" customHeight="1">
      <c r="A9" s="832" t="s">
        <v>2509</v>
      </c>
      <c r="B9" s="833">
        <v>125489</v>
      </c>
      <c r="C9" s="834">
        <v>125489</v>
      </c>
      <c r="D9" s="835">
        <v>129295</v>
      </c>
      <c r="E9" s="836">
        <f aca="true" t="shared" si="0" ref="E9:E22">C9-D9</f>
        <v>-3806</v>
      </c>
      <c r="F9" s="837">
        <v>103344</v>
      </c>
      <c r="G9" s="834">
        <v>103344</v>
      </c>
      <c r="H9" s="835">
        <f>106468+1</f>
        <v>106469</v>
      </c>
      <c r="I9" s="836">
        <f aca="true" t="shared" si="1" ref="I9:I22">G9-H9</f>
        <v>-3125</v>
      </c>
      <c r="J9" s="837">
        <v>341</v>
      </c>
      <c r="K9" s="834">
        <v>341</v>
      </c>
      <c r="L9" s="836">
        <v>8475</v>
      </c>
      <c r="M9" s="836">
        <f aca="true" t="shared" si="2" ref="M9:M22">K9-L9</f>
        <v>-8134</v>
      </c>
      <c r="N9" s="837">
        <f aca="true" t="shared" si="3" ref="N9:N23">B9+J9</f>
        <v>125830</v>
      </c>
      <c r="O9" s="834">
        <f aca="true" t="shared" si="4" ref="O9:O23">C9+K9</f>
        <v>125830</v>
      </c>
      <c r="P9" s="834">
        <f aca="true" t="shared" si="5" ref="P9:P23">D9+L9</f>
        <v>137770</v>
      </c>
      <c r="Q9" s="835">
        <f aca="true" t="shared" si="6" ref="Q9:Q22">O9-P9</f>
        <v>-11940</v>
      </c>
      <c r="R9" s="838">
        <f aca="true" t="shared" si="7" ref="R9:R23">P9*100/O9</f>
        <v>109.48899308590956</v>
      </c>
    </row>
    <row r="10" spans="1:18" ht="23.25" customHeight="1">
      <c r="A10" s="832" t="s">
        <v>2510</v>
      </c>
      <c r="B10" s="833">
        <v>138759</v>
      </c>
      <c r="C10" s="834">
        <v>138786</v>
      </c>
      <c r="D10" s="835">
        <v>144987</v>
      </c>
      <c r="E10" s="836">
        <f t="shared" si="0"/>
        <v>-6201</v>
      </c>
      <c r="F10" s="837">
        <v>114272</v>
      </c>
      <c r="G10" s="834">
        <v>114294</v>
      </c>
      <c r="H10" s="835">
        <v>119389</v>
      </c>
      <c r="I10" s="836">
        <f t="shared" si="1"/>
        <v>-5095</v>
      </c>
      <c r="J10" s="837">
        <v>1661</v>
      </c>
      <c r="K10" s="834">
        <v>1661</v>
      </c>
      <c r="L10" s="836">
        <v>21982</v>
      </c>
      <c r="M10" s="836">
        <f t="shared" si="2"/>
        <v>-20321</v>
      </c>
      <c r="N10" s="837">
        <f t="shared" si="3"/>
        <v>140420</v>
      </c>
      <c r="O10" s="834">
        <f t="shared" si="4"/>
        <v>140447</v>
      </c>
      <c r="P10" s="834">
        <f t="shared" si="5"/>
        <v>166969</v>
      </c>
      <c r="Q10" s="835">
        <f t="shared" si="6"/>
        <v>-26522</v>
      </c>
      <c r="R10" s="838">
        <f t="shared" si="7"/>
        <v>118.8839918260981</v>
      </c>
    </row>
    <row r="11" spans="1:18" ht="23.25" customHeight="1">
      <c r="A11" s="832" t="s">
        <v>2511</v>
      </c>
      <c r="B11" s="833">
        <v>91133</v>
      </c>
      <c r="C11" s="834">
        <v>91541</v>
      </c>
      <c r="D11" s="835">
        <v>95161</v>
      </c>
      <c r="E11" s="836">
        <f t="shared" si="0"/>
        <v>-3620</v>
      </c>
      <c r="F11" s="837">
        <v>75051</v>
      </c>
      <c r="G11" s="834">
        <v>75387</v>
      </c>
      <c r="H11" s="835">
        <v>78360</v>
      </c>
      <c r="I11" s="836">
        <f t="shared" si="1"/>
        <v>-2973</v>
      </c>
      <c r="J11" s="837">
        <v>1088</v>
      </c>
      <c r="K11" s="834">
        <v>1088</v>
      </c>
      <c r="L11" s="836">
        <v>3423</v>
      </c>
      <c r="M11" s="836">
        <f t="shared" si="2"/>
        <v>-2335</v>
      </c>
      <c r="N11" s="837">
        <f t="shared" si="3"/>
        <v>92221</v>
      </c>
      <c r="O11" s="834">
        <f t="shared" si="4"/>
        <v>92629</v>
      </c>
      <c r="P11" s="834">
        <f t="shared" si="5"/>
        <v>98584</v>
      </c>
      <c r="Q11" s="835">
        <f t="shared" si="6"/>
        <v>-5955</v>
      </c>
      <c r="R11" s="838">
        <f t="shared" si="7"/>
        <v>106.42887216746375</v>
      </c>
    </row>
    <row r="12" spans="1:18" ht="23.25" customHeight="1">
      <c r="A12" s="832" t="s">
        <v>2512</v>
      </c>
      <c r="B12" s="833">
        <v>82638</v>
      </c>
      <c r="C12" s="839">
        <v>83095</v>
      </c>
      <c r="D12" s="835">
        <v>85634</v>
      </c>
      <c r="E12" s="836">
        <f t="shared" si="0"/>
        <v>-2539</v>
      </c>
      <c r="F12" s="837">
        <v>68055</v>
      </c>
      <c r="G12" s="839">
        <v>68431</v>
      </c>
      <c r="H12" s="835">
        <v>70515</v>
      </c>
      <c r="I12" s="836">
        <f t="shared" si="1"/>
        <v>-2084</v>
      </c>
      <c r="J12" s="837">
        <v>1932</v>
      </c>
      <c r="K12" s="839">
        <v>10324</v>
      </c>
      <c r="L12" s="836">
        <v>29980</v>
      </c>
      <c r="M12" s="836">
        <f t="shared" si="2"/>
        <v>-19656</v>
      </c>
      <c r="N12" s="837">
        <f t="shared" si="3"/>
        <v>84570</v>
      </c>
      <c r="O12" s="834">
        <f t="shared" si="4"/>
        <v>93419</v>
      </c>
      <c r="P12" s="834">
        <f t="shared" si="5"/>
        <v>115614</v>
      </c>
      <c r="Q12" s="835">
        <f t="shared" si="6"/>
        <v>-22195</v>
      </c>
      <c r="R12" s="838">
        <f t="shared" si="7"/>
        <v>123.75855018786328</v>
      </c>
    </row>
    <row r="13" spans="1:18" ht="23.25" customHeight="1">
      <c r="A13" s="832" t="s">
        <v>2513</v>
      </c>
      <c r="B13" s="833">
        <v>41060</v>
      </c>
      <c r="C13" s="834">
        <v>36683</v>
      </c>
      <c r="D13" s="835">
        <v>42192</v>
      </c>
      <c r="E13" s="836">
        <f t="shared" si="0"/>
        <v>-5509</v>
      </c>
      <c r="F13" s="837">
        <v>33815</v>
      </c>
      <c r="G13" s="834">
        <v>30210</v>
      </c>
      <c r="H13" s="835">
        <v>34742</v>
      </c>
      <c r="I13" s="836">
        <f t="shared" si="1"/>
        <v>-4532</v>
      </c>
      <c r="J13" s="837">
        <v>10602</v>
      </c>
      <c r="K13" s="834">
        <v>10602</v>
      </c>
      <c r="L13" s="836">
        <v>36950</v>
      </c>
      <c r="M13" s="836">
        <f t="shared" si="2"/>
        <v>-26348</v>
      </c>
      <c r="N13" s="837">
        <f t="shared" si="3"/>
        <v>51662</v>
      </c>
      <c r="O13" s="834">
        <f t="shared" si="4"/>
        <v>47285</v>
      </c>
      <c r="P13" s="834">
        <f t="shared" si="5"/>
        <v>79142</v>
      </c>
      <c r="Q13" s="835">
        <f t="shared" si="6"/>
        <v>-31857</v>
      </c>
      <c r="R13" s="838">
        <f t="shared" si="7"/>
        <v>167.37231680236863</v>
      </c>
    </row>
    <row r="14" spans="1:18" ht="23.25" customHeight="1">
      <c r="A14" s="832" t="s">
        <v>2514</v>
      </c>
      <c r="B14" s="833">
        <v>98470</v>
      </c>
      <c r="C14" s="834">
        <v>98791</v>
      </c>
      <c r="D14" s="835">
        <v>100621</v>
      </c>
      <c r="E14" s="836">
        <f t="shared" si="0"/>
        <v>-1830</v>
      </c>
      <c r="F14" s="837">
        <v>81093</v>
      </c>
      <c r="G14" s="834">
        <v>81357</v>
      </c>
      <c r="H14" s="835">
        <v>82856</v>
      </c>
      <c r="I14" s="836">
        <f t="shared" si="1"/>
        <v>-1499</v>
      </c>
      <c r="J14" s="837">
        <v>847</v>
      </c>
      <c r="K14" s="834">
        <v>847</v>
      </c>
      <c r="L14" s="836">
        <v>12295</v>
      </c>
      <c r="M14" s="836">
        <f t="shared" si="2"/>
        <v>-11448</v>
      </c>
      <c r="N14" s="837">
        <f t="shared" si="3"/>
        <v>99317</v>
      </c>
      <c r="O14" s="834">
        <f t="shared" si="4"/>
        <v>99638</v>
      </c>
      <c r="P14" s="834">
        <f t="shared" si="5"/>
        <v>112916</v>
      </c>
      <c r="Q14" s="835">
        <f t="shared" si="6"/>
        <v>-13278</v>
      </c>
      <c r="R14" s="838">
        <f t="shared" si="7"/>
        <v>113.32624099239246</v>
      </c>
    </row>
    <row r="15" spans="1:18" ht="23.25" customHeight="1">
      <c r="A15" s="832" t="s">
        <v>2515</v>
      </c>
      <c r="B15" s="833">
        <v>49944</v>
      </c>
      <c r="C15" s="834">
        <v>50254</v>
      </c>
      <c r="D15" s="835">
        <v>51463</v>
      </c>
      <c r="E15" s="836">
        <f t="shared" si="0"/>
        <v>-1209</v>
      </c>
      <c r="F15" s="837">
        <v>41130</v>
      </c>
      <c r="G15" s="834">
        <v>41386</v>
      </c>
      <c r="H15" s="835">
        <v>42377</v>
      </c>
      <c r="I15" s="836">
        <f t="shared" si="1"/>
        <v>-991</v>
      </c>
      <c r="J15" s="837">
        <v>691</v>
      </c>
      <c r="K15" s="834">
        <v>691</v>
      </c>
      <c r="L15" s="836">
        <v>2475</v>
      </c>
      <c r="M15" s="836">
        <f t="shared" si="2"/>
        <v>-1784</v>
      </c>
      <c r="N15" s="837">
        <f t="shared" si="3"/>
        <v>50635</v>
      </c>
      <c r="O15" s="834">
        <f t="shared" si="4"/>
        <v>50945</v>
      </c>
      <c r="P15" s="834">
        <f t="shared" si="5"/>
        <v>53938</v>
      </c>
      <c r="Q15" s="835">
        <f t="shared" si="6"/>
        <v>-2993</v>
      </c>
      <c r="R15" s="838">
        <f t="shared" si="7"/>
        <v>105.8749631956031</v>
      </c>
    </row>
    <row r="16" spans="1:18" ht="23.25" customHeight="1">
      <c r="A16" s="832" t="s">
        <v>2516</v>
      </c>
      <c r="B16" s="833">
        <v>61783</v>
      </c>
      <c r="C16" s="834">
        <v>61792</v>
      </c>
      <c r="D16" s="835">
        <v>62580</v>
      </c>
      <c r="E16" s="836">
        <f t="shared" si="0"/>
        <v>-788</v>
      </c>
      <c r="F16" s="837">
        <v>50880</v>
      </c>
      <c r="G16" s="834">
        <v>50888</v>
      </c>
      <c r="H16" s="835">
        <v>51531</v>
      </c>
      <c r="I16" s="836">
        <f t="shared" si="1"/>
        <v>-643</v>
      </c>
      <c r="J16" s="837">
        <v>1883</v>
      </c>
      <c r="K16" s="834">
        <v>1883</v>
      </c>
      <c r="L16" s="836">
        <v>10319</v>
      </c>
      <c r="M16" s="836">
        <f t="shared" si="2"/>
        <v>-8436</v>
      </c>
      <c r="N16" s="837">
        <f t="shared" si="3"/>
        <v>63666</v>
      </c>
      <c r="O16" s="834">
        <f t="shared" si="4"/>
        <v>63675</v>
      </c>
      <c r="P16" s="834">
        <f t="shared" si="5"/>
        <v>72899</v>
      </c>
      <c r="Q16" s="835">
        <f t="shared" si="6"/>
        <v>-9224</v>
      </c>
      <c r="R16" s="838">
        <f t="shared" si="7"/>
        <v>114.48606203376521</v>
      </c>
    </row>
    <row r="17" spans="1:18" ht="23.25" customHeight="1">
      <c r="A17" s="832" t="s">
        <v>2517</v>
      </c>
      <c r="B17" s="833">
        <v>55219</v>
      </c>
      <c r="C17" s="834">
        <v>55427</v>
      </c>
      <c r="D17" s="835">
        <v>57518</v>
      </c>
      <c r="E17" s="836">
        <f t="shared" si="0"/>
        <v>-2091</v>
      </c>
      <c r="F17" s="837">
        <v>45474</v>
      </c>
      <c r="G17" s="834">
        <v>45645</v>
      </c>
      <c r="H17" s="835">
        <v>47363</v>
      </c>
      <c r="I17" s="836">
        <f t="shared" si="1"/>
        <v>-1718</v>
      </c>
      <c r="J17" s="837">
        <v>757</v>
      </c>
      <c r="K17" s="834">
        <v>757</v>
      </c>
      <c r="L17" s="836">
        <v>7488</v>
      </c>
      <c r="M17" s="836">
        <f t="shared" si="2"/>
        <v>-6731</v>
      </c>
      <c r="N17" s="837">
        <f t="shared" si="3"/>
        <v>55976</v>
      </c>
      <c r="O17" s="834">
        <f t="shared" si="4"/>
        <v>56184</v>
      </c>
      <c r="P17" s="834">
        <f t="shared" si="5"/>
        <v>65006</v>
      </c>
      <c r="Q17" s="835">
        <f t="shared" si="6"/>
        <v>-8822</v>
      </c>
      <c r="R17" s="838">
        <f t="shared" si="7"/>
        <v>115.70197921116332</v>
      </c>
    </row>
    <row r="18" spans="1:18" ht="23.25" customHeight="1">
      <c r="A18" s="832" t="s">
        <v>2518</v>
      </c>
      <c r="B18" s="833">
        <v>72852</v>
      </c>
      <c r="C18" s="834">
        <v>73208</v>
      </c>
      <c r="D18" s="835">
        <v>75286</v>
      </c>
      <c r="E18" s="836">
        <f t="shared" si="0"/>
        <v>-2078</v>
      </c>
      <c r="F18" s="837">
        <v>59996</v>
      </c>
      <c r="G18" s="834">
        <v>60289</v>
      </c>
      <c r="H18" s="835">
        <v>61994</v>
      </c>
      <c r="I18" s="836">
        <f t="shared" si="1"/>
        <v>-1705</v>
      </c>
      <c r="J18" s="837">
        <v>1406</v>
      </c>
      <c r="K18" s="834">
        <v>1406</v>
      </c>
      <c r="L18" s="836">
        <v>10608</v>
      </c>
      <c r="M18" s="836">
        <f t="shared" si="2"/>
        <v>-9202</v>
      </c>
      <c r="N18" s="837">
        <f t="shared" si="3"/>
        <v>74258</v>
      </c>
      <c r="O18" s="834">
        <f t="shared" si="4"/>
        <v>74614</v>
      </c>
      <c r="P18" s="834">
        <f t="shared" si="5"/>
        <v>85894</v>
      </c>
      <c r="Q18" s="835">
        <f t="shared" si="6"/>
        <v>-11280</v>
      </c>
      <c r="R18" s="838">
        <f t="shared" si="7"/>
        <v>115.1178063098078</v>
      </c>
    </row>
    <row r="19" spans="1:18" ht="23.25" customHeight="1">
      <c r="A19" s="840" t="s">
        <v>2519</v>
      </c>
      <c r="B19" s="841">
        <v>113012</v>
      </c>
      <c r="C19" s="842">
        <v>113435</v>
      </c>
      <c r="D19" s="843">
        <v>117275</v>
      </c>
      <c r="E19" s="836">
        <f t="shared" si="0"/>
        <v>-3840</v>
      </c>
      <c r="F19" s="844">
        <v>93069</v>
      </c>
      <c r="G19" s="842">
        <v>93417</v>
      </c>
      <c r="H19" s="843">
        <v>96570</v>
      </c>
      <c r="I19" s="836">
        <f t="shared" si="1"/>
        <v>-3153</v>
      </c>
      <c r="J19" s="844">
        <v>4950</v>
      </c>
      <c r="K19" s="842">
        <v>10950</v>
      </c>
      <c r="L19" s="845">
        <v>51678</v>
      </c>
      <c r="M19" s="836">
        <f t="shared" si="2"/>
        <v>-40728</v>
      </c>
      <c r="N19" s="837">
        <f t="shared" si="3"/>
        <v>117962</v>
      </c>
      <c r="O19" s="834">
        <f t="shared" si="4"/>
        <v>124385</v>
      </c>
      <c r="P19" s="834">
        <f t="shared" si="5"/>
        <v>168953</v>
      </c>
      <c r="Q19" s="835">
        <f t="shared" si="6"/>
        <v>-44568</v>
      </c>
      <c r="R19" s="838">
        <f t="shared" si="7"/>
        <v>135.8306869799413</v>
      </c>
    </row>
    <row r="20" spans="1:18" ht="23.25" customHeight="1">
      <c r="A20" s="840" t="s">
        <v>2520</v>
      </c>
      <c r="B20" s="841">
        <v>55476</v>
      </c>
      <c r="C20" s="842">
        <v>55709</v>
      </c>
      <c r="D20" s="843">
        <v>57598</v>
      </c>
      <c r="E20" s="836">
        <f t="shared" si="0"/>
        <v>-1889</v>
      </c>
      <c r="F20" s="844">
        <v>45686</v>
      </c>
      <c r="G20" s="842">
        <v>45879</v>
      </c>
      <c r="H20" s="843">
        <v>47429</v>
      </c>
      <c r="I20" s="836">
        <f t="shared" si="1"/>
        <v>-1550</v>
      </c>
      <c r="J20" s="844">
        <v>504</v>
      </c>
      <c r="K20" s="842">
        <v>504</v>
      </c>
      <c r="L20" s="845">
        <v>12379</v>
      </c>
      <c r="M20" s="836">
        <f t="shared" si="2"/>
        <v>-11875</v>
      </c>
      <c r="N20" s="837">
        <f t="shared" si="3"/>
        <v>55980</v>
      </c>
      <c r="O20" s="834">
        <f t="shared" si="4"/>
        <v>56213</v>
      </c>
      <c r="P20" s="834">
        <f t="shared" si="5"/>
        <v>69977</v>
      </c>
      <c r="Q20" s="835">
        <f t="shared" si="6"/>
        <v>-13764</v>
      </c>
      <c r="R20" s="838">
        <f t="shared" si="7"/>
        <v>124.48543931119136</v>
      </c>
    </row>
    <row r="21" spans="1:18" ht="23.25" customHeight="1">
      <c r="A21" s="840" t="s">
        <v>2521</v>
      </c>
      <c r="B21" s="841">
        <v>71952</v>
      </c>
      <c r="C21" s="842">
        <v>72069</v>
      </c>
      <c r="D21" s="843">
        <v>74192</v>
      </c>
      <c r="E21" s="836">
        <f t="shared" si="0"/>
        <v>-2123</v>
      </c>
      <c r="F21" s="844">
        <v>59254</v>
      </c>
      <c r="G21" s="842">
        <v>59350</v>
      </c>
      <c r="H21" s="843">
        <v>61093</v>
      </c>
      <c r="I21" s="836">
        <f t="shared" si="1"/>
        <v>-1743</v>
      </c>
      <c r="J21" s="844">
        <v>654</v>
      </c>
      <c r="K21" s="842">
        <v>654</v>
      </c>
      <c r="L21" s="845">
        <v>9342</v>
      </c>
      <c r="M21" s="836">
        <f t="shared" si="2"/>
        <v>-8688</v>
      </c>
      <c r="N21" s="837">
        <f t="shared" si="3"/>
        <v>72606</v>
      </c>
      <c r="O21" s="834">
        <f t="shared" si="4"/>
        <v>72723</v>
      </c>
      <c r="P21" s="834">
        <f t="shared" si="5"/>
        <v>83534</v>
      </c>
      <c r="Q21" s="835">
        <f t="shared" si="6"/>
        <v>-10811</v>
      </c>
      <c r="R21" s="838">
        <f t="shared" si="7"/>
        <v>114.86599837740468</v>
      </c>
    </row>
    <row r="22" spans="1:18" ht="23.25" customHeight="1" thickBot="1">
      <c r="A22" s="840" t="s">
        <v>2522</v>
      </c>
      <c r="B22" s="841">
        <v>118933</v>
      </c>
      <c r="C22" s="842">
        <v>120441</v>
      </c>
      <c r="D22" s="843">
        <v>121863</v>
      </c>
      <c r="E22" s="836">
        <f t="shared" si="0"/>
        <v>-1422</v>
      </c>
      <c r="F22" s="844">
        <v>97945</v>
      </c>
      <c r="G22" s="842">
        <v>99187</v>
      </c>
      <c r="H22" s="843">
        <f>100348+1</f>
        <v>100349</v>
      </c>
      <c r="I22" s="836">
        <f t="shared" si="1"/>
        <v>-1162</v>
      </c>
      <c r="J22" s="844">
        <v>1204</v>
      </c>
      <c r="K22" s="842">
        <v>1204</v>
      </c>
      <c r="L22" s="845">
        <v>15481</v>
      </c>
      <c r="M22" s="836">
        <f t="shared" si="2"/>
        <v>-14277</v>
      </c>
      <c r="N22" s="844">
        <f t="shared" si="3"/>
        <v>120137</v>
      </c>
      <c r="O22" s="842">
        <f t="shared" si="4"/>
        <v>121645</v>
      </c>
      <c r="P22" s="842">
        <f t="shared" si="5"/>
        <v>137344</v>
      </c>
      <c r="Q22" s="843">
        <f t="shared" si="6"/>
        <v>-15699</v>
      </c>
      <c r="R22" s="838">
        <f t="shared" si="7"/>
        <v>112.90558592626084</v>
      </c>
    </row>
    <row r="23" spans="1:18" s="818" customFormat="1" ht="19.5" customHeight="1" thickBot="1">
      <c r="A23" s="846" t="s">
        <v>158</v>
      </c>
      <c r="B23" s="847">
        <f aca="true" t="shared" si="8" ref="B23:M23">SUM(B9:B22)</f>
        <v>1176720</v>
      </c>
      <c r="C23" s="848">
        <f t="shared" si="8"/>
        <v>1176720</v>
      </c>
      <c r="D23" s="849">
        <f t="shared" si="8"/>
        <v>1215665</v>
      </c>
      <c r="E23" s="850">
        <f t="shared" si="8"/>
        <v>-38945</v>
      </c>
      <c r="F23" s="851">
        <f t="shared" si="8"/>
        <v>969064</v>
      </c>
      <c r="G23" s="848">
        <f t="shared" si="8"/>
        <v>969064</v>
      </c>
      <c r="H23" s="849">
        <f t="shared" si="8"/>
        <v>1001037</v>
      </c>
      <c r="I23" s="850">
        <f t="shared" si="8"/>
        <v>-31973</v>
      </c>
      <c r="J23" s="851">
        <f t="shared" si="8"/>
        <v>28520</v>
      </c>
      <c r="K23" s="848">
        <f t="shared" si="8"/>
        <v>42912</v>
      </c>
      <c r="L23" s="850">
        <f t="shared" si="8"/>
        <v>232875</v>
      </c>
      <c r="M23" s="850">
        <f t="shared" si="8"/>
        <v>-189963</v>
      </c>
      <c r="N23" s="852">
        <f t="shared" si="3"/>
        <v>1205240</v>
      </c>
      <c r="O23" s="848">
        <f t="shared" si="4"/>
        <v>1219632</v>
      </c>
      <c r="P23" s="848">
        <f t="shared" si="5"/>
        <v>1448540</v>
      </c>
      <c r="Q23" s="853">
        <f>SUM(Q9:Q22)</f>
        <v>-228908</v>
      </c>
      <c r="R23" s="854">
        <f t="shared" si="7"/>
        <v>118.76861217154027</v>
      </c>
    </row>
    <row r="24" spans="1:9" ht="12.75" customHeight="1">
      <c r="A24" s="1433"/>
      <c r="B24" s="1433"/>
      <c r="C24" s="1433"/>
      <c r="D24" s="1433"/>
      <c r="E24" s="1433"/>
      <c r="F24" s="1433"/>
      <c r="G24" s="1433"/>
      <c r="H24" s="1433"/>
      <c r="I24" s="1433"/>
    </row>
    <row r="27" spans="1:18" s="818" customFormat="1" ht="22.5" customHeight="1">
      <c r="A27" s="855" t="s">
        <v>2534</v>
      </c>
      <c r="C27" s="855"/>
      <c r="D27" s="855"/>
      <c r="E27" s="855"/>
      <c r="F27" s="855"/>
      <c r="H27" s="856" t="s">
        <v>1056</v>
      </c>
      <c r="I27" s="856"/>
      <c r="J27" s="856"/>
      <c r="K27" s="856"/>
      <c r="L27" s="856"/>
      <c r="O27" s="856"/>
      <c r="P27" s="1443" t="s">
        <v>912</v>
      </c>
      <c r="Q27" s="1443"/>
      <c r="R27" s="1443"/>
    </row>
    <row r="54" spans="1:2" ht="12.75">
      <c r="A54" s="857"/>
      <c r="B54" s="857"/>
    </row>
  </sheetData>
  <mergeCells count="7">
    <mergeCell ref="R7:R8"/>
    <mergeCell ref="P27:R27"/>
    <mergeCell ref="Q1:R1"/>
    <mergeCell ref="A3:R3"/>
    <mergeCell ref="B6:E6"/>
    <mergeCell ref="N6:R6"/>
    <mergeCell ref="A24:I24"/>
  </mergeCells>
  <printOptions horizontalCentered="1"/>
  <pageMargins left="0.5905511811023623" right="0.5905511811023623" top="0.984251968503937" bottom="0.7874015748031497" header="0.7086614173228347" footer="0.5118110236220472"/>
  <pageSetup fitToHeight="1" fitToWidth="1" horizontalDpi="600" verticalDpi="600" orientation="landscape" paperSize="9" scale="60" r:id="rId1"/>
  <headerFooter alignWithMargins="0">
    <oddFooter>&amp;C&amp;14 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zoomScale="85" zoomScaleNormal="85" workbookViewId="0" topLeftCell="A29">
      <selection activeCell="A43" sqref="A43"/>
    </sheetView>
  </sheetViews>
  <sheetFormatPr defaultColWidth="9.00390625" defaultRowHeight="12.75"/>
  <cols>
    <col min="1" max="1" width="33.125" style="311" customWidth="1"/>
    <col min="2" max="4" width="13.25390625" style="311" hidden="1" customWidth="1"/>
    <col min="5" max="5" width="11.75390625" style="311" hidden="1" customWidth="1"/>
    <col min="6" max="6" width="19.75390625" style="311" customWidth="1"/>
    <col min="7" max="7" width="13.25390625" style="311" customWidth="1"/>
    <col min="8" max="8" width="18.125" style="311" customWidth="1"/>
    <col min="9" max="9" width="10.875" style="311" customWidth="1"/>
    <col min="10" max="11" width="11.375" style="311" hidden="1" customWidth="1"/>
    <col min="12" max="12" width="13.75390625" style="311" customWidth="1"/>
    <col min="13" max="13" width="14.25390625" style="311" hidden="1" customWidth="1"/>
    <col min="14" max="14" width="14.00390625" style="311" hidden="1" customWidth="1"/>
    <col min="15" max="15" width="13.75390625" style="311" customWidth="1"/>
    <col min="16" max="18" width="13.375" style="311" customWidth="1"/>
    <col min="19" max="19" width="14.875" style="311" customWidth="1"/>
    <col min="20" max="22" width="12.00390625" style="311" customWidth="1"/>
    <col min="23" max="23" width="12.00390625" style="311" hidden="1" customWidth="1"/>
    <col min="24" max="24" width="11.00390625" style="311" hidden="1" customWidth="1"/>
    <col min="25" max="25" width="12.00390625" style="311" hidden="1" customWidth="1"/>
    <col min="26" max="26" width="13.875" style="311" hidden="1" customWidth="1"/>
    <col min="27" max="29" width="12.00390625" style="311" customWidth="1"/>
    <col min="30" max="30" width="12.375" style="311" customWidth="1"/>
    <col min="31" max="31" width="13.375" style="311" customWidth="1"/>
    <col min="32" max="32" width="11.75390625" style="311" hidden="1" customWidth="1"/>
    <col min="33" max="33" width="12.75390625" style="311" hidden="1" customWidth="1"/>
    <col min="34" max="34" width="11.00390625" style="311" hidden="1" customWidth="1"/>
    <col min="35" max="35" width="9.125" style="311" customWidth="1"/>
    <col min="36" max="36" width="14.75390625" style="311" hidden="1" customWidth="1"/>
    <col min="37" max="16384" width="9.125" style="311" customWidth="1"/>
  </cols>
  <sheetData>
    <row r="1" spans="1:31" s="621" customFormat="1" ht="18">
      <c r="A1" s="795" t="s">
        <v>1063</v>
      </c>
      <c r="AD1" s="1423" t="s">
        <v>568</v>
      </c>
      <c r="AE1" s="1423"/>
    </row>
    <row r="2" ht="8.25" customHeight="1"/>
    <row r="3" spans="2:33" ht="23.25" customHeight="1">
      <c r="B3" s="621"/>
      <c r="C3" s="621"/>
      <c r="P3" s="622" t="s">
        <v>486</v>
      </c>
      <c r="AB3" s="621"/>
      <c r="AG3" s="421" t="s">
        <v>487</v>
      </c>
    </row>
    <row r="4" spans="9:22" ht="12" customHeight="1">
      <c r="I4" s="623"/>
      <c r="U4" s="623"/>
      <c r="V4" s="623"/>
    </row>
    <row r="5" spans="5:33" ht="15" thickBot="1">
      <c r="E5" s="421"/>
      <c r="F5" s="421"/>
      <c r="G5" s="421"/>
      <c r="L5" s="623"/>
      <c r="AB5" s="623"/>
      <c r="AC5" s="623"/>
      <c r="AD5" s="623"/>
      <c r="AE5" s="624" t="s">
        <v>1037</v>
      </c>
      <c r="AF5" s="623"/>
      <c r="AG5" s="421" t="s">
        <v>1037</v>
      </c>
    </row>
    <row r="6" spans="1:34" ht="19.5" customHeight="1" thickBot="1" thickTop="1">
      <c r="A6" s="625"/>
      <c r="B6" s="626"/>
      <c r="C6" s="627" t="s">
        <v>488</v>
      </c>
      <c r="D6" s="628"/>
      <c r="E6" s="629"/>
      <c r="F6" s="628"/>
      <c r="G6" s="626"/>
      <c r="H6" s="630"/>
      <c r="I6" s="631"/>
      <c r="J6" s="632"/>
      <c r="K6" s="630"/>
      <c r="L6" s="633"/>
      <c r="M6" s="634"/>
      <c r="N6" s="634"/>
      <c r="O6" s="635"/>
      <c r="P6" s="631"/>
      <c r="Q6" s="627" t="s">
        <v>941</v>
      </c>
      <c r="R6" s="636"/>
      <c r="S6" s="631"/>
      <c r="T6" s="631"/>
      <c r="U6" s="637"/>
      <c r="V6" s="631"/>
      <c r="W6" s="636"/>
      <c r="X6" s="636"/>
      <c r="Y6" s="636"/>
      <c r="Z6" s="637"/>
      <c r="AA6" s="637"/>
      <c r="AB6" s="636" t="s">
        <v>941</v>
      </c>
      <c r="AC6" s="636"/>
      <c r="AD6" s="636"/>
      <c r="AE6" s="638"/>
      <c r="AF6" s="639"/>
      <c r="AG6" s="640"/>
      <c r="AH6" s="641"/>
    </row>
    <row r="7" spans="1:35" ht="19.5" customHeight="1" thickBot="1">
      <c r="A7" s="642" t="s">
        <v>489</v>
      </c>
      <c r="B7" s="643" t="s">
        <v>490</v>
      </c>
      <c r="C7" s="644" t="s">
        <v>491</v>
      </c>
      <c r="D7" s="645" t="s">
        <v>490</v>
      </c>
      <c r="E7" s="646" t="s">
        <v>941</v>
      </c>
      <c r="F7" s="647" t="s">
        <v>492</v>
      </c>
      <c r="G7" s="643" t="s">
        <v>1071</v>
      </c>
      <c r="H7" s="647" t="s">
        <v>492</v>
      </c>
      <c r="I7" s="648" t="s">
        <v>493</v>
      </c>
      <c r="J7" s="649" t="s">
        <v>941</v>
      </c>
      <c r="K7" s="647"/>
      <c r="L7" s="650" t="s">
        <v>492</v>
      </c>
      <c r="M7" s="649" t="s">
        <v>488</v>
      </c>
      <c r="N7" s="651"/>
      <c r="O7" s="643" t="s">
        <v>494</v>
      </c>
      <c r="P7" s="652" t="s">
        <v>495</v>
      </c>
      <c r="Q7" s="644" t="s">
        <v>496</v>
      </c>
      <c r="R7" s="653" t="s">
        <v>497</v>
      </c>
      <c r="S7" s="654" t="s">
        <v>498</v>
      </c>
      <c r="T7" s="643" t="s">
        <v>1071</v>
      </c>
      <c r="U7" s="647" t="s">
        <v>499</v>
      </c>
      <c r="V7" s="643" t="s">
        <v>500</v>
      </c>
      <c r="W7" s="655" t="s">
        <v>941</v>
      </c>
      <c r="X7" s="310"/>
      <c r="Y7" s="656"/>
      <c r="Z7" s="657"/>
      <c r="AA7" s="647" t="s">
        <v>497</v>
      </c>
      <c r="AB7" s="651" t="s">
        <v>501</v>
      </c>
      <c r="AC7" s="651" t="s">
        <v>502</v>
      </c>
      <c r="AD7" s="651" t="s">
        <v>501</v>
      </c>
      <c r="AE7" s="658" t="s">
        <v>497</v>
      </c>
      <c r="AF7" s="659"/>
      <c r="AG7" s="660"/>
      <c r="AH7" s="661"/>
      <c r="AI7" s="662"/>
    </row>
    <row r="8" spans="1:34" ht="21" customHeight="1" thickBot="1">
      <c r="A8" s="663"/>
      <c r="B8" s="643" t="s">
        <v>857</v>
      </c>
      <c r="C8" s="664" t="s">
        <v>503</v>
      </c>
      <c r="D8" s="664" t="s">
        <v>504</v>
      </c>
      <c r="E8" s="665" t="s">
        <v>505</v>
      </c>
      <c r="F8" s="647" t="s">
        <v>857</v>
      </c>
      <c r="G8" s="643" t="s">
        <v>1075</v>
      </c>
      <c r="H8" s="647" t="s">
        <v>857</v>
      </c>
      <c r="I8" s="648" t="s">
        <v>506</v>
      </c>
      <c r="J8" s="666" t="s">
        <v>507</v>
      </c>
      <c r="K8" s="552" t="s">
        <v>508</v>
      </c>
      <c r="L8" s="643" t="s">
        <v>509</v>
      </c>
      <c r="M8" s="666" t="s">
        <v>507</v>
      </c>
      <c r="N8" s="552" t="s">
        <v>510</v>
      </c>
      <c r="O8" s="643" t="s">
        <v>857</v>
      </c>
      <c r="P8" s="648" t="s">
        <v>511</v>
      </c>
      <c r="Q8" s="643" t="s">
        <v>512</v>
      </c>
      <c r="R8" s="667" t="s">
        <v>513</v>
      </c>
      <c r="S8" s="654" t="s">
        <v>514</v>
      </c>
      <c r="T8" s="643" t="s">
        <v>1067</v>
      </c>
      <c r="U8" s="668"/>
      <c r="V8" s="643" t="s">
        <v>515</v>
      </c>
      <c r="W8" s="644" t="s">
        <v>497</v>
      </c>
      <c r="X8" s="659" t="s">
        <v>488</v>
      </c>
      <c r="Y8" s="651" t="s">
        <v>516</v>
      </c>
      <c r="Z8" s="647" t="s">
        <v>517</v>
      </c>
      <c r="AA8" s="647" t="s">
        <v>518</v>
      </c>
      <c r="AB8" s="647" t="s">
        <v>519</v>
      </c>
      <c r="AC8" s="668" t="s">
        <v>520</v>
      </c>
      <c r="AD8" s="647" t="s">
        <v>521</v>
      </c>
      <c r="AE8" s="669" t="s">
        <v>522</v>
      </c>
      <c r="AF8" s="648" t="s">
        <v>523</v>
      </c>
      <c r="AG8" s="670" t="s">
        <v>497</v>
      </c>
      <c r="AH8" s="671" t="s">
        <v>524</v>
      </c>
    </row>
    <row r="9" spans="1:37" ht="19.5" customHeight="1" thickBot="1">
      <c r="A9" s="672"/>
      <c r="B9" s="673"/>
      <c r="C9" s="674" t="s">
        <v>525</v>
      </c>
      <c r="D9" s="673"/>
      <c r="E9" s="675" t="s">
        <v>526</v>
      </c>
      <c r="F9" s="676" t="s">
        <v>527</v>
      </c>
      <c r="G9" s="320"/>
      <c r="H9" s="676" t="s">
        <v>528</v>
      </c>
      <c r="I9" s="677"/>
      <c r="J9" s="678" t="s">
        <v>529</v>
      </c>
      <c r="K9" s="679" t="s">
        <v>529</v>
      </c>
      <c r="L9" s="674" t="s">
        <v>530</v>
      </c>
      <c r="M9" s="678" t="s">
        <v>529</v>
      </c>
      <c r="N9" s="679" t="s">
        <v>531</v>
      </c>
      <c r="O9" s="680"/>
      <c r="P9" s="677" t="s">
        <v>857</v>
      </c>
      <c r="Q9" s="674"/>
      <c r="R9" s="656" t="s">
        <v>532</v>
      </c>
      <c r="S9" s="674" t="s">
        <v>533</v>
      </c>
      <c r="T9" s="681"/>
      <c r="U9" s="657"/>
      <c r="V9" s="674"/>
      <c r="W9" s="674" t="s">
        <v>534</v>
      </c>
      <c r="X9" s="682" t="s">
        <v>535</v>
      </c>
      <c r="Y9" s="683" t="s">
        <v>536</v>
      </c>
      <c r="Z9" s="683" t="s">
        <v>537</v>
      </c>
      <c r="AA9" s="683" t="s">
        <v>529</v>
      </c>
      <c r="AB9" s="683" t="s">
        <v>538</v>
      </c>
      <c r="AC9" s="657" t="s">
        <v>539</v>
      </c>
      <c r="AD9" s="683" t="s">
        <v>540</v>
      </c>
      <c r="AE9" s="684" t="s">
        <v>529</v>
      </c>
      <c r="AF9" s="656" t="s">
        <v>541</v>
      </c>
      <c r="AG9" s="685" t="s">
        <v>542</v>
      </c>
      <c r="AH9" s="686" t="s">
        <v>512</v>
      </c>
      <c r="AI9" s="687"/>
      <c r="AJ9" s="688"/>
      <c r="AK9" s="687"/>
    </row>
    <row r="10" spans="1:37" ht="19.5" customHeight="1" hidden="1">
      <c r="A10" s="689" t="s">
        <v>1137</v>
      </c>
      <c r="B10" s="690">
        <f aca="true" t="shared" si="0" ref="B10:B18">C10+D10</f>
        <v>4895226</v>
      </c>
      <c r="C10" s="690">
        <v>115099</v>
      </c>
      <c r="D10" s="690">
        <v>4780127</v>
      </c>
      <c r="E10" s="691">
        <v>3936574</v>
      </c>
      <c r="F10" s="692">
        <f>G10+H10</f>
        <v>34088528.067389995</v>
      </c>
      <c r="G10" s="693">
        <v>241804.7559</v>
      </c>
      <c r="H10" s="694">
        <f>I10+L10+O10-517.09</f>
        <v>33846723.31148999</v>
      </c>
      <c r="I10" s="692">
        <f>J10+K10</f>
        <v>27528.730000000003</v>
      </c>
      <c r="J10" s="690">
        <v>17336.824</v>
      </c>
      <c r="K10" s="690">
        <v>10191.906</v>
      </c>
      <c r="L10" s="690">
        <f aca="true" t="shared" si="1" ref="L10:L18">M10+N10</f>
        <v>2746908.10249</v>
      </c>
      <c r="M10" s="690">
        <f>1591009.014-17336.824-112171.396</f>
        <v>1461500.794</v>
      </c>
      <c r="N10" s="694">
        <f>1309361.3-27362.881-84.392+17388-14321.11851+426.4</f>
        <v>1285407.30849</v>
      </c>
      <c r="O10" s="690">
        <f aca="true" t="shared" si="2" ref="O10:O21">P10+S10+T10+U10+V10+AA10</f>
        <v>31072803.569</v>
      </c>
      <c r="P10" s="695">
        <f aca="true" t="shared" si="3" ref="P10:P18">Q10+R10</f>
        <v>19633471.017</v>
      </c>
      <c r="Q10" s="694">
        <v>19237971.906</v>
      </c>
      <c r="R10" s="694">
        <v>395499.111</v>
      </c>
      <c r="S10" s="690">
        <v>6751251.795</v>
      </c>
      <c r="T10" s="690">
        <v>384760</v>
      </c>
      <c r="U10" s="690"/>
      <c r="V10" s="690">
        <v>662388.353</v>
      </c>
      <c r="W10" s="690">
        <v>170020</v>
      </c>
      <c r="X10" s="696">
        <v>165020</v>
      </c>
      <c r="Y10" s="690">
        <v>84200</v>
      </c>
      <c r="Z10" s="692"/>
      <c r="AA10" s="696">
        <f aca="true" t="shared" si="4" ref="AA10:AA20">AB10+AC10+AD10+AE10</f>
        <v>3640932.404</v>
      </c>
      <c r="AB10" s="690"/>
      <c r="AC10" s="690"/>
      <c r="AD10" s="696"/>
      <c r="AE10" s="691">
        <f>4086290.7-K10+5895+517.09-T10-3716.422-51519.964-1582.094</f>
        <v>3640932.404</v>
      </c>
      <c r="AF10" s="697">
        <v>1047305</v>
      </c>
      <c r="AG10" s="691">
        <f>2060552-34</f>
        <v>2060518</v>
      </c>
      <c r="AH10" s="661"/>
      <c r="AI10" s="336"/>
      <c r="AJ10" s="336"/>
      <c r="AK10" s="336"/>
    </row>
    <row r="11" spans="1:37" ht="19.5" customHeight="1" hidden="1">
      <c r="A11" s="698" t="s">
        <v>543</v>
      </c>
      <c r="B11" s="699">
        <f t="shared" si="0"/>
        <v>0</v>
      </c>
      <c r="C11" s="699"/>
      <c r="D11" s="699">
        <v>0</v>
      </c>
      <c r="E11" s="700">
        <v>0</v>
      </c>
      <c r="F11" s="701"/>
      <c r="G11" s="702"/>
      <c r="H11" s="703">
        <f aca="true" t="shared" si="5" ref="H11:H20">I11+L11+O11</f>
        <v>0</v>
      </c>
      <c r="I11" s="704">
        <f aca="true" t="shared" si="6" ref="I11:I18">J11+K11</f>
        <v>0</v>
      </c>
      <c r="J11" s="699"/>
      <c r="K11" s="699"/>
      <c r="L11" s="699">
        <f t="shared" si="1"/>
        <v>0</v>
      </c>
      <c r="M11" s="699"/>
      <c r="N11" s="703"/>
      <c r="O11" s="377">
        <f t="shared" si="2"/>
        <v>0</v>
      </c>
      <c r="P11" s="376">
        <f t="shared" si="3"/>
        <v>0</v>
      </c>
      <c r="Q11" s="371">
        <v>0</v>
      </c>
      <c r="R11" s="371">
        <v>0</v>
      </c>
      <c r="S11" s="705">
        <v>0</v>
      </c>
      <c r="T11" s="377">
        <v>0</v>
      </c>
      <c r="U11" s="377"/>
      <c r="V11" s="377">
        <f aca="true" t="shared" si="7" ref="V11:V20">W11+Y11</f>
        <v>0</v>
      </c>
      <c r="W11" s="377"/>
      <c r="X11" s="370"/>
      <c r="Y11" s="377"/>
      <c r="Z11" s="373"/>
      <c r="AA11" s="370">
        <f t="shared" si="4"/>
        <v>0</v>
      </c>
      <c r="AB11" s="377"/>
      <c r="AC11" s="377"/>
      <c r="AD11" s="370"/>
      <c r="AE11" s="706">
        <f aca="true" t="shared" si="8" ref="AE11:AE20">AF11+AG11</f>
        <v>0</v>
      </c>
      <c r="AF11" s="372"/>
      <c r="AG11" s="706"/>
      <c r="AH11" s="661"/>
      <c r="AI11" s="336"/>
      <c r="AJ11" s="336"/>
      <c r="AK11" s="336"/>
    </row>
    <row r="12" spans="1:37" ht="19.5" customHeight="1" hidden="1">
      <c r="A12" s="698" t="s">
        <v>544</v>
      </c>
      <c r="B12" s="699">
        <f t="shared" si="0"/>
        <v>0</v>
      </c>
      <c r="C12" s="699"/>
      <c r="D12" s="707">
        <v>0</v>
      </c>
      <c r="E12" s="700">
        <v>0</v>
      </c>
      <c r="F12" s="701"/>
      <c r="G12" s="702"/>
      <c r="H12" s="703">
        <f t="shared" si="5"/>
        <v>0</v>
      </c>
      <c r="I12" s="704">
        <f t="shared" si="6"/>
        <v>0</v>
      </c>
      <c r="J12" s="699"/>
      <c r="K12" s="699"/>
      <c r="L12" s="699">
        <f t="shared" si="1"/>
        <v>0</v>
      </c>
      <c r="M12" s="699"/>
      <c r="N12" s="703"/>
      <c r="O12" s="377">
        <f t="shared" si="2"/>
        <v>0</v>
      </c>
      <c r="P12" s="376">
        <f t="shared" si="3"/>
        <v>0</v>
      </c>
      <c r="Q12" s="371">
        <v>0</v>
      </c>
      <c r="R12" s="371">
        <v>0</v>
      </c>
      <c r="S12" s="377">
        <v>0</v>
      </c>
      <c r="T12" s="377">
        <v>0</v>
      </c>
      <c r="U12" s="377"/>
      <c r="V12" s="377">
        <f t="shared" si="7"/>
        <v>0</v>
      </c>
      <c r="W12" s="377"/>
      <c r="X12" s="370"/>
      <c r="Y12" s="377"/>
      <c r="Z12" s="373"/>
      <c r="AA12" s="370">
        <f t="shared" si="4"/>
        <v>0</v>
      </c>
      <c r="AB12" s="377"/>
      <c r="AC12" s="377"/>
      <c r="AD12" s="370"/>
      <c r="AE12" s="706">
        <f t="shared" si="8"/>
        <v>0</v>
      </c>
      <c r="AF12" s="372"/>
      <c r="AG12" s="706"/>
      <c r="AH12" s="661"/>
      <c r="AI12" s="336"/>
      <c r="AJ12" s="336"/>
      <c r="AK12" s="336"/>
    </row>
    <row r="13" spans="1:37" ht="19.5" customHeight="1" hidden="1">
      <c r="A13" s="698" t="s">
        <v>545</v>
      </c>
      <c r="B13" s="699">
        <f t="shared" si="0"/>
        <v>0</v>
      </c>
      <c r="C13" s="699"/>
      <c r="D13" s="699">
        <v>0</v>
      </c>
      <c r="E13" s="700">
        <v>0</v>
      </c>
      <c r="F13" s="701"/>
      <c r="G13" s="702"/>
      <c r="H13" s="703">
        <f t="shared" si="5"/>
        <v>0</v>
      </c>
      <c r="I13" s="704">
        <f t="shared" si="6"/>
        <v>0</v>
      </c>
      <c r="J13" s="699"/>
      <c r="K13" s="699"/>
      <c r="L13" s="699">
        <f t="shared" si="1"/>
        <v>0</v>
      </c>
      <c r="M13" s="699"/>
      <c r="N13" s="703"/>
      <c r="O13" s="377">
        <f t="shared" si="2"/>
        <v>0</v>
      </c>
      <c r="P13" s="376">
        <f t="shared" si="3"/>
        <v>0</v>
      </c>
      <c r="Q13" s="371">
        <v>0</v>
      </c>
      <c r="R13" s="371">
        <v>0</v>
      </c>
      <c r="S13" s="377">
        <v>0</v>
      </c>
      <c r="T13" s="377">
        <v>0</v>
      </c>
      <c r="U13" s="377"/>
      <c r="V13" s="377">
        <f t="shared" si="7"/>
        <v>0</v>
      </c>
      <c r="W13" s="377"/>
      <c r="X13" s="370"/>
      <c r="Y13" s="377"/>
      <c r="Z13" s="373"/>
      <c r="AA13" s="370">
        <f t="shared" si="4"/>
        <v>0</v>
      </c>
      <c r="AB13" s="377"/>
      <c r="AC13" s="377"/>
      <c r="AD13" s="370"/>
      <c r="AE13" s="706">
        <f t="shared" si="8"/>
        <v>0</v>
      </c>
      <c r="AF13" s="372"/>
      <c r="AG13" s="706"/>
      <c r="AH13" s="661"/>
      <c r="AI13" s="336"/>
      <c r="AJ13" s="336"/>
      <c r="AK13" s="336"/>
    </row>
    <row r="14" spans="1:37" ht="19.5" customHeight="1" hidden="1">
      <c r="A14" s="698" t="s">
        <v>546</v>
      </c>
      <c r="B14" s="699">
        <f t="shared" si="0"/>
        <v>0</v>
      </c>
      <c r="C14" s="699"/>
      <c r="D14" s="699">
        <v>0</v>
      </c>
      <c r="E14" s="700">
        <v>0</v>
      </c>
      <c r="F14" s="701"/>
      <c r="G14" s="702"/>
      <c r="H14" s="703">
        <f t="shared" si="5"/>
        <v>0</v>
      </c>
      <c r="I14" s="704">
        <f t="shared" si="6"/>
        <v>0</v>
      </c>
      <c r="J14" s="699"/>
      <c r="K14" s="699"/>
      <c r="L14" s="699">
        <f t="shared" si="1"/>
        <v>0</v>
      </c>
      <c r="M14" s="699"/>
      <c r="N14" s="703"/>
      <c r="O14" s="377">
        <f t="shared" si="2"/>
        <v>0</v>
      </c>
      <c r="P14" s="376">
        <f t="shared" si="3"/>
        <v>0</v>
      </c>
      <c r="Q14" s="371">
        <v>0</v>
      </c>
      <c r="R14" s="371">
        <v>0</v>
      </c>
      <c r="S14" s="377">
        <v>0</v>
      </c>
      <c r="T14" s="377">
        <v>0</v>
      </c>
      <c r="U14" s="377"/>
      <c r="V14" s="377">
        <f t="shared" si="7"/>
        <v>0</v>
      </c>
      <c r="W14" s="377"/>
      <c r="X14" s="370"/>
      <c r="Y14" s="377"/>
      <c r="Z14" s="373"/>
      <c r="AA14" s="370">
        <f t="shared" si="4"/>
        <v>0</v>
      </c>
      <c r="AB14" s="377"/>
      <c r="AC14" s="377"/>
      <c r="AD14" s="370"/>
      <c r="AE14" s="706">
        <f t="shared" si="8"/>
        <v>0</v>
      </c>
      <c r="AF14" s="372"/>
      <c r="AG14" s="706"/>
      <c r="AH14" s="661"/>
      <c r="AI14" s="336"/>
      <c r="AJ14" s="336"/>
      <c r="AK14" s="336"/>
    </row>
    <row r="15" spans="1:37" ht="19.5" customHeight="1" hidden="1">
      <c r="A15" s="698" t="s">
        <v>547</v>
      </c>
      <c r="B15" s="699">
        <f t="shared" si="0"/>
        <v>0</v>
      </c>
      <c r="C15" s="699"/>
      <c r="D15" s="699">
        <v>0</v>
      </c>
      <c r="E15" s="700">
        <v>0</v>
      </c>
      <c r="F15" s="701"/>
      <c r="G15" s="702"/>
      <c r="H15" s="703">
        <f t="shared" si="5"/>
        <v>0</v>
      </c>
      <c r="I15" s="704">
        <f t="shared" si="6"/>
        <v>0</v>
      </c>
      <c r="J15" s="699"/>
      <c r="K15" s="699"/>
      <c r="L15" s="699">
        <f t="shared" si="1"/>
        <v>0</v>
      </c>
      <c r="M15" s="699"/>
      <c r="N15" s="703"/>
      <c r="O15" s="377">
        <f t="shared" si="2"/>
        <v>0</v>
      </c>
      <c r="P15" s="376">
        <f t="shared" si="3"/>
        <v>0</v>
      </c>
      <c r="Q15" s="371">
        <v>0</v>
      </c>
      <c r="R15" s="371">
        <v>0</v>
      </c>
      <c r="S15" s="377">
        <v>0</v>
      </c>
      <c r="T15" s="377">
        <v>0</v>
      </c>
      <c r="U15" s="377"/>
      <c r="V15" s="377">
        <f t="shared" si="7"/>
        <v>0</v>
      </c>
      <c r="W15" s="377"/>
      <c r="X15" s="370"/>
      <c r="Y15" s="377"/>
      <c r="Z15" s="373"/>
      <c r="AA15" s="370">
        <f t="shared" si="4"/>
        <v>0</v>
      </c>
      <c r="AB15" s="377"/>
      <c r="AC15" s="377"/>
      <c r="AD15" s="370"/>
      <c r="AE15" s="706">
        <f t="shared" si="8"/>
        <v>0</v>
      </c>
      <c r="AF15" s="372"/>
      <c r="AG15" s="706"/>
      <c r="AH15" s="661"/>
      <c r="AI15" s="336"/>
      <c r="AJ15" s="336"/>
      <c r="AK15" s="336"/>
    </row>
    <row r="16" spans="1:37" ht="19.5" customHeight="1" hidden="1">
      <c r="A16" s="698" t="s">
        <v>548</v>
      </c>
      <c r="B16" s="699">
        <f t="shared" si="0"/>
        <v>0</v>
      </c>
      <c r="C16" s="699"/>
      <c r="D16" s="699">
        <v>0</v>
      </c>
      <c r="E16" s="700">
        <v>0</v>
      </c>
      <c r="F16" s="701"/>
      <c r="G16" s="702"/>
      <c r="H16" s="703">
        <f t="shared" si="5"/>
        <v>0</v>
      </c>
      <c r="I16" s="704">
        <f t="shared" si="6"/>
        <v>0</v>
      </c>
      <c r="J16" s="699"/>
      <c r="K16" s="699"/>
      <c r="L16" s="699">
        <f t="shared" si="1"/>
        <v>0</v>
      </c>
      <c r="M16" s="699"/>
      <c r="N16" s="703"/>
      <c r="O16" s="377">
        <f t="shared" si="2"/>
        <v>0</v>
      </c>
      <c r="P16" s="376">
        <f t="shared" si="3"/>
        <v>0</v>
      </c>
      <c r="Q16" s="371">
        <v>0</v>
      </c>
      <c r="R16" s="371">
        <v>0</v>
      </c>
      <c r="S16" s="377">
        <v>0</v>
      </c>
      <c r="T16" s="377">
        <v>0</v>
      </c>
      <c r="U16" s="377"/>
      <c r="V16" s="377">
        <f t="shared" si="7"/>
        <v>0</v>
      </c>
      <c r="W16" s="377"/>
      <c r="X16" s="370"/>
      <c r="Y16" s="377"/>
      <c r="Z16" s="373"/>
      <c r="AA16" s="370">
        <f t="shared" si="4"/>
        <v>0</v>
      </c>
      <c r="AB16" s="377"/>
      <c r="AC16" s="377"/>
      <c r="AD16" s="370"/>
      <c r="AE16" s="706">
        <f t="shared" si="8"/>
        <v>0</v>
      </c>
      <c r="AF16" s="372"/>
      <c r="AG16" s="706"/>
      <c r="AH16" s="661"/>
      <c r="AI16" s="336"/>
      <c r="AJ16" s="336"/>
      <c r="AK16" s="336"/>
    </row>
    <row r="17" spans="1:37" ht="19.5" customHeight="1" hidden="1">
      <c r="A17" s="698" t="s">
        <v>549</v>
      </c>
      <c r="B17" s="699">
        <f t="shared" si="0"/>
        <v>0</v>
      </c>
      <c r="C17" s="699"/>
      <c r="D17" s="699">
        <v>0</v>
      </c>
      <c r="E17" s="700">
        <v>0</v>
      </c>
      <c r="F17" s="701"/>
      <c r="G17" s="702"/>
      <c r="H17" s="703">
        <f t="shared" si="5"/>
        <v>0</v>
      </c>
      <c r="I17" s="704">
        <f t="shared" si="6"/>
        <v>0</v>
      </c>
      <c r="J17" s="699"/>
      <c r="K17" s="699"/>
      <c r="L17" s="699">
        <f t="shared" si="1"/>
        <v>0</v>
      </c>
      <c r="M17" s="699"/>
      <c r="N17" s="703"/>
      <c r="O17" s="377">
        <f t="shared" si="2"/>
        <v>0</v>
      </c>
      <c r="P17" s="376">
        <f t="shared" si="3"/>
        <v>0</v>
      </c>
      <c r="Q17" s="371">
        <v>0</v>
      </c>
      <c r="R17" s="371">
        <v>0</v>
      </c>
      <c r="S17" s="377">
        <v>0</v>
      </c>
      <c r="T17" s="377">
        <v>0</v>
      </c>
      <c r="U17" s="377"/>
      <c r="V17" s="377">
        <f t="shared" si="7"/>
        <v>0</v>
      </c>
      <c r="W17" s="377"/>
      <c r="X17" s="370"/>
      <c r="Y17" s="377"/>
      <c r="Z17" s="373"/>
      <c r="AA17" s="370">
        <f t="shared" si="4"/>
        <v>0</v>
      </c>
      <c r="AB17" s="377"/>
      <c r="AC17" s="377"/>
      <c r="AD17" s="370"/>
      <c r="AE17" s="706">
        <f t="shared" si="8"/>
        <v>0</v>
      </c>
      <c r="AF17" s="372"/>
      <c r="AG17" s="706"/>
      <c r="AH17" s="661"/>
      <c r="AI17" s="336"/>
      <c r="AJ17" s="336"/>
      <c r="AK17" s="336"/>
    </row>
    <row r="18" spans="1:37" ht="19.5" customHeight="1" hidden="1">
      <c r="A18" s="698" t="s">
        <v>550</v>
      </c>
      <c r="B18" s="699">
        <f t="shared" si="0"/>
        <v>0</v>
      </c>
      <c r="C18" s="699"/>
      <c r="D18" s="699">
        <v>0</v>
      </c>
      <c r="E18" s="700">
        <v>0</v>
      </c>
      <c r="F18" s="701"/>
      <c r="G18" s="702"/>
      <c r="H18" s="703">
        <f t="shared" si="5"/>
        <v>0</v>
      </c>
      <c r="I18" s="704">
        <f t="shared" si="6"/>
        <v>0</v>
      </c>
      <c r="J18" s="699"/>
      <c r="K18" s="699"/>
      <c r="L18" s="699">
        <f t="shared" si="1"/>
        <v>0</v>
      </c>
      <c r="M18" s="699"/>
      <c r="N18" s="703"/>
      <c r="O18" s="377">
        <f t="shared" si="2"/>
        <v>0</v>
      </c>
      <c r="P18" s="376">
        <f t="shared" si="3"/>
        <v>0</v>
      </c>
      <c r="Q18" s="371">
        <v>0</v>
      </c>
      <c r="R18" s="371">
        <v>0</v>
      </c>
      <c r="S18" s="377">
        <v>0</v>
      </c>
      <c r="T18" s="377">
        <v>0</v>
      </c>
      <c r="U18" s="377"/>
      <c r="V18" s="377">
        <f t="shared" si="7"/>
        <v>0</v>
      </c>
      <c r="W18" s="377"/>
      <c r="X18" s="370"/>
      <c r="Y18" s="377"/>
      <c r="Z18" s="373"/>
      <c r="AA18" s="370">
        <f t="shared" si="4"/>
        <v>0</v>
      </c>
      <c r="AB18" s="377"/>
      <c r="AC18" s="377"/>
      <c r="AD18" s="370"/>
      <c r="AE18" s="706">
        <f t="shared" si="8"/>
        <v>0</v>
      </c>
      <c r="AF18" s="372"/>
      <c r="AG18" s="706"/>
      <c r="AH18" s="661"/>
      <c r="AI18" s="336"/>
      <c r="AJ18" s="336"/>
      <c r="AK18" s="336"/>
    </row>
    <row r="19" spans="1:37" ht="19.5" customHeight="1" hidden="1">
      <c r="A19" s="698" t="s">
        <v>551</v>
      </c>
      <c r="B19" s="699">
        <f>C19+D19</f>
        <v>0</v>
      </c>
      <c r="C19" s="699">
        <v>0</v>
      </c>
      <c r="D19" s="699">
        <v>0</v>
      </c>
      <c r="E19" s="700">
        <v>0</v>
      </c>
      <c r="F19" s="701"/>
      <c r="G19" s="702"/>
      <c r="H19" s="703">
        <f t="shared" si="5"/>
        <v>0</v>
      </c>
      <c r="I19" s="704">
        <f>J19+K19</f>
        <v>0</v>
      </c>
      <c r="J19" s="699"/>
      <c r="K19" s="699"/>
      <c r="L19" s="699">
        <f>M19+N19</f>
        <v>0</v>
      </c>
      <c r="M19" s="699"/>
      <c r="N19" s="703"/>
      <c r="O19" s="377">
        <f t="shared" si="2"/>
        <v>0</v>
      </c>
      <c r="P19" s="376">
        <f>Q19+R19</f>
        <v>0</v>
      </c>
      <c r="Q19" s="371">
        <v>0</v>
      </c>
      <c r="R19" s="373">
        <v>0</v>
      </c>
      <c r="S19" s="377">
        <v>0</v>
      </c>
      <c r="T19" s="377">
        <v>0</v>
      </c>
      <c r="U19" s="377"/>
      <c r="V19" s="377">
        <f t="shared" si="7"/>
        <v>0</v>
      </c>
      <c r="W19" s="377">
        <v>0</v>
      </c>
      <c r="X19" s="374">
        <v>0</v>
      </c>
      <c r="Y19" s="377">
        <v>0</v>
      </c>
      <c r="Z19" s="373"/>
      <c r="AA19" s="374">
        <f t="shared" si="4"/>
        <v>0</v>
      </c>
      <c r="AB19" s="377"/>
      <c r="AC19" s="377"/>
      <c r="AD19" s="370"/>
      <c r="AE19" s="706">
        <f t="shared" si="8"/>
        <v>0</v>
      </c>
      <c r="AF19" s="372">
        <v>0</v>
      </c>
      <c r="AG19" s="706">
        <v>0</v>
      </c>
      <c r="AH19" s="661"/>
      <c r="AI19" s="336"/>
      <c r="AJ19" s="336"/>
      <c r="AK19" s="336"/>
    </row>
    <row r="20" spans="1:37" ht="19.5" customHeight="1" hidden="1">
      <c r="A20" s="708" t="s">
        <v>552</v>
      </c>
      <c r="B20" s="380"/>
      <c r="C20" s="380"/>
      <c r="D20" s="380"/>
      <c r="E20" s="709"/>
      <c r="F20" s="367"/>
      <c r="G20" s="710"/>
      <c r="H20" s="358">
        <f t="shared" si="5"/>
        <v>0</v>
      </c>
      <c r="I20" s="365"/>
      <c r="J20" s="380"/>
      <c r="K20" s="380"/>
      <c r="L20" s="380"/>
      <c r="M20" s="380"/>
      <c r="N20" s="358"/>
      <c r="O20" s="377">
        <f t="shared" si="2"/>
        <v>0</v>
      </c>
      <c r="P20" s="358"/>
      <c r="Q20" s="358"/>
      <c r="R20" s="365"/>
      <c r="S20" s="380"/>
      <c r="T20" s="380"/>
      <c r="U20" s="380"/>
      <c r="V20" s="380">
        <f t="shared" si="7"/>
        <v>0</v>
      </c>
      <c r="W20" s="380"/>
      <c r="X20" s="365"/>
      <c r="Y20" s="380"/>
      <c r="Z20" s="365"/>
      <c r="AA20" s="374">
        <f t="shared" si="4"/>
        <v>0</v>
      </c>
      <c r="AB20" s="380"/>
      <c r="AC20" s="358"/>
      <c r="AD20" s="365">
        <f>15676-15676</f>
        <v>0</v>
      </c>
      <c r="AE20" s="709">
        <f t="shared" si="8"/>
        <v>0</v>
      </c>
      <c r="AF20" s="365"/>
      <c r="AG20" s="709">
        <f>183000-2700-40000-21500-13000-17000-18000-18700-24600-27500</f>
        <v>0</v>
      </c>
      <c r="AH20" s="661"/>
      <c r="AI20" s="336"/>
      <c r="AJ20" s="336"/>
      <c r="AK20" s="336"/>
    </row>
    <row r="21" spans="1:37" ht="21" customHeight="1" hidden="1" thickBot="1">
      <c r="A21" s="711" t="s">
        <v>1216</v>
      </c>
      <c r="B21" s="712">
        <f>SUM(C21:D21)</f>
        <v>4895226</v>
      </c>
      <c r="C21" s="712">
        <f aca="true" t="shared" si="9" ref="C21:N21">SUM(C10:C20)</f>
        <v>115099</v>
      </c>
      <c r="D21" s="712">
        <f t="shared" si="9"/>
        <v>4780127</v>
      </c>
      <c r="E21" s="713">
        <f t="shared" si="9"/>
        <v>3936574</v>
      </c>
      <c r="F21" s="712">
        <f t="shared" si="9"/>
        <v>34088528.067389995</v>
      </c>
      <c r="G21" s="712">
        <f t="shared" si="9"/>
        <v>241804.7559</v>
      </c>
      <c r="H21" s="714">
        <f t="shared" si="9"/>
        <v>33846723.31148999</v>
      </c>
      <c r="I21" s="712">
        <f>SUM(I10:I20)</f>
        <v>27528.730000000003</v>
      </c>
      <c r="J21" s="712">
        <f t="shared" si="9"/>
        <v>17336.824</v>
      </c>
      <c r="K21" s="712">
        <f t="shared" si="9"/>
        <v>10191.906</v>
      </c>
      <c r="L21" s="712">
        <f>SUM(L10:L20)+1</f>
        <v>2746909.10249</v>
      </c>
      <c r="M21" s="712">
        <f t="shared" si="9"/>
        <v>1461500.794</v>
      </c>
      <c r="N21" s="712">
        <f t="shared" si="9"/>
        <v>1285407.30849</v>
      </c>
      <c r="O21" s="714">
        <f t="shared" si="2"/>
        <v>31072803.569</v>
      </c>
      <c r="P21" s="712">
        <f>SUM(Q21:R21)</f>
        <v>19633471.017</v>
      </c>
      <c r="Q21" s="712">
        <f aca="true" t="shared" si="10" ref="Q21:AE21">SUM(Q10:Q20)</f>
        <v>19237971.906</v>
      </c>
      <c r="R21" s="712">
        <f t="shared" si="10"/>
        <v>395499.111</v>
      </c>
      <c r="S21" s="712">
        <f t="shared" si="10"/>
        <v>6751251.795</v>
      </c>
      <c r="T21" s="712">
        <f t="shared" si="10"/>
        <v>384760</v>
      </c>
      <c r="U21" s="712">
        <f t="shared" si="10"/>
        <v>0</v>
      </c>
      <c r="V21" s="712">
        <f t="shared" si="10"/>
        <v>662388.353</v>
      </c>
      <c r="W21" s="712">
        <f t="shared" si="10"/>
        <v>170020</v>
      </c>
      <c r="X21" s="712">
        <f>SUM(X10:X20)</f>
        <v>165020</v>
      </c>
      <c r="Y21" s="712">
        <f t="shared" si="10"/>
        <v>84200</v>
      </c>
      <c r="Z21" s="712">
        <f t="shared" si="10"/>
        <v>0</v>
      </c>
      <c r="AA21" s="715">
        <f t="shared" si="10"/>
        <v>3640932.404</v>
      </c>
      <c r="AB21" s="712">
        <f t="shared" si="10"/>
        <v>0</v>
      </c>
      <c r="AC21" s="716">
        <f t="shared" si="10"/>
        <v>0</v>
      </c>
      <c r="AD21" s="712">
        <f t="shared" si="10"/>
        <v>0</v>
      </c>
      <c r="AE21" s="713">
        <f t="shared" si="10"/>
        <v>3640932.404</v>
      </c>
      <c r="AF21" s="715">
        <f>SUM(AF10:AF20)</f>
        <v>1047305</v>
      </c>
      <c r="AG21" s="713">
        <f>SUM(AG10:AG20)</f>
        <v>2060518</v>
      </c>
      <c r="AH21" s="717">
        <f>46159+11488</f>
        <v>57647</v>
      </c>
      <c r="AI21" s="718"/>
      <c r="AJ21" s="718"/>
      <c r="AK21" s="718"/>
    </row>
    <row r="22" spans="1:37" ht="21" customHeight="1" hidden="1" thickBot="1">
      <c r="A22" s="719" t="s">
        <v>866</v>
      </c>
      <c r="B22" s="377">
        <f>C22+D22</f>
        <v>38485</v>
      </c>
      <c r="C22" s="377">
        <v>38485</v>
      </c>
      <c r="D22" s="377">
        <v>0</v>
      </c>
      <c r="E22" s="706"/>
      <c r="F22" s="373">
        <f>G22+H22</f>
        <v>709557.2</v>
      </c>
      <c r="G22" s="377">
        <v>51.218</v>
      </c>
      <c r="H22" s="720">
        <f>I22+L22+O22</f>
        <v>709505.982</v>
      </c>
      <c r="I22" s="373">
        <f>J22+K22</f>
        <v>0</v>
      </c>
      <c r="J22" s="377"/>
      <c r="K22" s="377"/>
      <c r="L22" s="377">
        <f>M22+N22</f>
        <v>0</v>
      </c>
      <c r="M22" s="377"/>
      <c r="N22" s="371"/>
      <c r="O22" s="721">
        <f>P22+S22+T22+U22+V22+AA22</f>
        <v>709505.982</v>
      </c>
      <c r="P22" s="373">
        <f>Q22+R22</f>
        <v>0</v>
      </c>
      <c r="Q22" s="377"/>
      <c r="R22" s="373"/>
      <c r="S22" s="377"/>
      <c r="T22" s="377">
        <v>0</v>
      </c>
      <c r="U22" s="377"/>
      <c r="V22" s="377">
        <v>4905.782</v>
      </c>
      <c r="W22" s="377">
        <v>2335</v>
      </c>
      <c r="X22" s="373">
        <v>2335</v>
      </c>
      <c r="Y22" s="377">
        <v>965</v>
      </c>
      <c r="Z22" s="377">
        <v>0</v>
      </c>
      <c r="AA22" s="373">
        <f>AB22+AC22+AD22+AE22</f>
        <v>704600.2</v>
      </c>
      <c r="AB22" s="377">
        <v>0</v>
      </c>
      <c r="AC22" s="377">
        <v>0</v>
      </c>
      <c r="AD22" s="377">
        <v>0</v>
      </c>
      <c r="AE22" s="706">
        <f>704600.2</f>
        <v>704600.2</v>
      </c>
      <c r="AF22" s="373">
        <v>0</v>
      </c>
      <c r="AG22" s="706">
        <f>406277+32207</f>
        <v>438484</v>
      </c>
      <c r="AH22" s="722"/>
      <c r="AI22" s="336"/>
      <c r="AJ22" s="336"/>
      <c r="AK22" s="336"/>
    </row>
    <row r="23" spans="1:37" s="662" customFormat="1" ht="21" customHeight="1" thickBot="1">
      <c r="A23" s="711" t="s">
        <v>1216</v>
      </c>
      <c r="B23" s="714">
        <f aca="true" t="shared" si="11" ref="B23:AH23">B21+B22</f>
        <v>4933711</v>
      </c>
      <c r="C23" s="714">
        <f t="shared" si="11"/>
        <v>153584</v>
      </c>
      <c r="D23" s="714">
        <f t="shared" si="11"/>
        <v>4780127</v>
      </c>
      <c r="E23" s="724">
        <f t="shared" si="11"/>
        <v>3936574</v>
      </c>
      <c r="F23" s="714">
        <f>F21+F22</f>
        <v>34798085.26739</v>
      </c>
      <c r="G23" s="712">
        <f>G21+G22</f>
        <v>241855.97389999998</v>
      </c>
      <c r="H23" s="723">
        <f t="shared" si="11"/>
        <v>34556229.29348999</v>
      </c>
      <c r="I23" s="714">
        <f t="shared" si="11"/>
        <v>27528.730000000003</v>
      </c>
      <c r="J23" s="714">
        <f t="shared" si="11"/>
        <v>17336.824</v>
      </c>
      <c r="K23" s="714">
        <f t="shared" si="11"/>
        <v>10191.906</v>
      </c>
      <c r="L23" s="714">
        <f>L21+L22</f>
        <v>2746909.10249</v>
      </c>
      <c r="M23" s="714">
        <f t="shared" si="11"/>
        <v>1461500.794</v>
      </c>
      <c r="N23" s="714">
        <f t="shared" si="11"/>
        <v>1285407.30849</v>
      </c>
      <c r="O23" s="714">
        <f>O21+O22</f>
        <v>31782309.551</v>
      </c>
      <c r="P23" s="714">
        <f t="shared" si="11"/>
        <v>19633471.017</v>
      </c>
      <c r="Q23" s="714">
        <f t="shared" si="11"/>
        <v>19237971.906</v>
      </c>
      <c r="R23" s="714">
        <f t="shared" si="11"/>
        <v>395499.111</v>
      </c>
      <c r="S23" s="714">
        <f t="shared" si="11"/>
        <v>6751251.795</v>
      </c>
      <c r="T23" s="714">
        <f t="shared" si="11"/>
        <v>384760</v>
      </c>
      <c r="U23" s="714">
        <f t="shared" si="11"/>
        <v>0</v>
      </c>
      <c r="V23" s="714">
        <f>V21+V22</f>
        <v>667294.135</v>
      </c>
      <c r="W23" s="714">
        <f t="shared" si="11"/>
        <v>172355</v>
      </c>
      <c r="X23" s="714">
        <f t="shared" si="11"/>
        <v>167355</v>
      </c>
      <c r="Y23" s="714">
        <f t="shared" si="11"/>
        <v>85165</v>
      </c>
      <c r="Z23" s="714">
        <f t="shared" si="11"/>
        <v>0</v>
      </c>
      <c r="AA23" s="723">
        <f>AA21+AA22-1</f>
        <v>4345531.604</v>
      </c>
      <c r="AB23" s="714">
        <f t="shared" si="11"/>
        <v>0</v>
      </c>
      <c r="AC23" s="714">
        <f t="shared" si="11"/>
        <v>0</v>
      </c>
      <c r="AD23" s="714">
        <f t="shared" si="11"/>
        <v>0</v>
      </c>
      <c r="AE23" s="724">
        <f>AE21+AE22-1</f>
        <v>4345531.604</v>
      </c>
      <c r="AF23" s="723">
        <f t="shared" si="11"/>
        <v>1047305</v>
      </c>
      <c r="AG23" s="724">
        <f t="shared" si="11"/>
        <v>2499002</v>
      </c>
      <c r="AH23" s="725">
        <f t="shared" si="11"/>
        <v>57647</v>
      </c>
      <c r="AI23" s="718"/>
      <c r="AJ23" s="718"/>
      <c r="AK23" s="718"/>
    </row>
    <row r="24" spans="1:37" ht="21" customHeight="1">
      <c r="A24" s="698" t="s">
        <v>553</v>
      </c>
      <c r="B24" s="690">
        <f>C24+D24</f>
        <v>85443</v>
      </c>
      <c r="C24" s="699">
        <v>56010</v>
      </c>
      <c r="D24" s="699">
        <v>29433</v>
      </c>
      <c r="E24" s="700">
        <v>24239</v>
      </c>
      <c r="F24" s="704">
        <f>G24+H24</f>
        <v>11550227.918</v>
      </c>
      <c r="G24" s="699">
        <f>1380915.50802-500-19.94802</f>
        <v>1380395.56</v>
      </c>
      <c r="H24" s="726">
        <f>I24+L24+O24-47</f>
        <v>10169832.358</v>
      </c>
      <c r="I24" s="692">
        <f>J24+K24</f>
        <v>16120.266</v>
      </c>
      <c r="J24" s="699">
        <v>0</v>
      </c>
      <c r="K24" s="699">
        <v>16120.266</v>
      </c>
      <c r="L24" s="690">
        <f>M24+N24</f>
        <v>2273160.0779999997</v>
      </c>
      <c r="M24" s="699">
        <f>1427947.46-651150.499</f>
        <v>776796.961</v>
      </c>
      <c r="N24" s="703">
        <f>1653379.4-157078.585+50+12.302</f>
        <v>1496363.1169999999</v>
      </c>
      <c r="O24" s="727">
        <f>P24+S24+T24+U24+V24+AA24</f>
        <v>7880599.0139999995</v>
      </c>
      <c r="P24" s="695">
        <f aca="true" t="shared" si="12" ref="P24:P36">Q24+R24</f>
        <v>882134.2520000001</v>
      </c>
      <c r="Q24" s="371">
        <v>844527.687</v>
      </c>
      <c r="R24" s="371">
        <v>37606.565</v>
      </c>
      <c r="S24" s="377">
        <v>298635.539</v>
      </c>
      <c r="T24" s="377">
        <v>16891</v>
      </c>
      <c r="U24" s="377">
        <v>3336684.116</v>
      </c>
      <c r="V24" s="690">
        <f>5513500.536-3336684.116</f>
        <v>2176816.4200000004</v>
      </c>
      <c r="W24" s="377">
        <f>1553460+14689</f>
        <v>1568149</v>
      </c>
      <c r="X24" s="370">
        <f>1800+14689</f>
        <v>16489</v>
      </c>
      <c r="Y24" s="377">
        <f>450+4428</f>
        <v>4878</v>
      </c>
      <c r="Z24" s="377">
        <v>7260</v>
      </c>
      <c r="AA24" s="372">
        <f>AB24+AC24+AD24+AE24</f>
        <v>1169437.6869999997</v>
      </c>
      <c r="AB24" s="377">
        <f>41464.9418-50-12.302</f>
        <v>41402.6398</v>
      </c>
      <c r="AC24" s="377">
        <v>0</v>
      </c>
      <c r="AD24" s="377">
        <f>38403.01746</f>
        <v>38403.01746</v>
      </c>
      <c r="AE24" s="706">
        <f>1607726.4-AB24-AD24-T24-K24-406102.05-6846.097-420-0.3+47+8044</f>
        <v>1089632.0297399997</v>
      </c>
      <c r="AF24" s="372">
        <v>98841</v>
      </c>
      <c r="AG24" s="706">
        <f>225910-650+9840-15000+424+122636-100000</f>
        <v>243160</v>
      </c>
      <c r="AH24" s="728">
        <f>214+2240</f>
        <v>2454</v>
      </c>
      <c r="AI24" s="336"/>
      <c r="AJ24" s="336"/>
      <c r="AK24" s="336"/>
    </row>
    <row r="25" spans="1:37" ht="21" customHeight="1">
      <c r="A25" s="719" t="s">
        <v>868</v>
      </c>
      <c r="B25" s="377"/>
      <c r="C25" s="377"/>
      <c r="D25" s="377"/>
      <c r="E25" s="706"/>
      <c r="F25" s="373">
        <f>G25+H25</f>
        <v>18678.2</v>
      </c>
      <c r="G25" s="377">
        <v>1571</v>
      </c>
      <c r="H25" s="720">
        <f>I25+L25+O25</f>
        <v>17107.2</v>
      </c>
      <c r="I25" s="373">
        <f>J25+K25</f>
        <v>0</v>
      </c>
      <c r="J25" s="377"/>
      <c r="K25" s="377"/>
      <c r="L25" s="699">
        <f>M25+N25</f>
        <v>10632.2</v>
      </c>
      <c r="M25" s="377">
        <f>7291.6-453</f>
        <v>6838.6</v>
      </c>
      <c r="N25" s="371">
        <f>4911.6-1118</f>
        <v>3793.6000000000004</v>
      </c>
      <c r="O25" s="721">
        <f>P25+S25+T25+U25+V25+AA25</f>
        <v>6475</v>
      </c>
      <c r="P25" s="376">
        <f>Q25+R25</f>
        <v>0</v>
      </c>
      <c r="Q25" s="371"/>
      <c r="R25" s="371"/>
      <c r="S25" s="377"/>
      <c r="T25" s="377"/>
      <c r="U25" s="377"/>
      <c r="V25" s="377">
        <f aca="true" t="shared" si="13" ref="V25:V38">W25+Y25</f>
        <v>0</v>
      </c>
      <c r="W25" s="377"/>
      <c r="X25" s="370"/>
      <c r="Y25" s="377"/>
      <c r="Z25" s="377"/>
      <c r="AA25" s="372">
        <f>AB25+AC25+AD25+AE25</f>
        <v>6475</v>
      </c>
      <c r="AB25" s="377"/>
      <c r="AC25" s="377"/>
      <c r="AD25" s="377"/>
      <c r="AE25" s="706">
        <v>6475</v>
      </c>
      <c r="AF25" s="372"/>
      <c r="AG25" s="706"/>
      <c r="AH25" s="728"/>
      <c r="AI25" s="336"/>
      <c r="AJ25" s="336"/>
      <c r="AK25" s="336"/>
    </row>
    <row r="26" spans="1:37" ht="21" customHeight="1" thickBot="1">
      <c r="A26" s="729" t="s">
        <v>1357</v>
      </c>
      <c r="B26" s="380">
        <f>C26+D26</f>
        <v>572</v>
      </c>
      <c r="C26" s="380">
        <v>572</v>
      </c>
      <c r="D26" s="380">
        <v>0</v>
      </c>
      <c r="E26" s="709">
        <v>0</v>
      </c>
      <c r="F26" s="365">
        <f>G26+H26</f>
        <v>206023.73299999998</v>
      </c>
      <c r="G26" s="380">
        <v>0</v>
      </c>
      <c r="H26" s="730">
        <f>I26+L26+O26</f>
        <v>206023.73299999998</v>
      </c>
      <c r="I26" s="365">
        <f>J26+K26</f>
        <v>0</v>
      </c>
      <c r="J26" s="380"/>
      <c r="K26" s="380"/>
      <c r="L26" s="380">
        <f>M26+N26</f>
        <v>26817.3</v>
      </c>
      <c r="M26" s="380">
        <v>22940.6</v>
      </c>
      <c r="N26" s="358">
        <v>3876.7</v>
      </c>
      <c r="O26" s="731">
        <f aca="true" t="shared" si="14" ref="O26:O39">P26+S26+T26+U26+V26+AA26</f>
        <v>179206.433</v>
      </c>
      <c r="P26" s="364">
        <f t="shared" si="12"/>
        <v>89300.28199999999</v>
      </c>
      <c r="Q26" s="358">
        <v>87797.536</v>
      </c>
      <c r="R26" s="358">
        <v>1502.746</v>
      </c>
      <c r="S26" s="380">
        <v>31228.251</v>
      </c>
      <c r="T26" s="380">
        <v>1755</v>
      </c>
      <c r="U26" s="380"/>
      <c r="V26" s="380">
        <f t="shared" si="13"/>
        <v>0</v>
      </c>
      <c r="W26" s="380">
        <v>0</v>
      </c>
      <c r="X26" s="357">
        <v>0</v>
      </c>
      <c r="Y26" s="380">
        <v>0</v>
      </c>
      <c r="Z26" s="380">
        <v>0</v>
      </c>
      <c r="AA26" s="359">
        <f>AB26+AC26+AD26+AE26</f>
        <v>56922.9</v>
      </c>
      <c r="AB26" s="380">
        <v>19000</v>
      </c>
      <c r="AC26" s="380">
        <v>0</v>
      </c>
      <c r="AD26" s="380"/>
      <c r="AE26" s="709">
        <f>58677.9-AB26-T26</f>
        <v>37922.9</v>
      </c>
      <c r="AF26" s="372">
        <v>13261</v>
      </c>
      <c r="AG26" s="706">
        <v>6291</v>
      </c>
      <c r="AH26" s="732">
        <v>107</v>
      </c>
      <c r="AI26" s="336"/>
      <c r="AJ26" s="336"/>
      <c r="AK26" s="336"/>
    </row>
    <row r="27" spans="1:37" s="662" customFormat="1" ht="21" customHeight="1" thickBot="1">
      <c r="A27" s="711" t="s">
        <v>554</v>
      </c>
      <c r="B27" s="714"/>
      <c r="C27" s="714"/>
      <c r="D27" s="714"/>
      <c r="E27" s="724"/>
      <c r="F27" s="733">
        <f>F24+F26+F25</f>
        <v>11774929.850999998</v>
      </c>
      <c r="G27" s="712">
        <f>G24+G26+G25</f>
        <v>1381966.56</v>
      </c>
      <c r="H27" s="714">
        <f>H24+H26+H25</f>
        <v>10392963.290999997</v>
      </c>
      <c r="I27" s="714">
        <f>I24+I26</f>
        <v>16120.266</v>
      </c>
      <c r="J27" s="714">
        <f>J24+J26</f>
        <v>0</v>
      </c>
      <c r="K27" s="714">
        <f aca="true" t="shared" si="15" ref="K27:AD27">K24+K26</f>
        <v>16120.266</v>
      </c>
      <c r="L27" s="714">
        <f>L24+L26+L25</f>
        <v>2310609.5779999997</v>
      </c>
      <c r="M27" s="714">
        <f>M24+M26+M25</f>
        <v>806576.161</v>
      </c>
      <c r="N27" s="714">
        <f>N24+N26+N25</f>
        <v>1504033.417</v>
      </c>
      <c r="O27" s="714">
        <f>O24+O26+O25</f>
        <v>8066280.447</v>
      </c>
      <c r="P27" s="714">
        <f t="shared" si="15"/>
        <v>971434.5340000001</v>
      </c>
      <c r="Q27" s="714">
        <f t="shared" si="15"/>
        <v>932325.223</v>
      </c>
      <c r="R27" s="714">
        <f t="shared" si="15"/>
        <v>39109.311</v>
      </c>
      <c r="S27" s="714">
        <f t="shared" si="15"/>
        <v>329863.79</v>
      </c>
      <c r="T27" s="714">
        <f t="shared" si="15"/>
        <v>18646</v>
      </c>
      <c r="U27" s="714">
        <f t="shared" si="15"/>
        <v>3336684.116</v>
      </c>
      <c r="V27" s="714">
        <f>V24+V26+V25</f>
        <v>2176816.4200000004</v>
      </c>
      <c r="W27" s="714">
        <f t="shared" si="15"/>
        <v>1568149</v>
      </c>
      <c r="X27" s="714">
        <f t="shared" si="15"/>
        <v>16489</v>
      </c>
      <c r="Y27" s="714">
        <f t="shared" si="15"/>
        <v>4878</v>
      </c>
      <c r="Z27" s="714">
        <f t="shared" si="15"/>
        <v>7260</v>
      </c>
      <c r="AA27" s="714">
        <f>AA24+AA26+AA25</f>
        <v>1232835.5869999996</v>
      </c>
      <c r="AB27" s="714">
        <f t="shared" si="15"/>
        <v>60402.6398</v>
      </c>
      <c r="AC27" s="714">
        <f t="shared" si="15"/>
        <v>0</v>
      </c>
      <c r="AD27" s="714">
        <f t="shared" si="15"/>
        <v>38403.01746</v>
      </c>
      <c r="AE27" s="724">
        <f>AE24+AE26+AE25</f>
        <v>1134029.9297399996</v>
      </c>
      <c r="AF27" s="798"/>
      <c r="AG27" s="799"/>
      <c r="AH27" s="717"/>
      <c r="AI27" s="718"/>
      <c r="AJ27" s="718"/>
      <c r="AK27" s="718"/>
    </row>
    <row r="28" spans="1:37" ht="21" customHeight="1">
      <c r="A28" s="729" t="s">
        <v>870</v>
      </c>
      <c r="B28" s="380">
        <f>C28+D28</f>
        <v>40712</v>
      </c>
      <c r="C28" s="380">
        <v>8743</v>
      </c>
      <c r="D28" s="380">
        <v>31969</v>
      </c>
      <c r="E28" s="709">
        <v>26328</v>
      </c>
      <c r="F28" s="365">
        <f>G28+H28</f>
        <v>1133605.14407</v>
      </c>
      <c r="G28" s="380">
        <v>103309.7579</v>
      </c>
      <c r="H28" s="730">
        <f>I28+L28+O28-60</f>
        <v>1030295.38617</v>
      </c>
      <c r="I28" s="365">
        <f>J28+K28</f>
        <v>25430.834</v>
      </c>
      <c r="J28" s="380">
        <v>17339.96</v>
      </c>
      <c r="K28" s="380">
        <v>8090.874</v>
      </c>
      <c r="L28" s="380">
        <f>M28+N28</f>
        <v>500558.47716999997</v>
      </c>
      <c r="M28" s="380">
        <f>444937.05556-17339.96-102303.616</f>
        <v>325293.47956</v>
      </c>
      <c r="N28" s="358">
        <f>175927-662.00239</f>
        <v>175264.99761</v>
      </c>
      <c r="O28" s="731">
        <f t="shared" si="14"/>
        <v>504366.07499999995</v>
      </c>
      <c r="P28" s="364">
        <f>Q28+R28</f>
        <v>245230.783</v>
      </c>
      <c r="Q28" s="358">
        <v>234803.234</v>
      </c>
      <c r="R28" s="358">
        <v>10427.549</v>
      </c>
      <c r="S28" s="380">
        <v>83955.878</v>
      </c>
      <c r="T28" s="380">
        <v>4694.638</v>
      </c>
      <c r="U28" s="380"/>
      <c r="V28" s="380">
        <v>3877.928</v>
      </c>
      <c r="W28" s="380">
        <v>800</v>
      </c>
      <c r="X28" s="357">
        <v>800</v>
      </c>
      <c r="Y28" s="380">
        <v>700</v>
      </c>
      <c r="Z28" s="380">
        <v>0</v>
      </c>
      <c r="AA28" s="365">
        <f>AB28+AC28+AD28+AE28</f>
        <v>166606.84799999997</v>
      </c>
      <c r="AB28" s="380">
        <v>25830</v>
      </c>
      <c r="AC28" s="380">
        <v>0</v>
      </c>
      <c r="AD28" s="380">
        <v>0</v>
      </c>
      <c r="AE28" s="709">
        <f>179411.46-AB28-T28-K28-94.4+60+15.3</f>
        <v>140776.84799999997</v>
      </c>
      <c r="AF28" s="372">
        <v>27595</v>
      </c>
      <c r="AG28" s="706">
        <v>344661</v>
      </c>
      <c r="AH28" s="728">
        <f>256+513</f>
        <v>769</v>
      </c>
      <c r="AI28" s="336"/>
      <c r="AJ28" s="336"/>
      <c r="AK28" s="336"/>
    </row>
    <row r="29" spans="1:37" ht="21" customHeight="1">
      <c r="A29" s="734" t="s">
        <v>555</v>
      </c>
      <c r="B29" s="735"/>
      <c r="C29" s="735"/>
      <c r="D29" s="735"/>
      <c r="E29" s="736"/>
      <c r="F29" s="737">
        <f>G29+H29</f>
        <v>7217275.506510001</v>
      </c>
      <c r="G29" s="737">
        <v>22125.76941</v>
      </c>
      <c r="H29" s="738">
        <f>I29+L29+O29</f>
        <v>7195149.7371000005</v>
      </c>
      <c r="I29" s="739">
        <f>J29+K29</f>
        <v>0</v>
      </c>
      <c r="J29" s="737"/>
      <c r="K29" s="737"/>
      <c r="L29" s="735">
        <f>M29+N29</f>
        <v>1236001.3590000002</v>
      </c>
      <c r="M29" s="737">
        <f>904221.31-597.437</f>
        <v>903623.873</v>
      </c>
      <c r="N29" s="740">
        <f>333108.7-731.214</f>
        <v>332377.48600000003</v>
      </c>
      <c r="O29" s="738">
        <f>P29+S29+T29+U29+V29+AA29</f>
        <v>5959148.3781</v>
      </c>
      <c r="P29" s="741">
        <f>Q29+R29</f>
        <v>3874227.945</v>
      </c>
      <c r="Q29" s="735">
        <v>3761427.934</v>
      </c>
      <c r="R29" s="742">
        <v>112800.011</v>
      </c>
      <c r="S29" s="735">
        <v>1331010.951</v>
      </c>
      <c r="T29" s="735">
        <v>75226.183</v>
      </c>
      <c r="U29" s="735"/>
      <c r="V29" s="735">
        <v>76597.717</v>
      </c>
      <c r="W29" s="735">
        <v>32965</v>
      </c>
      <c r="X29" s="739">
        <v>32965</v>
      </c>
      <c r="Y29" s="735">
        <v>15256</v>
      </c>
      <c r="Z29" s="735">
        <v>0</v>
      </c>
      <c r="AA29" s="743">
        <f>AB29+AC29+AD29+AE29</f>
        <v>602085.5821000001</v>
      </c>
      <c r="AB29" s="735"/>
      <c r="AC29" s="735"/>
      <c r="AD29" s="735">
        <v>0</v>
      </c>
      <c r="AE29" s="744">
        <f>677391.8-T29-80.0349</f>
        <v>602085.5821000001</v>
      </c>
      <c r="AF29" s="365"/>
      <c r="AG29" s="709"/>
      <c r="AH29" s="728"/>
      <c r="AI29" s="336"/>
      <c r="AJ29" s="336"/>
      <c r="AK29" s="336"/>
    </row>
    <row r="30" spans="1:37" ht="21" customHeight="1" thickBot="1">
      <c r="A30" s="745" t="s">
        <v>2107</v>
      </c>
      <c r="B30" s="391"/>
      <c r="C30" s="391"/>
      <c r="D30" s="391"/>
      <c r="E30" s="746"/>
      <c r="F30" s="747">
        <f>G30+H30</f>
        <v>29635.07694</v>
      </c>
      <c r="G30" s="748">
        <v>164.36664</v>
      </c>
      <c r="H30" s="749">
        <f>I30+L30+O30</f>
        <v>29470.7103</v>
      </c>
      <c r="I30" s="387">
        <f>J30+K30</f>
        <v>0</v>
      </c>
      <c r="J30" s="748"/>
      <c r="K30" s="748"/>
      <c r="L30" s="391">
        <f>M30+N30</f>
        <v>4842.0983</v>
      </c>
      <c r="M30" s="748">
        <f>3280-15.0467</f>
        <v>3264.9533</v>
      </c>
      <c r="N30" s="747">
        <f>1651-73.855</f>
        <v>1577.145</v>
      </c>
      <c r="O30" s="749">
        <f>P30+S30+T30+U30+V30+AA30</f>
        <v>24628.612</v>
      </c>
      <c r="P30" s="385">
        <f>Q30+R30</f>
        <v>14366.602</v>
      </c>
      <c r="Q30" s="391">
        <v>13980.022</v>
      </c>
      <c r="R30" s="387">
        <v>386.58</v>
      </c>
      <c r="S30" s="391">
        <v>4901.207</v>
      </c>
      <c r="T30" s="391">
        <v>279.739</v>
      </c>
      <c r="U30" s="391"/>
      <c r="V30" s="391">
        <v>1131.103</v>
      </c>
      <c r="W30" s="391">
        <v>145</v>
      </c>
      <c r="X30" s="387">
        <v>145</v>
      </c>
      <c r="Y30" s="391">
        <v>55</v>
      </c>
      <c r="Z30" s="391">
        <v>0</v>
      </c>
      <c r="AA30" s="387">
        <f>AB30+AC30+AD30+AE30</f>
        <v>3949.961</v>
      </c>
      <c r="AB30" s="391"/>
      <c r="AC30" s="391"/>
      <c r="AD30" s="391">
        <v>0</v>
      </c>
      <c r="AE30" s="746">
        <f>4229.7-T30</f>
        <v>3949.961</v>
      </c>
      <c r="AF30" s="365"/>
      <c r="AG30" s="709"/>
      <c r="AH30" s="728"/>
      <c r="AI30" s="336"/>
      <c r="AJ30" s="336"/>
      <c r="AK30" s="336"/>
    </row>
    <row r="31" spans="1:37" s="662" customFormat="1" ht="21" customHeight="1" thickBot="1">
      <c r="A31" s="750" t="s">
        <v>556</v>
      </c>
      <c r="B31" s="714"/>
      <c r="C31" s="714"/>
      <c r="D31" s="714"/>
      <c r="E31" s="724"/>
      <c r="F31" s="733">
        <f aca="true" t="shared" si="16" ref="F31:U31">F28+F29+F30</f>
        <v>8380515.72752</v>
      </c>
      <c r="G31" s="712">
        <f t="shared" si="16"/>
        <v>125599.89395</v>
      </c>
      <c r="H31" s="723">
        <f t="shared" si="16"/>
        <v>8254915.833570001</v>
      </c>
      <c r="I31" s="733">
        <f t="shared" si="16"/>
        <v>25430.834</v>
      </c>
      <c r="J31" s="714">
        <f t="shared" si="16"/>
        <v>17339.96</v>
      </c>
      <c r="K31" s="714">
        <f t="shared" si="16"/>
        <v>8090.874</v>
      </c>
      <c r="L31" s="714">
        <f t="shared" si="16"/>
        <v>1741401.93447</v>
      </c>
      <c r="M31" s="714">
        <f t="shared" si="16"/>
        <v>1232182.30586</v>
      </c>
      <c r="N31" s="723">
        <f>N28+N29+N30-1</f>
        <v>509218.62861</v>
      </c>
      <c r="O31" s="714">
        <f t="shared" si="16"/>
        <v>6488143.0651</v>
      </c>
      <c r="P31" s="723">
        <f t="shared" si="16"/>
        <v>4133825.3299999996</v>
      </c>
      <c r="Q31" s="723">
        <f>Q28+Q29+Q30</f>
        <v>4010211.19</v>
      </c>
      <c r="R31" s="723">
        <f t="shared" si="16"/>
        <v>123614.14</v>
      </c>
      <c r="S31" s="723">
        <f>S28+S29+S30</f>
        <v>1419868.0359999998</v>
      </c>
      <c r="T31" s="723">
        <f t="shared" si="16"/>
        <v>80200.56000000001</v>
      </c>
      <c r="U31" s="723">
        <f t="shared" si="16"/>
        <v>0</v>
      </c>
      <c r="V31" s="723">
        <f>V28+V29+V30</f>
        <v>81606.748</v>
      </c>
      <c r="W31" s="714"/>
      <c r="X31" s="733"/>
      <c r="Y31" s="714"/>
      <c r="Z31" s="714"/>
      <c r="AA31" s="723">
        <f>AA28+AA29+AA30+1</f>
        <v>772643.3911000001</v>
      </c>
      <c r="AB31" s="723">
        <f>AB28+AB29+AB30</f>
        <v>25830</v>
      </c>
      <c r="AC31" s="723">
        <f>AC28+AC29+AC30</f>
        <v>0</v>
      </c>
      <c r="AD31" s="723">
        <f>AD28+AD29+AD30</f>
        <v>0</v>
      </c>
      <c r="AE31" s="724">
        <f>AE28+AE29+AE30+1</f>
        <v>746813.3911000001</v>
      </c>
      <c r="AF31" s="800"/>
      <c r="AG31" s="801"/>
      <c r="AH31" s="717"/>
      <c r="AI31" s="718"/>
      <c r="AJ31" s="718"/>
      <c r="AK31" s="718"/>
    </row>
    <row r="32" spans="1:37" ht="21" customHeight="1">
      <c r="A32" s="751" t="s">
        <v>911</v>
      </c>
      <c r="B32" s="366">
        <f aca="true" t="shared" si="17" ref="B32:B38">C32+D32</f>
        <v>600</v>
      </c>
      <c r="C32" s="380">
        <v>600</v>
      </c>
      <c r="D32" s="380"/>
      <c r="E32" s="379"/>
      <c r="F32" s="690">
        <f>G32+H32-1</f>
        <v>116060.36499999999</v>
      </c>
      <c r="G32" s="690">
        <v>321.02371</v>
      </c>
      <c r="H32" s="726">
        <f>I32+L32+O32-566+1</f>
        <v>115740.34129</v>
      </c>
      <c r="I32" s="692">
        <f aca="true" t="shared" si="18" ref="I32:I38">J32+K32</f>
        <v>3025.26</v>
      </c>
      <c r="J32" s="380">
        <v>600</v>
      </c>
      <c r="K32" s="380">
        <v>2425.26</v>
      </c>
      <c r="L32" s="690">
        <f aca="true" t="shared" si="19" ref="L32:L39">M32+N32</f>
        <v>21699.37329</v>
      </c>
      <c r="M32" s="380">
        <f>5856-2.8472</f>
        <v>5853.1528</v>
      </c>
      <c r="N32" s="358">
        <f>15849-2.77951</f>
        <v>15846.22049</v>
      </c>
      <c r="O32" s="727">
        <f>P32+S32+T32+U32+V32+AA32</f>
        <v>91580.708</v>
      </c>
      <c r="P32" s="695">
        <f>Q32+R32</f>
        <v>41602</v>
      </c>
      <c r="Q32" s="358">
        <v>39872</v>
      </c>
      <c r="R32" s="358">
        <v>1730</v>
      </c>
      <c r="S32" s="380">
        <v>14051</v>
      </c>
      <c r="T32" s="380">
        <v>797</v>
      </c>
      <c r="U32" s="380"/>
      <c r="V32" s="690">
        <f t="shared" si="13"/>
        <v>0</v>
      </c>
      <c r="W32" s="380"/>
      <c r="X32" s="365"/>
      <c r="Y32" s="380"/>
      <c r="Z32" s="380"/>
      <c r="AA32" s="372">
        <f>AB32+AC32+AD32+AE32</f>
        <v>35130.708</v>
      </c>
      <c r="AB32" s="380"/>
      <c r="AC32" s="380"/>
      <c r="AD32" s="380">
        <v>0</v>
      </c>
      <c r="AE32" s="706">
        <f>38102.365-K32-T32-294+566-21.397</f>
        <v>35130.708</v>
      </c>
      <c r="AF32" s="365">
        <v>22513</v>
      </c>
      <c r="AG32" s="709">
        <f>20409+230+650</f>
        <v>21289</v>
      </c>
      <c r="AH32" s="728">
        <v>143</v>
      </c>
      <c r="AI32" s="336"/>
      <c r="AJ32" s="336"/>
      <c r="AK32" s="336"/>
    </row>
    <row r="33" spans="1:37" ht="21" customHeight="1">
      <c r="A33" s="752" t="s">
        <v>907</v>
      </c>
      <c r="B33" s="377">
        <f t="shared" si="17"/>
        <v>500</v>
      </c>
      <c r="C33" s="377">
        <v>500</v>
      </c>
      <c r="D33" s="377"/>
      <c r="E33" s="706"/>
      <c r="F33" s="704">
        <f aca="true" t="shared" si="20" ref="F33:F39">G33+H33</f>
        <v>85707.31000000001</v>
      </c>
      <c r="G33" s="699">
        <v>41.2</v>
      </c>
      <c r="H33" s="753">
        <f>I33+L33+O33</f>
        <v>85666.11000000002</v>
      </c>
      <c r="I33" s="704">
        <f>J33+K33</f>
        <v>0</v>
      </c>
      <c r="J33" s="377"/>
      <c r="K33" s="377"/>
      <c r="L33" s="699">
        <f t="shared" si="19"/>
        <v>11267.91</v>
      </c>
      <c r="M33" s="377">
        <f>6318.91-6</f>
        <v>6312.91</v>
      </c>
      <c r="N33" s="371">
        <f>4955</f>
        <v>4955</v>
      </c>
      <c r="O33" s="721">
        <f t="shared" si="14"/>
        <v>74398.20000000001</v>
      </c>
      <c r="P33" s="376">
        <f t="shared" si="12"/>
        <v>39697.3</v>
      </c>
      <c r="Q33" s="371">
        <v>38600.5</v>
      </c>
      <c r="R33" s="371">
        <v>1096.8</v>
      </c>
      <c r="S33" s="377">
        <v>13793</v>
      </c>
      <c r="T33" s="377">
        <v>772</v>
      </c>
      <c r="U33" s="377"/>
      <c r="V33" s="377">
        <f t="shared" si="13"/>
        <v>0</v>
      </c>
      <c r="W33" s="377"/>
      <c r="X33" s="373"/>
      <c r="Y33" s="377"/>
      <c r="Z33" s="377"/>
      <c r="AA33" s="372">
        <f aca="true" t="shared" si="21" ref="AA33:AA38">AB33+AC33+AD33+AE33</f>
        <v>20135.9</v>
      </c>
      <c r="AB33" s="377"/>
      <c r="AC33" s="377"/>
      <c r="AD33" s="377">
        <v>0</v>
      </c>
      <c r="AE33" s="706">
        <f>20907.9-T33</f>
        <v>20135.9</v>
      </c>
      <c r="AF33" s="373">
        <v>11665</v>
      </c>
      <c r="AG33" s="706">
        <f>14958+3017</f>
        <v>17975</v>
      </c>
      <c r="AH33" s="732">
        <v>157</v>
      </c>
      <c r="AI33" s="336"/>
      <c r="AJ33" s="336"/>
      <c r="AK33" s="336"/>
    </row>
    <row r="34" spans="1:37" ht="21" customHeight="1">
      <c r="A34" s="752" t="s">
        <v>906</v>
      </c>
      <c r="B34" s="377">
        <f t="shared" si="17"/>
        <v>50</v>
      </c>
      <c r="C34" s="377">
        <v>50</v>
      </c>
      <c r="D34" s="377"/>
      <c r="E34" s="706"/>
      <c r="F34" s="704">
        <f>G34+H34</f>
        <v>56771.929</v>
      </c>
      <c r="G34" s="699">
        <v>550</v>
      </c>
      <c r="H34" s="753">
        <f>I34+L34+O34</f>
        <v>56221.929</v>
      </c>
      <c r="I34" s="704">
        <f t="shared" si="18"/>
        <v>0</v>
      </c>
      <c r="J34" s="377"/>
      <c r="K34" s="377"/>
      <c r="L34" s="699">
        <f t="shared" si="19"/>
        <v>5769.229</v>
      </c>
      <c r="M34" s="377">
        <v>1256.729</v>
      </c>
      <c r="N34" s="371">
        <f>4662.5-150</f>
        <v>4512.5</v>
      </c>
      <c r="O34" s="721">
        <f t="shared" si="14"/>
        <v>50452.7</v>
      </c>
      <c r="P34" s="376">
        <f t="shared" si="12"/>
        <v>29921</v>
      </c>
      <c r="Q34" s="371">
        <v>29169</v>
      </c>
      <c r="R34" s="371">
        <v>752</v>
      </c>
      <c r="S34" s="377">
        <v>10268</v>
      </c>
      <c r="T34" s="377">
        <v>583.117</v>
      </c>
      <c r="U34" s="377"/>
      <c r="V34" s="377">
        <f t="shared" si="13"/>
        <v>0</v>
      </c>
      <c r="W34" s="377"/>
      <c r="X34" s="373"/>
      <c r="Y34" s="377"/>
      <c r="Z34" s="377"/>
      <c r="AA34" s="372">
        <f t="shared" si="21"/>
        <v>9680.583</v>
      </c>
      <c r="AB34" s="377"/>
      <c r="AC34" s="377"/>
      <c r="AD34" s="377">
        <v>0</v>
      </c>
      <c r="AE34" s="706">
        <f>10663.7-T34-400</f>
        <v>9680.583</v>
      </c>
      <c r="AF34" s="373">
        <v>7323</v>
      </c>
      <c r="AG34" s="706">
        <f>6173+1381</f>
        <v>7554</v>
      </c>
      <c r="AH34" s="728">
        <v>117</v>
      </c>
      <c r="AI34" s="336"/>
      <c r="AJ34" s="336"/>
      <c r="AK34" s="336"/>
    </row>
    <row r="35" spans="1:37" ht="21" customHeight="1">
      <c r="A35" s="752" t="s">
        <v>905</v>
      </c>
      <c r="B35" s="377">
        <f t="shared" si="17"/>
        <v>100</v>
      </c>
      <c r="C35" s="377">
        <v>100</v>
      </c>
      <c r="D35" s="377"/>
      <c r="E35" s="706"/>
      <c r="F35" s="704">
        <f t="shared" si="20"/>
        <v>67471.563</v>
      </c>
      <c r="G35" s="699">
        <v>883.701</v>
      </c>
      <c r="H35" s="753">
        <f>I35+L35+O35</f>
        <v>66587.862</v>
      </c>
      <c r="I35" s="704">
        <f t="shared" si="18"/>
        <v>0</v>
      </c>
      <c r="J35" s="377"/>
      <c r="K35" s="377"/>
      <c r="L35" s="699">
        <f t="shared" si="19"/>
        <v>11457.963</v>
      </c>
      <c r="M35" s="377">
        <v>3767.863</v>
      </c>
      <c r="N35" s="371">
        <v>7690.1</v>
      </c>
      <c r="O35" s="721">
        <f t="shared" si="14"/>
        <v>55129.899</v>
      </c>
      <c r="P35" s="376">
        <f t="shared" si="12"/>
        <v>33215.299</v>
      </c>
      <c r="Q35" s="371">
        <v>31925</v>
      </c>
      <c r="R35" s="371">
        <v>1290.299</v>
      </c>
      <c r="S35" s="377">
        <v>11377</v>
      </c>
      <c r="T35" s="377">
        <v>638.5</v>
      </c>
      <c r="U35" s="377"/>
      <c r="V35" s="377">
        <f t="shared" si="13"/>
        <v>0</v>
      </c>
      <c r="W35" s="377"/>
      <c r="X35" s="373"/>
      <c r="Y35" s="377"/>
      <c r="Z35" s="377"/>
      <c r="AA35" s="372">
        <f t="shared" si="21"/>
        <v>9899.1</v>
      </c>
      <c r="AB35" s="377"/>
      <c r="AC35" s="377"/>
      <c r="AD35" s="377">
        <v>0</v>
      </c>
      <c r="AE35" s="706">
        <f>10537.6-T35</f>
        <v>9899.1</v>
      </c>
      <c r="AF35" s="373">
        <v>6547</v>
      </c>
      <c r="AG35" s="706">
        <f>9392+2202</f>
        <v>11594</v>
      </c>
      <c r="AH35" s="732">
        <v>127</v>
      </c>
      <c r="AI35" s="336"/>
      <c r="AJ35" s="336"/>
      <c r="AK35" s="336"/>
    </row>
    <row r="36" spans="1:37" ht="21" customHeight="1">
      <c r="A36" s="752" t="s">
        <v>904</v>
      </c>
      <c r="B36" s="377">
        <f t="shared" si="17"/>
        <v>200</v>
      </c>
      <c r="C36" s="377">
        <v>200</v>
      </c>
      <c r="D36" s="377"/>
      <c r="E36" s="706"/>
      <c r="F36" s="704">
        <f t="shared" si="20"/>
        <v>64506.978</v>
      </c>
      <c r="G36" s="699">
        <v>0</v>
      </c>
      <c r="H36" s="753">
        <f>I36+L36+O36-296.3</f>
        <v>64506.978</v>
      </c>
      <c r="I36" s="704">
        <f t="shared" si="18"/>
        <v>595.274</v>
      </c>
      <c r="J36" s="377"/>
      <c r="K36" s="377">
        <v>595.274</v>
      </c>
      <c r="L36" s="699">
        <f t="shared" si="19"/>
        <v>8774.204</v>
      </c>
      <c r="M36" s="377">
        <v>3247.604</v>
      </c>
      <c r="N36" s="371">
        <v>5526.6</v>
      </c>
      <c r="O36" s="721">
        <f t="shared" si="14"/>
        <v>55433.8</v>
      </c>
      <c r="P36" s="376">
        <f t="shared" si="12"/>
        <v>32057.826999999997</v>
      </c>
      <c r="Q36" s="371">
        <v>30505.884</v>
      </c>
      <c r="R36" s="371">
        <v>1551.943</v>
      </c>
      <c r="S36" s="377">
        <v>10987.347</v>
      </c>
      <c r="T36" s="377">
        <v>609.8</v>
      </c>
      <c r="U36" s="377"/>
      <c r="V36" s="377">
        <f t="shared" si="13"/>
        <v>0</v>
      </c>
      <c r="W36" s="377"/>
      <c r="X36" s="373"/>
      <c r="Y36" s="377"/>
      <c r="Z36" s="377"/>
      <c r="AA36" s="372">
        <f t="shared" si="21"/>
        <v>11778.826000000001</v>
      </c>
      <c r="AB36" s="377"/>
      <c r="AC36" s="377"/>
      <c r="AD36" s="377">
        <v>0</v>
      </c>
      <c r="AE36" s="706">
        <f>12687.6-K36-T36+296.3</f>
        <v>11778.826000000001</v>
      </c>
      <c r="AF36" s="373">
        <v>6911</v>
      </c>
      <c r="AG36" s="706">
        <f>9916+1176</f>
        <v>11092</v>
      </c>
      <c r="AH36" s="728">
        <v>113</v>
      </c>
      <c r="AI36" s="336"/>
      <c r="AJ36" s="336"/>
      <c r="AK36" s="336"/>
    </row>
    <row r="37" spans="1:37" ht="21" customHeight="1">
      <c r="A37" s="752" t="s">
        <v>903</v>
      </c>
      <c r="B37" s="377">
        <f t="shared" si="17"/>
        <v>200</v>
      </c>
      <c r="C37" s="377">
        <v>200</v>
      </c>
      <c r="D37" s="377"/>
      <c r="E37" s="706"/>
      <c r="F37" s="704">
        <f t="shared" si="20"/>
        <v>74337.257</v>
      </c>
      <c r="G37" s="699">
        <v>255.04866</v>
      </c>
      <c r="H37" s="753">
        <f>I37+L37+O37</f>
        <v>74082.20834</v>
      </c>
      <c r="I37" s="704">
        <f t="shared" si="18"/>
        <v>0</v>
      </c>
      <c r="J37" s="377"/>
      <c r="K37" s="377"/>
      <c r="L37" s="699">
        <f t="shared" si="19"/>
        <v>10822.95134</v>
      </c>
      <c r="M37" s="377">
        <f>4836-1.5648</f>
        <v>4834.4352</v>
      </c>
      <c r="N37" s="371">
        <f>6011-22.48386</f>
        <v>5988.51614</v>
      </c>
      <c r="O37" s="721">
        <f>P37+S37+T37+U37+V37+AA37</f>
        <v>63259.257</v>
      </c>
      <c r="P37" s="376">
        <f>Q37+R37</f>
        <v>34988.987</v>
      </c>
      <c r="Q37" s="371">
        <v>34433.771</v>
      </c>
      <c r="R37" s="371">
        <v>555.216</v>
      </c>
      <c r="S37" s="377">
        <v>12295.77</v>
      </c>
      <c r="T37" s="377">
        <v>688.68</v>
      </c>
      <c r="U37" s="377"/>
      <c r="V37" s="377">
        <f t="shared" si="13"/>
        <v>0</v>
      </c>
      <c r="W37" s="377"/>
      <c r="X37" s="373"/>
      <c r="Y37" s="377"/>
      <c r="Z37" s="377"/>
      <c r="AA37" s="372">
        <f t="shared" si="21"/>
        <v>15285.82</v>
      </c>
      <c r="AB37" s="377"/>
      <c r="AC37" s="377"/>
      <c r="AD37" s="377">
        <v>0</v>
      </c>
      <c r="AE37" s="706">
        <f>15974.5-T37</f>
        <v>15285.82</v>
      </c>
      <c r="AF37" s="373">
        <v>10682</v>
      </c>
      <c r="AG37" s="706">
        <f>11885+2763</f>
        <v>14648</v>
      </c>
      <c r="AH37" s="732">
        <v>138</v>
      </c>
      <c r="AI37" s="336"/>
      <c r="AJ37" s="336"/>
      <c r="AK37" s="336"/>
    </row>
    <row r="38" spans="1:37" ht="21" customHeight="1">
      <c r="A38" s="752" t="s">
        <v>902</v>
      </c>
      <c r="B38" s="377">
        <f t="shared" si="17"/>
        <v>150</v>
      </c>
      <c r="C38" s="377">
        <v>150</v>
      </c>
      <c r="D38" s="377"/>
      <c r="E38" s="706"/>
      <c r="F38" s="704">
        <f t="shared" si="20"/>
        <v>301146.8298</v>
      </c>
      <c r="G38" s="699">
        <v>205.06</v>
      </c>
      <c r="H38" s="753">
        <f>I38+L38+O38-1</f>
        <v>300941.7698</v>
      </c>
      <c r="I38" s="704">
        <f t="shared" si="18"/>
        <v>0</v>
      </c>
      <c r="J38" s="377"/>
      <c r="K38" s="377"/>
      <c r="L38" s="699">
        <f t="shared" si="19"/>
        <v>182115.2808</v>
      </c>
      <c r="M38" s="377">
        <f>154861.5808</f>
        <v>154861.5808</v>
      </c>
      <c r="N38" s="371">
        <v>27253.7</v>
      </c>
      <c r="O38" s="721">
        <f>P38+S38+T38+U38+V38+AA38+1</f>
        <v>118827.489</v>
      </c>
      <c r="P38" s="376">
        <f>Q38+R38</f>
        <v>55219.889</v>
      </c>
      <c r="Q38" s="371">
        <v>53823.529</v>
      </c>
      <c r="R38" s="371">
        <v>1396.36</v>
      </c>
      <c r="S38" s="377">
        <v>18924</v>
      </c>
      <c r="T38" s="377">
        <v>1076.038</v>
      </c>
      <c r="U38" s="377"/>
      <c r="V38" s="377">
        <f t="shared" si="13"/>
        <v>0</v>
      </c>
      <c r="W38" s="377"/>
      <c r="X38" s="373"/>
      <c r="Y38" s="377"/>
      <c r="Z38" s="377"/>
      <c r="AA38" s="372">
        <f t="shared" si="21"/>
        <v>43606.562</v>
      </c>
      <c r="AB38" s="377"/>
      <c r="AC38" s="377"/>
      <c r="AD38" s="377">
        <v>0</v>
      </c>
      <c r="AE38" s="706">
        <f>44682.6-T38</f>
        <v>43606.562</v>
      </c>
      <c r="AF38" s="373">
        <v>20060</v>
      </c>
      <c r="AG38" s="706">
        <f>19392+5282</f>
        <v>24674</v>
      </c>
      <c r="AH38" s="732">
        <v>220</v>
      </c>
      <c r="AI38" s="336"/>
      <c r="AJ38" s="336"/>
      <c r="AK38" s="336"/>
    </row>
    <row r="39" spans="1:37" ht="21" customHeight="1" thickBot="1">
      <c r="A39" s="752" t="s">
        <v>901</v>
      </c>
      <c r="B39" s="377">
        <f>C39+D39</f>
        <v>50</v>
      </c>
      <c r="C39" s="377">
        <v>50</v>
      </c>
      <c r="D39" s="377"/>
      <c r="E39" s="706"/>
      <c r="F39" s="373">
        <f t="shared" si="20"/>
        <v>113545.29999999999</v>
      </c>
      <c r="G39" s="377">
        <v>232.246</v>
      </c>
      <c r="H39" s="720">
        <f>I39+L39+O39</f>
        <v>113313.05399999999</v>
      </c>
      <c r="I39" s="373">
        <f>J39+K39</f>
        <v>0</v>
      </c>
      <c r="J39" s="377"/>
      <c r="K39" s="377"/>
      <c r="L39" s="377">
        <f t="shared" si="19"/>
        <v>25662.015</v>
      </c>
      <c r="M39" s="377">
        <f>7197-3.285</f>
        <v>7193.715</v>
      </c>
      <c r="N39" s="371">
        <f>18485.3-17</f>
        <v>18468.3</v>
      </c>
      <c r="O39" s="721">
        <f t="shared" si="14"/>
        <v>87651.03899999999</v>
      </c>
      <c r="P39" s="371">
        <f>Q39+R39</f>
        <v>44442.039</v>
      </c>
      <c r="Q39" s="371">
        <v>43623</v>
      </c>
      <c r="R39" s="371">
        <v>819.039</v>
      </c>
      <c r="S39" s="377">
        <v>15354</v>
      </c>
      <c r="T39" s="377">
        <v>872</v>
      </c>
      <c r="U39" s="377"/>
      <c r="V39" s="377">
        <f>W39+Y39</f>
        <v>0</v>
      </c>
      <c r="W39" s="377"/>
      <c r="X39" s="373"/>
      <c r="Y39" s="377"/>
      <c r="Z39" s="377"/>
      <c r="AA39" s="373">
        <f>AB39+AC39+AD39+AE39</f>
        <v>26983</v>
      </c>
      <c r="AB39" s="377"/>
      <c r="AC39" s="377"/>
      <c r="AD39" s="377">
        <v>0</v>
      </c>
      <c r="AE39" s="706">
        <f>28055-T39-200</f>
        <v>26983</v>
      </c>
      <c r="AF39" s="373">
        <v>19320</v>
      </c>
      <c r="AG39" s="706">
        <f>15197+4681</f>
        <v>19878</v>
      </c>
      <c r="AH39" s="728">
        <v>174</v>
      </c>
      <c r="AI39" s="336"/>
      <c r="AJ39" s="336"/>
      <c r="AK39" s="336"/>
    </row>
    <row r="40" spans="1:37" ht="21" customHeight="1" thickBot="1">
      <c r="A40" s="750" t="s">
        <v>557</v>
      </c>
      <c r="B40" s="714">
        <f>SUM(C40:D40)</f>
        <v>1850</v>
      </c>
      <c r="C40" s="714">
        <f aca="true" t="shared" si="22" ref="C40:AD40">SUM(C32:C39)</f>
        <v>1850</v>
      </c>
      <c r="D40" s="714">
        <f t="shared" si="22"/>
        <v>0</v>
      </c>
      <c r="E40" s="724">
        <f t="shared" si="22"/>
        <v>0</v>
      </c>
      <c r="F40" s="733">
        <f>SUM(F32:F39)</f>
        <v>879547.5318</v>
      </c>
      <c r="G40" s="712">
        <f>SUM(G32:G39)</f>
        <v>2488.27937</v>
      </c>
      <c r="H40" s="723">
        <f t="shared" si="22"/>
        <v>877060.25243</v>
      </c>
      <c r="I40" s="714">
        <f>SUM(I32:I39)-1</f>
        <v>3619.534</v>
      </c>
      <c r="J40" s="714">
        <f t="shared" si="22"/>
        <v>600</v>
      </c>
      <c r="K40" s="714">
        <f>SUM(K32:K39)-1</f>
        <v>3019.534</v>
      </c>
      <c r="L40" s="714">
        <f t="shared" si="22"/>
        <v>277568.92643</v>
      </c>
      <c r="M40" s="714">
        <f t="shared" si="22"/>
        <v>187327.98979999998</v>
      </c>
      <c r="N40" s="714">
        <f t="shared" si="22"/>
        <v>90240.93663</v>
      </c>
      <c r="O40" s="714">
        <f>SUM(O32:O39)+1</f>
        <v>596734.092</v>
      </c>
      <c r="P40" s="714">
        <f>SUM(P32:P39)</f>
        <v>311144.34099999996</v>
      </c>
      <c r="Q40" s="714">
        <f>SUM(Q32:Q39)+0.1</f>
        <v>301952.784</v>
      </c>
      <c r="R40" s="714">
        <f>SUM(R32:R39)-1</f>
        <v>9190.657000000001</v>
      </c>
      <c r="S40" s="714">
        <f t="shared" si="22"/>
        <v>107050.117</v>
      </c>
      <c r="T40" s="714">
        <f>SUM(T32:T39)</f>
        <v>6037.135</v>
      </c>
      <c r="U40" s="714">
        <f t="shared" si="22"/>
        <v>0</v>
      </c>
      <c r="V40" s="714">
        <f t="shared" si="22"/>
        <v>0</v>
      </c>
      <c r="W40" s="714">
        <f t="shared" si="22"/>
        <v>0</v>
      </c>
      <c r="X40" s="714">
        <f t="shared" si="22"/>
        <v>0</v>
      </c>
      <c r="Y40" s="714">
        <f t="shared" si="22"/>
        <v>0</v>
      </c>
      <c r="Z40" s="714">
        <f t="shared" si="22"/>
        <v>0</v>
      </c>
      <c r="AA40" s="723">
        <f>SUM(AA32:AA39)+2</f>
        <v>172502.499</v>
      </c>
      <c r="AB40" s="712">
        <f t="shared" si="22"/>
        <v>0</v>
      </c>
      <c r="AC40" s="715">
        <f t="shared" si="22"/>
        <v>0</v>
      </c>
      <c r="AD40" s="712">
        <f t="shared" si="22"/>
        <v>0</v>
      </c>
      <c r="AE40" s="724">
        <f>SUM(AE32:AE39)+2</f>
        <v>172502.499</v>
      </c>
      <c r="AF40" s="733">
        <f>SUM(AF32:AF39)</f>
        <v>105021</v>
      </c>
      <c r="AG40" s="724">
        <f>SUM(AG32:AG39)</f>
        <v>128704</v>
      </c>
      <c r="AH40" s="725">
        <f>SUM(AH32:AH39)</f>
        <v>1189</v>
      </c>
      <c r="AI40" s="718"/>
      <c r="AJ40" s="718"/>
      <c r="AK40" s="718"/>
    </row>
    <row r="41" spans="1:37" ht="21" customHeight="1">
      <c r="A41" s="754" t="s">
        <v>1076</v>
      </c>
      <c r="B41" s="690">
        <f aca="true" t="shared" si="23" ref="B41:B46">C41+D41</f>
        <v>12803</v>
      </c>
      <c r="C41" s="755">
        <v>1050</v>
      </c>
      <c r="D41" s="755">
        <v>11753</v>
      </c>
      <c r="E41" s="756">
        <v>9679</v>
      </c>
      <c r="F41" s="757">
        <f>G41+H41+0.1</f>
        <v>294929.71665</v>
      </c>
      <c r="G41" s="755">
        <v>19730.58665</v>
      </c>
      <c r="H41" s="726">
        <f>I41+L41+O41-0.2</f>
        <v>275199.03</v>
      </c>
      <c r="I41" s="692">
        <f aca="true" t="shared" si="24" ref="I41:I46">J41+K41</f>
        <v>0</v>
      </c>
      <c r="J41" s="755"/>
      <c r="K41" s="755"/>
      <c r="L41" s="690">
        <f aca="true" t="shared" si="25" ref="L41:L46">M41+N41</f>
        <v>59839.414000000004</v>
      </c>
      <c r="M41" s="755">
        <f>62430-19516.513</f>
        <v>42913.487</v>
      </c>
      <c r="N41" s="757">
        <f>16966-40.073</f>
        <v>16925.927</v>
      </c>
      <c r="O41" s="727">
        <f aca="true" t="shared" si="26" ref="O41:O46">P41+S41+T41+U41+V41+AA41</f>
        <v>215359.81600000002</v>
      </c>
      <c r="P41" s="695">
        <f aca="true" t="shared" si="27" ref="P41:P46">Q41+R41</f>
        <v>119312.15999999999</v>
      </c>
      <c r="Q41" s="371">
        <v>117382.48</v>
      </c>
      <c r="R41" s="371">
        <v>1929.68</v>
      </c>
      <c r="S41" s="377">
        <v>41207.827</v>
      </c>
      <c r="T41" s="377">
        <v>2347.649</v>
      </c>
      <c r="U41" s="377"/>
      <c r="V41" s="690">
        <v>1464.529</v>
      </c>
      <c r="W41" s="377">
        <v>700</v>
      </c>
      <c r="X41" s="370">
        <v>700</v>
      </c>
      <c r="Y41" s="377">
        <v>150</v>
      </c>
      <c r="Z41" s="377"/>
      <c r="AA41" s="372">
        <f aca="true" t="shared" si="28" ref="AA41:AA46">AB41+AC41+AD41+AE41</f>
        <v>51027.651000000005</v>
      </c>
      <c r="AB41" s="377"/>
      <c r="AC41" s="377"/>
      <c r="AD41" s="377"/>
      <c r="AE41" s="706">
        <f>53375.3-T41</f>
        <v>51027.651000000005</v>
      </c>
      <c r="AF41" s="372">
        <v>21187</v>
      </c>
      <c r="AG41" s="706">
        <f>45834+113</f>
        <v>45947</v>
      </c>
      <c r="AH41" s="728">
        <f>98+259</f>
        <v>357</v>
      </c>
      <c r="AI41" s="336"/>
      <c r="AJ41" s="336"/>
      <c r="AK41" s="336"/>
    </row>
    <row r="42" spans="1:37" ht="21" customHeight="1">
      <c r="A42" s="754" t="s">
        <v>1077</v>
      </c>
      <c r="B42" s="699">
        <f t="shared" si="23"/>
        <v>8934</v>
      </c>
      <c r="C42" s="755">
        <v>332</v>
      </c>
      <c r="D42" s="755">
        <v>8602</v>
      </c>
      <c r="E42" s="756">
        <v>7085</v>
      </c>
      <c r="F42" s="757">
        <f>G42+H42</f>
        <v>161953.20940999998</v>
      </c>
      <c r="G42" s="755">
        <v>829.10441</v>
      </c>
      <c r="H42" s="753">
        <f>I42+L42+O42</f>
        <v>161124.10499999998</v>
      </c>
      <c r="I42" s="704">
        <f t="shared" si="24"/>
        <v>0</v>
      </c>
      <c r="J42" s="755"/>
      <c r="K42" s="755"/>
      <c r="L42" s="699">
        <f t="shared" si="25"/>
        <v>20682.705</v>
      </c>
      <c r="M42" s="755">
        <f>7903-4.495</f>
        <v>7898.505</v>
      </c>
      <c r="N42" s="757">
        <f>12789-4.8</f>
        <v>12784.2</v>
      </c>
      <c r="O42" s="721">
        <f t="shared" si="26"/>
        <v>140441.4</v>
      </c>
      <c r="P42" s="376">
        <f t="shared" si="27"/>
        <v>84768.22899999999</v>
      </c>
      <c r="Q42" s="371">
        <v>82979.309</v>
      </c>
      <c r="R42" s="371">
        <v>1788.92</v>
      </c>
      <c r="S42" s="377">
        <v>29402.242</v>
      </c>
      <c r="T42" s="377">
        <v>1659.459</v>
      </c>
      <c r="U42" s="377"/>
      <c r="V42" s="377">
        <v>670.15</v>
      </c>
      <c r="W42" s="377">
        <v>672</v>
      </c>
      <c r="X42" s="370">
        <v>672</v>
      </c>
      <c r="Y42" s="377">
        <v>441</v>
      </c>
      <c r="Z42" s="377"/>
      <c r="AA42" s="372">
        <f t="shared" si="28"/>
        <v>23941.320000000003</v>
      </c>
      <c r="AB42" s="377"/>
      <c r="AC42" s="377"/>
      <c r="AD42" s="377"/>
      <c r="AE42" s="706">
        <f>25600.9-T42-0.121</f>
        <v>23941.320000000003</v>
      </c>
      <c r="AF42" s="372">
        <v>12689</v>
      </c>
      <c r="AG42" s="706">
        <f>22326+44</f>
        <v>22370</v>
      </c>
      <c r="AH42" s="732">
        <f>76+189</f>
        <v>265</v>
      </c>
      <c r="AI42" s="336"/>
      <c r="AJ42" s="336"/>
      <c r="AK42" s="336"/>
    </row>
    <row r="43" spans="1:37" ht="21" customHeight="1">
      <c r="A43" s="754" t="s">
        <v>1078</v>
      </c>
      <c r="B43" s="699">
        <f t="shared" si="23"/>
        <v>14350</v>
      </c>
      <c r="C43" s="755">
        <v>1633</v>
      </c>
      <c r="D43" s="755">
        <v>12717</v>
      </c>
      <c r="E43" s="756">
        <v>10473</v>
      </c>
      <c r="F43" s="757">
        <f>G43+H43</f>
        <v>192749.944</v>
      </c>
      <c r="G43" s="755">
        <v>1433.06049</v>
      </c>
      <c r="H43" s="753">
        <f>I43+L43+O43</f>
        <v>191316.88350999999</v>
      </c>
      <c r="I43" s="704">
        <f t="shared" si="24"/>
        <v>0</v>
      </c>
      <c r="J43" s="755"/>
      <c r="K43" s="755"/>
      <c r="L43" s="699">
        <f>M43+N43</f>
        <v>20247.01851</v>
      </c>
      <c r="M43" s="755">
        <f>5518-0.548</f>
        <v>5517.452</v>
      </c>
      <c r="N43" s="757">
        <f>14758-28.43349</f>
        <v>14729.56651</v>
      </c>
      <c r="O43" s="721">
        <f>P43+S43+T43+U43+V43+AA43</f>
        <v>171069.865</v>
      </c>
      <c r="P43" s="376">
        <f>Q43+R43</f>
        <v>100519.022</v>
      </c>
      <c r="Q43" s="371">
        <v>98621.161</v>
      </c>
      <c r="R43" s="371">
        <v>1897.861</v>
      </c>
      <c r="S43" s="377">
        <v>34918.922</v>
      </c>
      <c r="T43" s="377">
        <v>1972.346</v>
      </c>
      <c r="U43" s="377"/>
      <c r="V43" s="377">
        <v>2022.921</v>
      </c>
      <c r="W43" s="377">
        <v>290</v>
      </c>
      <c r="X43" s="370">
        <v>290</v>
      </c>
      <c r="Y43" s="377">
        <v>60</v>
      </c>
      <c r="Z43" s="377"/>
      <c r="AA43" s="372">
        <f t="shared" si="28"/>
        <v>31636.654</v>
      </c>
      <c r="AB43" s="377"/>
      <c r="AC43" s="377"/>
      <c r="AD43" s="377"/>
      <c r="AE43" s="706">
        <f>33609-T43</f>
        <v>31636.654</v>
      </c>
      <c r="AF43" s="372">
        <v>21142</v>
      </c>
      <c r="AG43" s="706">
        <f>17179+48</f>
        <v>17227</v>
      </c>
      <c r="AH43" s="728">
        <f>115+203</f>
        <v>318</v>
      </c>
      <c r="AI43" s="336"/>
      <c r="AJ43" s="336"/>
      <c r="AK43" s="336"/>
    </row>
    <row r="44" spans="1:37" ht="21" customHeight="1">
      <c r="A44" s="754" t="s">
        <v>1079</v>
      </c>
      <c r="B44" s="699">
        <f t="shared" si="23"/>
        <v>3390</v>
      </c>
      <c r="C44" s="755">
        <v>48</v>
      </c>
      <c r="D44" s="755">
        <v>3342</v>
      </c>
      <c r="E44" s="756">
        <v>2752</v>
      </c>
      <c r="F44" s="757">
        <f>G44+H44</f>
        <v>72166.148</v>
      </c>
      <c r="G44" s="755">
        <v>274.767</v>
      </c>
      <c r="H44" s="753">
        <f>I44+L44+O44</f>
        <v>71891.381</v>
      </c>
      <c r="I44" s="704">
        <f t="shared" si="24"/>
        <v>0</v>
      </c>
      <c r="J44" s="755"/>
      <c r="K44" s="755"/>
      <c r="L44" s="699">
        <f t="shared" si="25"/>
        <v>19132.948</v>
      </c>
      <c r="M44" s="755">
        <f>15649.248</f>
        <v>15649.248</v>
      </c>
      <c r="N44" s="757">
        <v>3483.7</v>
      </c>
      <c r="O44" s="721">
        <f t="shared" si="26"/>
        <v>52758.433</v>
      </c>
      <c r="P44" s="376">
        <f t="shared" si="27"/>
        <v>31632</v>
      </c>
      <c r="Q44" s="371">
        <v>31239</v>
      </c>
      <c r="R44" s="371">
        <v>393</v>
      </c>
      <c r="S44" s="377">
        <v>10975</v>
      </c>
      <c r="T44" s="377">
        <v>624.78</v>
      </c>
      <c r="U44" s="377"/>
      <c r="V44" s="377">
        <v>58.233</v>
      </c>
      <c r="W44" s="377">
        <v>0</v>
      </c>
      <c r="X44" s="370">
        <v>0</v>
      </c>
      <c r="Y44" s="377">
        <v>40</v>
      </c>
      <c r="Z44" s="377"/>
      <c r="AA44" s="372">
        <f t="shared" si="28"/>
        <v>9468.42</v>
      </c>
      <c r="AB44" s="377"/>
      <c r="AC44" s="377"/>
      <c r="AD44" s="377"/>
      <c r="AE44" s="706">
        <f>10093.2-T44</f>
        <v>9468.42</v>
      </c>
      <c r="AF44" s="372">
        <v>4171</v>
      </c>
      <c r="AG44" s="706">
        <f>9004+57</f>
        <v>9061</v>
      </c>
      <c r="AH44" s="732">
        <f>30+65</f>
        <v>95</v>
      </c>
      <c r="AI44" s="336"/>
      <c r="AJ44" s="336"/>
      <c r="AK44" s="336"/>
    </row>
    <row r="45" spans="1:37" ht="21" customHeight="1">
      <c r="A45" s="754" t="s">
        <v>1080</v>
      </c>
      <c r="B45" s="699">
        <f t="shared" si="23"/>
        <v>3192</v>
      </c>
      <c r="C45" s="755">
        <v>35</v>
      </c>
      <c r="D45" s="755">
        <v>3157</v>
      </c>
      <c r="E45" s="756">
        <v>2600</v>
      </c>
      <c r="F45" s="757">
        <f>G45+H45</f>
        <v>72205.92300000001</v>
      </c>
      <c r="G45" s="755">
        <v>159.9584</v>
      </c>
      <c r="H45" s="753">
        <f>I45+L45+O45</f>
        <v>72045.9646</v>
      </c>
      <c r="I45" s="704">
        <f t="shared" si="24"/>
        <v>0</v>
      </c>
      <c r="J45" s="755"/>
      <c r="K45" s="755"/>
      <c r="L45" s="699">
        <f t="shared" si="25"/>
        <v>15160.691600000002</v>
      </c>
      <c r="M45" s="755">
        <f>10246-5.613</f>
        <v>10240.387</v>
      </c>
      <c r="N45" s="757">
        <f>4933.6-13.2954</f>
        <v>4920.3046</v>
      </c>
      <c r="O45" s="721">
        <f t="shared" si="26"/>
        <v>56885.27300000001</v>
      </c>
      <c r="P45" s="376">
        <f t="shared" si="27"/>
        <v>32142.487</v>
      </c>
      <c r="Q45" s="371">
        <v>31524.557</v>
      </c>
      <c r="R45" s="371">
        <v>617.93</v>
      </c>
      <c r="S45" s="377">
        <v>11115.406</v>
      </c>
      <c r="T45" s="377">
        <v>630.491</v>
      </c>
      <c r="U45" s="377"/>
      <c r="V45" s="377">
        <v>999.08</v>
      </c>
      <c r="W45" s="377">
        <v>164</v>
      </c>
      <c r="X45" s="370">
        <v>164</v>
      </c>
      <c r="Y45" s="377">
        <v>25</v>
      </c>
      <c r="Z45" s="377"/>
      <c r="AA45" s="372">
        <f t="shared" si="28"/>
        <v>11997.809</v>
      </c>
      <c r="AB45" s="377"/>
      <c r="AC45" s="377"/>
      <c r="AD45" s="377"/>
      <c r="AE45" s="706">
        <f>12628.3-T45</f>
        <v>11997.809</v>
      </c>
      <c r="AF45" s="372">
        <v>7119</v>
      </c>
      <c r="AG45" s="706">
        <f>4308+23</f>
        <v>4331</v>
      </c>
      <c r="AH45" s="728">
        <f>27+58</f>
        <v>85</v>
      </c>
      <c r="AI45" s="336"/>
      <c r="AJ45" s="336"/>
      <c r="AK45" s="336"/>
    </row>
    <row r="46" spans="1:37" ht="21" customHeight="1" thickBot="1">
      <c r="A46" s="754" t="s">
        <v>1081</v>
      </c>
      <c r="B46" s="699">
        <f t="shared" si="23"/>
        <v>2051</v>
      </c>
      <c r="C46" s="755">
        <v>35</v>
      </c>
      <c r="D46" s="755">
        <v>2016</v>
      </c>
      <c r="E46" s="756">
        <v>1660</v>
      </c>
      <c r="F46" s="757">
        <f>G46+H46</f>
        <v>24870.9854</v>
      </c>
      <c r="G46" s="755">
        <v>70.04115</v>
      </c>
      <c r="H46" s="753">
        <f>I46+L46+O46</f>
        <v>24800.94425</v>
      </c>
      <c r="I46" s="704">
        <f t="shared" si="24"/>
        <v>0</v>
      </c>
      <c r="J46" s="755"/>
      <c r="K46" s="755"/>
      <c r="L46" s="699">
        <f t="shared" si="25"/>
        <v>3383.76325</v>
      </c>
      <c r="M46" s="755">
        <f>1836-7.145</f>
        <v>1828.855</v>
      </c>
      <c r="N46" s="757">
        <f>1599-44.09175</f>
        <v>1554.90825</v>
      </c>
      <c r="O46" s="721">
        <f t="shared" si="26"/>
        <v>21417.181</v>
      </c>
      <c r="P46" s="376">
        <f t="shared" si="27"/>
        <v>14496.768</v>
      </c>
      <c r="Q46" s="371">
        <v>14301.168</v>
      </c>
      <c r="R46" s="371">
        <v>195.6</v>
      </c>
      <c r="S46" s="377">
        <v>5011.207</v>
      </c>
      <c r="T46" s="377">
        <v>286.5</v>
      </c>
      <c r="U46" s="377"/>
      <c r="V46" s="377">
        <v>153.806</v>
      </c>
      <c r="W46" s="377">
        <v>200</v>
      </c>
      <c r="X46" s="370">
        <v>200</v>
      </c>
      <c r="Y46" s="377">
        <v>50</v>
      </c>
      <c r="Z46" s="377"/>
      <c r="AA46" s="373">
        <f t="shared" si="28"/>
        <v>1468.9</v>
      </c>
      <c r="AB46" s="377"/>
      <c r="AC46" s="377"/>
      <c r="AD46" s="377"/>
      <c r="AE46" s="706">
        <f>1755.4-T46</f>
        <v>1468.9</v>
      </c>
      <c r="AF46" s="372">
        <v>0</v>
      </c>
      <c r="AG46" s="706">
        <f>2032+17</f>
        <v>2049</v>
      </c>
      <c r="AH46" s="758">
        <f>17+20</f>
        <v>37</v>
      </c>
      <c r="AI46" s="336"/>
      <c r="AJ46" s="336"/>
      <c r="AK46" s="336"/>
    </row>
    <row r="47" spans="1:37" ht="21" customHeight="1" hidden="1">
      <c r="A47" s="750" t="s">
        <v>558</v>
      </c>
      <c r="B47" s="712">
        <f>SUM(C47:D47)</f>
        <v>44720</v>
      </c>
      <c r="C47" s="712">
        <f aca="true" t="shared" si="29" ref="C47:K47">SUM(C41:C46)</f>
        <v>3133</v>
      </c>
      <c r="D47" s="712">
        <f t="shared" si="29"/>
        <v>41587</v>
      </c>
      <c r="E47" s="713">
        <f t="shared" si="29"/>
        <v>34249</v>
      </c>
      <c r="F47" s="714">
        <f>SUM(F41:F46)</f>
        <v>818875.9264600001</v>
      </c>
      <c r="G47" s="714">
        <f>SUM(G41:G46)</f>
        <v>22497.5181</v>
      </c>
      <c r="H47" s="723">
        <f t="shared" si="29"/>
        <v>796378.3083599999</v>
      </c>
      <c r="I47" s="712">
        <f t="shared" si="29"/>
        <v>0</v>
      </c>
      <c r="J47" s="712">
        <f t="shared" si="29"/>
        <v>0</v>
      </c>
      <c r="K47" s="712">
        <f t="shared" si="29"/>
        <v>0</v>
      </c>
      <c r="L47" s="712">
        <f>SUM(L41:L46)</f>
        <v>138446.54035999998</v>
      </c>
      <c r="M47" s="712">
        <f aca="true" t="shared" si="30" ref="M47:AC47">SUM(M41:M46)</f>
        <v>84047.934</v>
      </c>
      <c r="N47" s="712">
        <f t="shared" si="30"/>
        <v>54398.60636</v>
      </c>
      <c r="O47" s="714">
        <f t="shared" si="30"/>
        <v>657931.968</v>
      </c>
      <c r="P47" s="712">
        <f t="shared" si="30"/>
        <v>382870.66599999997</v>
      </c>
      <c r="Q47" s="712">
        <f t="shared" si="30"/>
        <v>376047.675</v>
      </c>
      <c r="R47" s="712">
        <f t="shared" si="30"/>
        <v>6822.991000000001</v>
      </c>
      <c r="S47" s="712">
        <f t="shared" si="30"/>
        <v>132630.604</v>
      </c>
      <c r="T47" s="712">
        <f t="shared" si="30"/>
        <v>7521.224999999999</v>
      </c>
      <c r="U47" s="712">
        <f t="shared" si="30"/>
        <v>0</v>
      </c>
      <c r="V47" s="712">
        <f t="shared" si="30"/>
        <v>5368.719</v>
      </c>
      <c r="W47" s="712">
        <f t="shared" si="30"/>
        <v>2026</v>
      </c>
      <c r="X47" s="712">
        <f t="shared" si="30"/>
        <v>2026</v>
      </c>
      <c r="Y47" s="712">
        <f t="shared" si="30"/>
        <v>766</v>
      </c>
      <c r="Z47" s="712">
        <f t="shared" si="30"/>
        <v>0</v>
      </c>
      <c r="AA47" s="759">
        <f>SUM(AA41:AA46)-1</f>
        <v>129539.75399999999</v>
      </c>
      <c r="AB47" s="712">
        <f t="shared" si="30"/>
        <v>0</v>
      </c>
      <c r="AC47" s="712">
        <f t="shared" si="30"/>
        <v>0</v>
      </c>
      <c r="AD47" s="712">
        <f>SUM(AD41:AD46)</f>
        <v>0</v>
      </c>
      <c r="AE47" s="713">
        <f>AE41+AE42+AE43+AE44+AE45+AE46</f>
        <v>129540.75399999999</v>
      </c>
      <c r="AF47" s="759">
        <f>SUM(AF41:AF46)</f>
        <v>66308</v>
      </c>
      <c r="AG47" s="713">
        <f>SUM(AG41:AG46)</f>
        <v>100985</v>
      </c>
      <c r="AH47" s="725">
        <f>SUM(AH41:AH46)</f>
        <v>1157</v>
      </c>
      <c r="AI47" s="718"/>
      <c r="AJ47" s="718"/>
      <c r="AK47" s="718"/>
    </row>
    <row r="48" spans="1:37" ht="21" customHeight="1">
      <c r="A48" s="754" t="s">
        <v>1041</v>
      </c>
      <c r="B48" s="377">
        <f>C48+D48</f>
        <v>7229</v>
      </c>
      <c r="C48" s="755">
        <v>4260</v>
      </c>
      <c r="D48" s="755">
        <v>2969</v>
      </c>
      <c r="E48" s="756">
        <v>2445</v>
      </c>
      <c r="F48" s="757">
        <f>G48+H48</f>
        <v>271257.71346</v>
      </c>
      <c r="G48" s="755">
        <v>5427.66226</v>
      </c>
      <c r="H48" s="720">
        <f>I48+L48+O48-645.7</f>
        <v>265830.0512</v>
      </c>
      <c r="I48" s="373">
        <f>J48+K48</f>
        <v>4104.169</v>
      </c>
      <c r="J48" s="755">
        <v>1209.18</v>
      </c>
      <c r="K48" s="755">
        <v>2894.989</v>
      </c>
      <c r="L48" s="377">
        <f>M48+N48</f>
        <v>35331.248999999996</v>
      </c>
      <c r="M48" s="755">
        <f>22373.1-3770.172</f>
        <v>18602.928</v>
      </c>
      <c r="N48" s="757">
        <f>16899-170.679</f>
        <v>16728.321</v>
      </c>
      <c r="O48" s="721">
        <f>P48+S48+T48+U48+V48+AA48</f>
        <v>227040.3332</v>
      </c>
      <c r="P48" s="370">
        <f>Q48+R48</f>
        <v>130918.936</v>
      </c>
      <c r="Q48" s="377">
        <v>128755.611</v>
      </c>
      <c r="R48" s="373">
        <v>2163.325</v>
      </c>
      <c r="S48" s="377">
        <v>45093.948</v>
      </c>
      <c r="T48" s="377">
        <v>2573.437</v>
      </c>
      <c r="U48" s="377">
        <v>0</v>
      </c>
      <c r="V48" s="377">
        <v>870.916</v>
      </c>
      <c r="W48" s="377">
        <v>200</v>
      </c>
      <c r="X48" s="374">
        <v>200</v>
      </c>
      <c r="Y48" s="377">
        <v>180</v>
      </c>
      <c r="Z48" s="377">
        <v>0</v>
      </c>
      <c r="AA48" s="373">
        <f>AB48+AC48+AD48+AE48</f>
        <v>47583.0962</v>
      </c>
      <c r="AB48" s="377">
        <v>0</v>
      </c>
      <c r="AC48" s="377">
        <v>0</v>
      </c>
      <c r="AD48" s="377"/>
      <c r="AE48" s="706">
        <f>52781-T48-K48-370.91846+645.7-4.25934</f>
        <v>47583.0962</v>
      </c>
      <c r="AF48" s="372">
        <v>45118</v>
      </c>
      <c r="AG48" s="706">
        <f>16669+148</f>
        <v>16817</v>
      </c>
      <c r="AH48" s="728">
        <f>201+363</f>
        <v>564</v>
      </c>
      <c r="AI48" s="336"/>
      <c r="AJ48" s="336"/>
      <c r="AK48" s="336"/>
    </row>
    <row r="49" spans="1:37" ht="21" customHeight="1" hidden="1">
      <c r="A49" s="760" t="s">
        <v>559</v>
      </c>
      <c r="B49" s="366">
        <f aca="true" t="shared" si="31" ref="B49:AD49">B47+B48</f>
        <v>51949</v>
      </c>
      <c r="C49" s="366">
        <f t="shared" si="31"/>
        <v>7393</v>
      </c>
      <c r="D49" s="366">
        <f t="shared" si="31"/>
        <v>44556</v>
      </c>
      <c r="E49" s="761">
        <f t="shared" si="31"/>
        <v>36694</v>
      </c>
      <c r="F49" s="762">
        <f>F47+F48</f>
        <v>1090133.63992</v>
      </c>
      <c r="G49" s="762">
        <f>G47+G48</f>
        <v>27925.180360000002</v>
      </c>
      <c r="H49" s="763">
        <f t="shared" si="31"/>
        <v>1062208.3595599998</v>
      </c>
      <c r="I49" s="366">
        <f t="shared" si="31"/>
        <v>4104.169</v>
      </c>
      <c r="J49" s="366">
        <f t="shared" si="31"/>
        <v>1209.18</v>
      </c>
      <c r="K49" s="366">
        <f t="shared" si="31"/>
        <v>2894.989</v>
      </c>
      <c r="L49" s="366">
        <f t="shared" si="31"/>
        <v>173777.78936</v>
      </c>
      <c r="M49" s="366">
        <f t="shared" si="31"/>
        <v>102650.862</v>
      </c>
      <c r="N49" s="366">
        <f t="shared" si="31"/>
        <v>71126.92736</v>
      </c>
      <c r="O49" s="762">
        <f t="shared" si="31"/>
        <v>884972.3012</v>
      </c>
      <c r="P49" s="366">
        <f t="shared" si="31"/>
        <v>513789.60199999996</v>
      </c>
      <c r="Q49" s="366">
        <f t="shared" si="31"/>
        <v>504803.28599999996</v>
      </c>
      <c r="R49" s="366">
        <f t="shared" si="31"/>
        <v>8986.316</v>
      </c>
      <c r="S49" s="366">
        <f t="shared" si="31"/>
        <v>177724.552</v>
      </c>
      <c r="T49" s="366">
        <f t="shared" si="31"/>
        <v>10094.662</v>
      </c>
      <c r="U49" s="366">
        <f t="shared" si="31"/>
        <v>0</v>
      </c>
      <c r="V49" s="366">
        <f t="shared" si="31"/>
        <v>6239.635</v>
      </c>
      <c r="W49" s="366">
        <f t="shared" si="31"/>
        <v>2226</v>
      </c>
      <c r="X49" s="366">
        <f t="shared" si="31"/>
        <v>2226</v>
      </c>
      <c r="Y49" s="366">
        <f t="shared" si="31"/>
        <v>946</v>
      </c>
      <c r="Z49" s="366">
        <f t="shared" si="31"/>
        <v>0</v>
      </c>
      <c r="AA49" s="764">
        <f>AA47+AA48+1</f>
        <v>177123.8502</v>
      </c>
      <c r="AB49" s="366">
        <f t="shared" si="31"/>
        <v>0</v>
      </c>
      <c r="AC49" s="366">
        <f t="shared" si="31"/>
        <v>0</v>
      </c>
      <c r="AD49" s="366">
        <f t="shared" si="31"/>
        <v>0</v>
      </c>
      <c r="AE49" s="761">
        <f>AE47+AE48</f>
        <v>177123.8502</v>
      </c>
      <c r="AF49" s="715">
        <f>SUM(AF47:AF48)</f>
        <v>111426</v>
      </c>
      <c r="AG49" s="713">
        <f>SUM(AG47:AG48)</f>
        <v>117802</v>
      </c>
      <c r="AH49" s="725">
        <f>AH47+AH48</f>
        <v>1721</v>
      </c>
      <c r="AI49" s="718"/>
      <c r="AJ49" s="718"/>
      <c r="AK49" s="718"/>
    </row>
    <row r="50" spans="1:37" ht="21" customHeight="1" thickBot="1">
      <c r="A50" s="752" t="s">
        <v>177</v>
      </c>
      <c r="B50" s="377">
        <f>C50+D50</f>
        <v>180</v>
      </c>
      <c r="C50" s="765">
        <v>180</v>
      </c>
      <c r="D50" s="765">
        <v>0</v>
      </c>
      <c r="E50" s="766"/>
      <c r="F50" s="767">
        <f>G50+H50</f>
        <v>19434.305999999997</v>
      </c>
      <c r="G50" s="765">
        <v>137</v>
      </c>
      <c r="H50" s="720">
        <f>I50+L50+O50</f>
        <v>19297.305999999997</v>
      </c>
      <c r="I50" s="373">
        <f>J50+K50</f>
        <v>0</v>
      </c>
      <c r="J50" s="765"/>
      <c r="K50" s="765"/>
      <c r="L50" s="377">
        <f>M50+N50</f>
        <v>4698.368</v>
      </c>
      <c r="M50" s="765">
        <v>2699.768</v>
      </c>
      <c r="N50" s="767">
        <v>1998.6</v>
      </c>
      <c r="O50" s="721">
        <f>P50+S50+T50+U50+V50+AA50</f>
        <v>14598.937999999998</v>
      </c>
      <c r="P50" s="376">
        <f>Q50+R50</f>
        <v>7114.579</v>
      </c>
      <c r="Q50" s="377">
        <v>7026.579</v>
      </c>
      <c r="R50" s="371">
        <v>88</v>
      </c>
      <c r="S50" s="377">
        <v>2459.159</v>
      </c>
      <c r="T50" s="377">
        <v>140.525</v>
      </c>
      <c r="U50" s="377"/>
      <c r="V50" s="377">
        <f>W50+Y50</f>
        <v>0</v>
      </c>
      <c r="W50" s="377">
        <v>0</v>
      </c>
      <c r="X50" s="370"/>
      <c r="Y50" s="377">
        <v>0</v>
      </c>
      <c r="Z50" s="377">
        <v>0</v>
      </c>
      <c r="AA50" s="373">
        <f>AB50+AC50+AD50+AE50</f>
        <v>4884.675</v>
      </c>
      <c r="AB50" s="377"/>
      <c r="AC50" s="377"/>
      <c r="AD50" s="377">
        <v>0</v>
      </c>
      <c r="AE50" s="706">
        <f>5027.2-T50-2</f>
        <v>4884.675</v>
      </c>
      <c r="AF50" s="365">
        <v>1561</v>
      </c>
      <c r="AG50" s="709">
        <f>2293+7</f>
        <v>2300</v>
      </c>
      <c r="AH50" s="728">
        <f>30+11</f>
        <v>41</v>
      </c>
      <c r="AI50" s="336"/>
      <c r="AJ50" s="336"/>
      <c r="AK50" s="336"/>
    </row>
    <row r="51" spans="1:37" ht="21" customHeight="1" thickBot="1">
      <c r="A51" s="750" t="s">
        <v>560</v>
      </c>
      <c r="B51" s="690">
        <f>C51+D51</f>
        <v>987155</v>
      </c>
      <c r="C51" s="755">
        <v>26520</v>
      </c>
      <c r="D51" s="755">
        <v>960635</v>
      </c>
      <c r="E51" s="768">
        <v>791111</v>
      </c>
      <c r="F51" s="769">
        <f>F49+F50</f>
        <v>1109567.94592</v>
      </c>
      <c r="G51" s="770">
        <f>G49+G50</f>
        <v>28062.180360000002</v>
      </c>
      <c r="H51" s="714">
        <f>H49+H50</f>
        <v>1081505.6655599999</v>
      </c>
      <c r="I51" s="733">
        <f>I49+I50</f>
        <v>4104.169</v>
      </c>
      <c r="J51" s="714">
        <f aca="true" t="shared" si="32" ref="J51:AD51">J49+J50</f>
        <v>1209.18</v>
      </c>
      <c r="K51" s="714">
        <f t="shared" si="32"/>
        <v>2894.989</v>
      </c>
      <c r="L51" s="714">
        <f>L49+L50-2</f>
        <v>178474.15735999998</v>
      </c>
      <c r="M51" s="714">
        <f t="shared" si="32"/>
        <v>105350.62999999999</v>
      </c>
      <c r="N51" s="714">
        <f t="shared" si="32"/>
        <v>73125.52736000001</v>
      </c>
      <c r="O51" s="714">
        <f>O49+O50+1</f>
        <v>899572.2392</v>
      </c>
      <c r="P51" s="714">
        <f>P49+P50+1</f>
        <v>520905.181</v>
      </c>
      <c r="Q51" s="714">
        <f>Q49+Q50-1</f>
        <v>511828.865</v>
      </c>
      <c r="R51" s="714">
        <f t="shared" si="32"/>
        <v>9074.316</v>
      </c>
      <c r="S51" s="714">
        <f t="shared" si="32"/>
        <v>180183.711</v>
      </c>
      <c r="T51" s="714">
        <f t="shared" si="32"/>
        <v>10235.187</v>
      </c>
      <c r="U51" s="714">
        <f t="shared" si="32"/>
        <v>0</v>
      </c>
      <c r="V51" s="714">
        <f>V49+V50</f>
        <v>6239.635</v>
      </c>
      <c r="W51" s="712">
        <f t="shared" si="32"/>
        <v>2226</v>
      </c>
      <c r="X51" s="712">
        <f t="shared" si="32"/>
        <v>2226</v>
      </c>
      <c r="Y51" s="712">
        <f t="shared" si="32"/>
        <v>946</v>
      </c>
      <c r="Z51" s="712">
        <f t="shared" si="32"/>
        <v>0</v>
      </c>
      <c r="AA51" s="714">
        <f>AA49+AA50</f>
        <v>182008.52519999997</v>
      </c>
      <c r="AB51" s="712">
        <f t="shared" si="32"/>
        <v>0</v>
      </c>
      <c r="AC51" s="712">
        <f t="shared" si="32"/>
        <v>0</v>
      </c>
      <c r="AD51" s="712">
        <f t="shared" si="32"/>
        <v>0</v>
      </c>
      <c r="AE51" s="724">
        <f>AE49+AE50</f>
        <v>182008.52519999997</v>
      </c>
      <c r="AF51" s="365">
        <v>216172</v>
      </c>
      <c r="AG51" s="709">
        <f>626035+481+3300+2928</f>
        <v>632744</v>
      </c>
      <c r="AH51" s="728">
        <f>8672+581</f>
        <v>9253</v>
      </c>
      <c r="AI51" s="336"/>
      <c r="AJ51" s="336"/>
      <c r="AK51" s="336"/>
    </row>
    <row r="52" spans="1:37" ht="21" customHeight="1" thickBot="1">
      <c r="A52" s="771" t="s">
        <v>54</v>
      </c>
      <c r="B52" s="772">
        <f>C52+D52</f>
        <v>1068</v>
      </c>
      <c r="C52" s="773">
        <v>1068</v>
      </c>
      <c r="D52" s="773">
        <v>0</v>
      </c>
      <c r="E52" s="774"/>
      <c r="F52" s="775">
        <f>G52+H52</f>
        <v>358013.87945</v>
      </c>
      <c r="G52" s="773">
        <v>5619.69107</v>
      </c>
      <c r="H52" s="776">
        <f>I52+L52+O52</f>
        <v>352394.18838</v>
      </c>
      <c r="I52" s="777">
        <f>J52+K52</f>
        <v>0</v>
      </c>
      <c r="J52" s="778"/>
      <c r="K52" s="778"/>
      <c r="L52" s="779">
        <f>M52+N52</f>
        <v>49759.05</v>
      </c>
      <c r="M52" s="778">
        <f>33986.081-113.354</f>
        <v>33872.727</v>
      </c>
      <c r="N52" s="775">
        <f>15886.323</f>
        <v>15886.323</v>
      </c>
      <c r="O52" s="779">
        <f>P52+S52+T52+U52+V52+AA52</f>
        <v>302635.13838</v>
      </c>
      <c r="P52" s="780">
        <f>Q52+R52</f>
        <v>106381.425</v>
      </c>
      <c r="Q52" s="779">
        <v>101827.999</v>
      </c>
      <c r="R52" s="776">
        <v>4553.426</v>
      </c>
      <c r="S52" s="779">
        <v>36127.279</v>
      </c>
      <c r="T52" s="779">
        <v>2035.759</v>
      </c>
      <c r="U52" s="779">
        <v>0</v>
      </c>
      <c r="V52" s="779">
        <f>W52+Y52</f>
        <v>0</v>
      </c>
      <c r="W52" s="779">
        <v>0</v>
      </c>
      <c r="X52" s="781"/>
      <c r="Y52" s="779">
        <v>0</v>
      </c>
      <c r="Z52" s="779">
        <v>0</v>
      </c>
      <c r="AA52" s="782">
        <f>AB52+AC52+AD52+AE52</f>
        <v>158090.67538</v>
      </c>
      <c r="AB52" s="779"/>
      <c r="AC52" s="779"/>
      <c r="AD52" s="779">
        <v>3340.9062</v>
      </c>
      <c r="AE52" s="783">
        <f>156389.8-T52-2258.97062-AD52+9126-3130.395</f>
        <v>154749.76918</v>
      </c>
      <c r="AF52" s="372">
        <v>29948</v>
      </c>
      <c r="AG52" s="706">
        <f>172830+97</f>
        <v>172927</v>
      </c>
      <c r="AH52" s="732">
        <v>456</v>
      </c>
      <c r="AI52" s="336"/>
      <c r="AJ52" s="336"/>
      <c r="AK52" s="336"/>
    </row>
    <row r="53" spans="1:37" ht="21" customHeight="1" hidden="1">
      <c r="A53" s="771" t="s">
        <v>561</v>
      </c>
      <c r="B53" s="779" t="e">
        <f>#REF!+#REF!+#REF!+B40</f>
        <v>#REF!</v>
      </c>
      <c r="C53" s="779" t="e">
        <f>#REF!+#REF!+#REF!+C40</f>
        <v>#REF!</v>
      </c>
      <c r="D53" s="779" t="e">
        <f>#REF!+#REF!+#REF!+D40</f>
        <v>#REF!</v>
      </c>
      <c r="E53" s="784" t="e">
        <f>#REF!+#REF!+#REF!+E40</f>
        <v>#REF!</v>
      </c>
      <c r="F53" s="779">
        <f>F23+F27+F31+F40+F51+F52+1</f>
        <v>57300661.20308</v>
      </c>
      <c r="G53" s="779">
        <f aca="true" t="shared" si="33" ref="G53:AD53">G23+G27+G31+G40+G51+G52</f>
        <v>1785592.57865</v>
      </c>
      <c r="H53" s="779">
        <f>H23+H27+H31+H40+H51+H52+1</f>
        <v>55515069.52442999</v>
      </c>
      <c r="I53" s="779">
        <f t="shared" si="33"/>
        <v>76803.533</v>
      </c>
      <c r="J53" s="779">
        <f t="shared" si="33"/>
        <v>36485.964</v>
      </c>
      <c r="K53" s="779">
        <f t="shared" si="33"/>
        <v>40317.569</v>
      </c>
      <c r="L53" s="779">
        <f t="shared" si="33"/>
        <v>7304722.748749999</v>
      </c>
      <c r="M53" s="779">
        <f t="shared" si="33"/>
        <v>3826810.6076599997</v>
      </c>
      <c r="N53" s="779">
        <f t="shared" si="33"/>
        <v>3477912.14109</v>
      </c>
      <c r="O53" s="779">
        <f t="shared" si="33"/>
        <v>48135674.53268</v>
      </c>
      <c r="P53" s="779">
        <f>P23+P27+P31+P40+P51+P52-1</f>
        <v>25677160.828</v>
      </c>
      <c r="Q53" s="779">
        <f>Q23+Q27+Q31+Q40+Q51+Q52+1</f>
        <v>25096118.967</v>
      </c>
      <c r="R53" s="779">
        <f t="shared" si="33"/>
        <v>581040.9609999999</v>
      </c>
      <c r="S53" s="779">
        <f t="shared" si="33"/>
        <v>8824344.727999998</v>
      </c>
      <c r="T53" s="779">
        <f t="shared" si="33"/>
        <v>501914.641</v>
      </c>
      <c r="U53" s="779">
        <f t="shared" si="33"/>
        <v>3336684.116</v>
      </c>
      <c r="V53" s="779">
        <f t="shared" si="33"/>
        <v>2931956.9380000005</v>
      </c>
      <c r="W53" s="779">
        <f t="shared" si="33"/>
        <v>1742730</v>
      </c>
      <c r="X53" s="779">
        <f t="shared" si="33"/>
        <v>186070</v>
      </c>
      <c r="Y53" s="779">
        <f t="shared" si="33"/>
        <v>90989</v>
      </c>
      <c r="Z53" s="779">
        <f t="shared" si="33"/>
        <v>7260</v>
      </c>
      <c r="AA53" s="779">
        <f t="shared" si="33"/>
        <v>6863612.28168</v>
      </c>
      <c r="AB53" s="779">
        <f t="shared" si="33"/>
        <v>86232.6398</v>
      </c>
      <c r="AC53" s="779">
        <f t="shared" si="33"/>
        <v>0</v>
      </c>
      <c r="AD53" s="779">
        <f t="shared" si="33"/>
        <v>41743.92366</v>
      </c>
      <c r="AE53" s="783">
        <f>AE23+AE27+AE31+AE40+AE51+AE52-1</f>
        <v>6735634.718219999</v>
      </c>
      <c r="AF53" s="785" t="e">
        <f>#REF!+#REF!+#REF!+AF40</f>
        <v>#REF!</v>
      </c>
      <c r="AG53" s="786" t="e">
        <f>#REF!+#REF!+#REF!+AG40</f>
        <v>#REF!</v>
      </c>
      <c r="AH53" s="787" t="e">
        <f>#REF!+#REF!+#REF!+AH40</f>
        <v>#REF!</v>
      </c>
      <c r="AI53" s="718"/>
      <c r="AJ53" s="718"/>
      <c r="AK53" s="718"/>
    </row>
    <row r="54" spans="1:37" ht="21" customHeight="1">
      <c r="A54" s="754" t="s">
        <v>181</v>
      </c>
      <c r="B54" s="690">
        <f>C54+D54</f>
        <v>0</v>
      </c>
      <c r="C54" s="755"/>
      <c r="D54" s="755"/>
      <c r="E54" s="756"/>
      <c r="F54" s="757">
        <f>G54+H54</f>
        <v>812691.03015</v>
      </c>
      <c r="G54" s="755">
        <v>500</v>
      </c>
      <c r="H54" s="726">
        <f>I54+L54+O54</f>
        <v>812191.03015</v>
      </c>
      <c r="I54" s="692">
        <f>J54+K54</f>
        <v>0</v>
      </c>
      <c r="J54" s="755"/>
      <c r="K54" s="755"/>
      <c r="L54" s="690">
        <f>M54+N54</f>
        <v>55432.03015</v>
      </c>
      <c r="M54" s="755">
        <v>55432.03015</v>
      </c>
      <c r="N54" s="757"/>
      <c r="O54" s="727">
        <f>P54+S54+T54+U54+V54+AA54</f>
        <v>756759</v>
      </c>
      <c r="P54" s="695">
        <f>Q54+R54</f>
        <v>0</v>
      </c>
      <c r="Q54" s="377"/>
      <c r="R54" s="373"/>
      <c r="S54" s="377">
        <v>0</v>
      </c>
      <c r="T54" s="377">
        <v>0</v>
      </c>
      <c r="U54" s="377"/>
      <c r="V54" s="690">
        <f>W54+Y54</f>
        <v>0</v>
      </c>
      <c r="W54" s="377"/>
      <c r="X54" s="374"/>
      <c r="Y54" s="377"/>
      <c r="Z54" s="377"/>
      <c r="AA54" s="372">
        <f>AB54+AC54+AD54+AE54</f>
        <v>756759</v>
      </c>
      <c r="AB54" s="377"/>
      <c r="AC54" s="377">
        <v>756759</v>
      </c>
      <c r="AD54" s="377">
        <v>0</v>
      </c>
      <c r="AE54" s="706">
        <f>AF54+AG54</f>
        <v>0</v>
      </c>
      <c r="AF54" s="372">
        <v>0</v>
      </c>
      <c r="AG54" s="706">
        <v>0</v>
      </c>
      <c r="AH54" s="728">
        <v>1024</v>
      </c>
      <c r="AI54" s="336"/>
      <c r="AJ54" s="336"/>
      <c r="AK54" s="336"/>
    </row>
    <row r="55" spans="1:37" ht="21" customHeight="1">
      <c r="A55" s="754" t="s">
        <v>562</v>
      </c>
      <c r="B55" s="699">
        <f>C55+D55</f>
        <v>0</v>
      </c>
      <c r="C55" s="755"/>
      <c r="D55" s="755"/>
      <c r="E55" s="756"/>
      <c r="F55" s="757">
        <f>G55+H55</f>
        <v>33265.00000000001</v>
      </c>
      <c r="G55" s="755">
        <v>19.94802</v>
      </c>
      <c r="H55" s="753">
        <f>I55+L55+O55</f>
        <v>33245.051980000004</v>
      </c>
      <c r="I55" s="704">
        <f>J55+K55</f>
        <v>0</v>
      </c>
      <c r="J55" s="755"/>
      <c r="K55" s="755"/>
      <c r="L55" s="699">
        <f>M55+N55</f>
        <v>3315.05198</v>
      </c>
      <c r="M55" s="755">
        <v>3315.05198</v>
      </c>
      <c r="N55" s="757"/>
      <c r="O55" s="721">
        <f>P55+S55+T55+U55+V55+AA55</f>
        <v>29930</v>
      </c>
      <c r="P55" s="376">
        <f>Q55+R55</f>
        <v>0</v>
      </c>
      <c r="Q55" s="377"/>
      <c r="R55" s="373"/>
      <c r="S55" s="377"/>
      <c r="T55" s="377"/>
      <c r="U55" s="377"/>
      <c r="V55" s="377">
        <f>W55+Y55</f>
        <v>0</v>
      </c>
      <c r="W55" s="377"/>
      <c r="X55" s="374"/>
      <c r="Y55" s="377"/>
      <c r="Z55" s="377"/>
      <c r="AA55" s="372">
        <f>AB55+AC55+AD55+AE55</f>
        <v>29930</v>
      </c>
      <c r="AB55" s="377"/>
      <c r="AC55" s="377">
        <v>29930</v>
      </c>
      <c r="AD55" s="377">
        <v>0</v>
      </c>
      <c r="AE55" s="706">
        <v>0</v>
      </c>
      <c r="AF55" s="372"/>
      <c r="AG55" s="706">
        <v>0</v>
      </c>
      <c r="AH55" s="732">
        <v>51</v>
      </c>
      <c r="AI55" s="336"/>
      <c r="AJ55" s="336"/>
      <c r="AK55" s="336"/>
    </row>
    <row r="56" spans="1:37" ht="21" customHeight="1">
      <c r="A56" s="754" t="s">
        <v>563</v>
      </c>
      <c r="B56" s="699">
        <f>C56+D56</f>
        <v>0</v>
      </c>
      <c r="C56" s="755"/>
      <c r="D56" s="755"/>
      <c r="E56" s="756"/>
      <c r="F56" s="757">
        <f>G56+H56</f>
        <v>46267</v>
      </c>
      <c r="G56" s="755"/>
      <c r="H56" s="753">
        <f>I56+L56+O56</f>
        <v>46267</v>
      </c>
      <c r="I56" s="704">
        <f>J56+K56</f>
        <v>0</v>
      </c>
      <c r="J56" s="755"/>
      <c r="K56" s="755"/>
      <c r="L56" s="699">
        <f>M56+N56</f>
        <v>0</v>
      </c>
      <c r="M56" s="755">
        <v>0</v>
      </c>
      <c r="N56" s="757"/>
      <c r="O56" s="721">
        <f>P56+S56+T56+U56+V56+AA56</f>
        <v>46267</v>
      </c>
      <c r="P56" s="376">
        <f>Q56+R56</f>
        <v>0</v>
      </c>
      <c r="Q56" s="377"/>
      <c r="R56" s="373"/>
      <c r="S56" s="377">
        <v>0</v>
      </c>
      <c r="T56" s="377">
        <v>0</v>
      </c>
      <c r="U56" s="377"/>
      <c r="V56" s="377">
        <f>W56+Y56</f>
        <v>0</v>
      </c>
      <c r="W56" s="377"/>
      <c r="X56" s="374"/>
      <c r="Y56" s="377"/>
      <c r="Z56" s="377"/>
      <c r="AA56" s="372">
        <f>AB56+AC56+AD56+AE56</f>
        <v>46267</v>
      </c>
      <c r="AB56" s="377"/>
      <c r="AC56" s="377">
        <v>46267</v>
      </c>
      <c r="AD56" s="377">
        <v>0</v>
      </c>
      <c r="AE56" s="706">
        <f>AF56+AG56</f>
        <v>0</v>
      </c>
      <c r="AF56" s="372">
        <v>0</v>
      </c>
      <c r="AG56" s="706">
        <v>0</v>
      </c>
      <c r="AH56" s="788"/>
      <c r="AI56" s="336"/>
      <c r="AJ56" s="336"/>
      <c r="AK56" s="336"/>
    </row>
    <row r="57" spans="1:37" ht="21" customHeight="1">
      <c r="A57" s="752" t="s">
        <v>876</v>
      </c>
      <c r="B57" s="699">
        <f>C57+D57</f>
        <v>0</v>
      </c>
      <c r="C57" s="765"/>
      <c r="D57" s="765"/>
      <c r="E57" s="766"/>
      <c r="F57" s="757">
        <f>G57+H57</f>
        <v>32962</v>
      </c>
      <c r="G57" s="755"/>
      <c r="H57" s="753">
        <f>I57+L57+O57</f>
        <v>32962</v>
      </c>
      <c r="I57" s="704">
        <f>J57+K57</f>
        <v>0</v>
      </c>
      <c r="J57" s="755"/>
      <c r="K57" s="755"/>
      <c r="L57" s="699">
        <f>M57+N57</f>
        <v>0</v>
      </c>
      <c r="M57" s="765">
        <v>0</v>
      </c>
      <c r="N57" s="767"/>
      <c r="O57" s="721">
        <f>P57+S57+T57+U57+V57+AA57</f>
        <v>32962</v>
      </c>
      <c r="P57" s="376">
        <f>Q57+R57</f>
        <v>0</v>
      </c>
      <c r="Q57" s="377"/>
      <c r="R57" s="373"/>
      <c r="S57" s="377">
        <v>0</v>
      </c>
      <c r="T57" s="377">
        <v>0</v>
      </c>
      <c r="U57" s="377"/>
      <c r="V57" s="377">
        <f>W57+Y57</f>
        <v>0</v>
      </c>
      <c r="W57" s="377"/>
      <c r="X57" s="374"/>
      <c r="Y57" s="377"/>
      <c r="Z57" s="377"/>
      <c r="AA57" s="372">
        <f>AB57+AC57+AD57+AE57</f>
        <v>32962</v>
      </c>
      <c r="AB57" s="377"/>
      <c r="AC57" s="377">
        <v>32962</v>
      </c>
      <c r="AD57" s="377">
        <v>0</v>
      </c>
      <c r="AE57" s="706">
        <f>AF57+AG57</f>
        <v>0</v>
      </c>
      <c r="AF57" s="372">
        <v>0</v>
      </c>
      <c r="AG57" s="706">
        <v>0</v>
      </c>
      <c r="AH57" s="789"/>
      <c r="AI57" s="336"/>
      <c r="AJ57" s="336"/>
      <c r="AK57" s="336"/>
    </row>
    <row r="58" spans="1:37" ht="21" customHeight="1" thickBot="1">
      <c r="A58" s="752" t="s">
        <v>106</v>
      </c>
      <c r="B58" s="699">
        <f>C58+D58</f>
        <v>0</v>
      </c>
      <c r="C58" s="765"/>
      <c r="D58" s="765"/>
      <c r="E58" s="766"/>
      <c r="F58" s="757">
        <f>G58+H58</f>
        <v>8000</v>
      </c>
      <c r="G58" s="755"/>
      <c r="H58" s="753">
        <f>I58+L58+O58</f>
        <v>8000</v>
      </c>
      <c r="I58" s="704">
        <f>J58+K58</f>
        <v>0</v>
      </c>
      <c r="J58" s="755"/>
      <c r="K58" s="755"/>
      <c r="L58" s="699">
        <f>M58+N58</f>
        <v>8000</v>
      </c>
      <c r="M58" s="765">
        <v>8000</v>
      </c>
      <c r="N58" s="767"/>
      <c r="O58" s="721">
        <f>P58+S58+T58+U58+V58+AA58</f>
        <v>0</v>
      </c>
      <c r="P58" s="370">
        <f>Q58+R58</f>
        <v>0</v>
      </c>
      <c r="Q58" s="377"/>
      <c r="R58" s="373"/>
      <c r="S58" s="377">
        <v>0</v>
      </c>
      <c r="T58" s="377">
        <v>0</v>
      </c>
      <c r="U58" s="377"/>
      <c r="V58" s="377">
        <f>W58+Y58</f>
        <v>0</v>
      </c>
      <c r="W58" s="377"/>
      <c r="X58" s="374"/>
      <c r="Y58" s="377"/>
      <c r="Z58" s="377"/>
      <c r="AA58" s="373">
        <f>AB58+AC58+AD58+AE58</f>
        <v>0</v>
      </c>
      <c r="AB58" s="377"/>
      <c r="AC58" s="377">
        <v>0</v>
      </c>
      <c r="AD58" s="377">
        <v>0</v>
      </c>
      <c r="AE58" s="706">
        <f>AF58+AG58</f>
        <v>0</v>
      </c>
      <c r="AF58" s="372">
        <v>0</v>
      </c>
      <c r="AG58" s="706">
        <v>0</v>
      </c>
      <c r="AH58" s="788"/>
      <c r="AI58" s="336"/>
      <c r="AJ58" s="336"/>
      <c r="AK58" s="336"/>
    </row>
    <row r="59" spans="1:37" s="662" customFormat="1" ht="21" customHeight="1" thickBot="1">
      <c r="A59" s="750" t="s">
        <v>564</v>
      </c>
      <c r="B59" s="714">
        <f aca="true" t="shared" si="34" ref="B59:K59">SUM(B54:B58)</f>
        <v>0</v>
      </c>
      <c r="C59" s="714">
        <f t="shared" si="34"/>
        <v>0</v>
      </c>
      <c r="D59" s="714">
        <f>SUM(D54:D58)</f>
        <v>0</v>
      </c>
      <c r="E59" s="802">
        <f t="shared" si="34"/>
        <v>0</v>
      </c>
      <c r="F59" s="714">
        <f>SUM(F54:F58)</f>
        <v>933185.03015</v>
      </c>
      <c r="G59" s="716">
        <f t="shared" si="34"/>
        <v>519.94802</v>
      </c>
      <c r="H59" s="723">
        <f t="shared" si="34"/>
        <v>932665.08213</v>
      </c>
      <c r="I59" s="714">
        <f t="shared" si="34"/>
        <v>0</v>
      </c>
      <c r="J59" s="714">
        <f t="shared" si="34"/>
        <v>0</v>
      </c>
      <c r="K59" s="714">
        <f t="shared" si="34"/>
        <v>0</v>
      </c>
      <c r="L59" s="714">
        <f>SUM(L54:L58)</f>
        <v>66747.08213</v>
      </c>
      <c r="M59" s="714">
        <f aca="true" t="shared" si="35" ref="M59:AC59">SUM(M54:M58)</f>
        <v>66747.08213</v>
      </c>
      <c r="N59" s="714">
        <f t="shared" si="35"/>
        <v>0</v>
      </c>
      <c r="O59" s="714">
        <f t="shared" si="35"/>
        <v>865918</v>
      </c>
      <c r="P59" s="714">
        <f t="shared" si="35"/>
        <v>0</v>
      </c>
      <c r="Q59" s="714">
        <f t="shared" si="35"/>
        <v>0</v>
      </c>
      <c r="R59" s="714">
        <f t="shared" si="35"/>
        <v>0</v>
      </c>
      <c r="S59" s="714">
        <f t="shared" si="35"/>
        <v>0</v>
      </c>
      <c r="T59" s="714">
        <f t="shared" si="35"/>
        <v>0</v>
      </c>
      <c r="U59" s="714">
        <f t="shared" si="35"/>
        <v>0</v>
      </c>
      <c r="V59" s="714">
        <f t="shared" si="35"/>
        <v>0</v>
      </c>
      <c r="W59" s="714">
        <f t="shared" si="35"/>
        <v>0</v>
      </c>
      <c r="X59" s="714">
        <f t="shared" si="35"/>
        <v>0</v>
      </c>
      <c r="Y59" s="714">
        <f t="shared" si="35"/>
        <v>0</v>
      </c>
      <c r="Z59" s="714">
        <f t="shared" si="35"/>
        <v>0</v>
      </c>
      <c r="AA59" s="723">
        <f t="shared" si="35"/>
        <v>865918</v>
      </c>
      <c r="AB59" s="714">
        <f t="shared" si="35"/>
        <v>0</v>
      </c>
      <c r="AC59" s="714">
        <f t="shared" si="35"/>
        <v>865918</v>
      </c>
      <c r="AD59" s="714">
        <f>SUM(AD54:AD58)</f>
        <v>0</v>
      </c>
      <c r="AE59" s="724">
        <f>SUM(AE54:AE58)</f>
        <v>0</v>
      </c>
      <c r="AF59" s="723">
        <f>SUM(AF54:AF58)</f>
        <v>0</v>
      </c>
      <c r="AG59" s="724">
        <f>SUM(AG54:AG58)</f>
        <v>0</v>
      </c>
      <c r="AH59" s="725">
        <f>SUM(AH54:AH58)</f>
        <v>1075</v>
      </c>
      <c r="AI59" s="718"/>
      <c r="AJ59" s="718"/>
      <c r="AK59" s="718"/>
    </row>
    <row r="60" spans="1:37" ht="21" customHeight="1" hidden="1">
      <c r="A60" s="790" t="s">
        <v>565</v>
      </c>
      <c r="B60" s="772">
        <f>C60+D60</f>
        <v>0</v>
      </c>
      <c r="C60" s="772"/>
      <c r="D60" s="772"/>
      <c r="E60" s="791"/>
      <c r="F60" s="792"/>
      <c r="G60" s="772"/>
      <c r="H60" s="785">
        <f>I60+L60+O60</f>
        <v>0</v>
      </c>
      <c r="I60" s="715">
        <f>J60+K60</f>
        <v>0</v>
      </c>
      <c r="J60" s="712"/>
      <c r="K60" s="712"/>
      <c r="L60" s="712">
        <f>M60+N60</f>
        <v>0</v>
      </c>
      <c r="M60" s="772"/>
      <c r="N60" s="792"/>
      <c r="O60" s="749">
        <f>P60+S60+T60+U60+V60+AA60</f>
        <v>0</v>
      </c>
      <c r="P60" s="384">
        <f>Q60+R60</f>
        <v>0</v>
      </c>
      <c r="Q60" s="772"/>
      <c r="R60" s="792"/>
      <c r="S60" s="772"/>
      <c r="T60" s="772"/>
      <c r="U60" s="772"/>
      <c r="V60" s="772">
        <f>W60+Y60</f>
        <v>0</v>
      </c>
      <c r="W60" s="772"/>
      <c r="X60" s="792"/>
      <c r="Y60" s="772"/>
      <c r="Z60" s="772"/>
      <c r="AA60" s="387">
        <f>AB60+AC60+AD60+AE60</f>
        <v>0</v>
      </c>
      <c r="AB60" s="772">
        <v>0</v>
      </c>
      <c r="AC60" s="772">
        <v>0</v>
      </c>
      <c r="AD60" s="772">
        <v>0</v>
      </c>
      <c r="AE60" s="746">
        <f>AF60+AG60</f>
        <v>0</v>
      </c>
      <c r="AF60" s="792"/>
      <c r="AG60" s="791"/>
      <c r="AH60" s="728">
        <f>60+56</f>
        <v>116</v>
      </c>
      <c r="AI60" s="336"/>
      <c r="AJ60" s="336"/>
      <c r="AK60" s="336"/>
    </row>
    <row r="61" spans="1:37" ht="21" customHeight="1" hidden="1">
      <c r="A61" s="790" t="s">
        <v>566</v>
      </c>
      <c r="B61" s="773">
        <f>C61+D61</f>
        <v>0</v>
      </c>
      <c r="C61" s="773">
        <v>0</v>
      </c>
      <c r="D61" s="773"/>
      <c r="E61" s="774"/>
      <c r="F61" s="793"/>
      <c r="G61" s="773"/>
      <c r="H61" s="785">
        <f>I61+L61+O61</f>
        <v>0</v>
      </c>
      <c r="I61" s="715">
        <f>J61+K61</f>
        <v>0</v>
      </c>
      <c r="J61" s="770"/>
      <c r="K61" s="770"/>
      <c r="L61" s="712">
        <f>M61+N61</f>
        <v>0</v>
      </c>
      <c r="M61" s="778"/>
      <c r="N61" s="793"/>
      <c r="O61" s="749">
        <f>P61+S61+T61+U61+V61+AA61</f>
        <v>0</v>
      </c>
      <c r="P61" s="384">
        <f>Q61+R61</f>
        <v>0</v>
      </c>
      <c r="Q61" s="391"/>
      <c r="R61" s="387"/>
      <c r="S61" s="391"/>
      <c r="T61" s="391"/>
      <c r="U61" s="391"/>
      <c r="V61" s="391">
        <f>W61+Y61</f>
        <v>0</v>
      </c>
      <c r="W61" s="391"/>
      <c r="X61" s="388"/>
      <c r="Y61" s="391"/>
      <c r="Z61" s="391"/>
      <c r="AA61" s="387">
        <f>AB61+AC61+AD61+AE61</f>
        <v>0</v>
      </c>
      <c r="AB61" s="391">
        <f>-653+653</f>
        <v>0</v>
      </c>
      <c r="AC61" s="391">
        <v>0</v>
      </c>
      <c r="AD61" s="391">
        <v>0</v>
      </c>
      <c r="AE61" s="746">
        <f>AF61+AG61</f>
        <v>0</v>
      </c>
      <c r="AF61" s="386">
        <f>-32899+32899</f>
        <v>0</v>
      </c>
      <c r="AG61" s="746"/>
      <c r="AH61" s="788"/>
      <c r="AI61" s="336">
        <f>100000+14326+360+158000-336280+396+39607-21909+20649-953-154-360-58005-210-4573-4512+58945+43100+6123+855</f>
        <v>15405</v>
      </c>
      <c r="AJ61" s="336"/>
      <c r="AK61" s="336"/>
    </row>
    <row r="62" spans="1:37" s="307" customFormat="1" ht="25.5" customHeight="1" thickBot="1">
      <c r="A62" s="1109" t="s">
        <v>567</v>
      </c>
      <c r="B62" s="1110" t="e">
        <f aca="true" t="shared" si="36" ref="B62:AD62">B53+B59+B61+B60</f>
        <v>#REF!</v>
      </c>
      <c r="C62" s="1110" t="e">
        <f t="shared" si="36"/>
        <v>#REF!</v>
      </c>
      <c r="D62" s="1110" t="e">
        <f t="shared" si="36"/>
        <v>#REF!</v>
      </c>
      <c r="E62" s="1111" t="e">
        <f t="shared" si="36"/>
        <v>#REF!</v>
      </c>
      <c r="F62" s="1112">
        <f>F53+F59+F61+F60</f>
        <v>58233846.233229995</v>
      </c>
      <c r="G62" s="1113">
        <f t="shared" si="36"/>
        <v>1786112.52667</v>
      </c>
      <c r="H62" s="1112">
        <f>H53+H59+H61+H60-1</f>
        <v>56447733.60655999</v>
      </c>
      <c r="I62" s="1112">
        <f t="shared" si="36"/>
        <v>76803.533</v>
      </c>
      <c r="J62" s="1112">
        <f t="shared" si="36"/>
        <v>36485.964</v>
      </c>
      <c r="K62" s="1112">
        <f t="shared" si="36"/>
        <v>40317.569</v>
      </c>
      <c r="L62" s="1112">
        <f t="shared" si="36"/>
        <v>7371469.830879999</v>
      </c>
      <c r="M62" s="1112">
        <f t="shared" si="36"/>
        <v>3893557.6897899997</v>
      </c>
      <c r="N62" s="1112">
        <f t="shared" si="36"/>
        <v>3477912.14109</v>
      </c>
      <c r="O62" s="1112">
        <f t="shared" si="36"/>
        <v>49001592.53268</v>
      </c>
      <c r="P62" s="1112">
        <f t="shared" si="36"/>
        <v>25677160.828</v>
      </c>
      <c r="Q62" s="1112">
        <f t="shared" si="36"/>
        <v>25096118.967</v>
      </c>
      <c r="R62" s="1112">
        <f t="shared" si="36"/>
        <v>581040.9609999999</v>
      </c>
      <c r="S62" s="1112">
        <f t="shared" si="36"/>
        <v>8824344.727999998</v>
      </c>
      <c r="T62" s="1112">
        <f t="shared" si="36"/>
        <v>501914.641</v>
      </c>
      <c r="U62" s="1112">
        <f t="shared" si="36"/>
        <v>3336684.116</v>
      </c>
      <c r="V62" s="1112">
        <f t="shared" si="36"/>
        <v>2931956.9380000005</v>
      </c>
      <c r="W62" s="1112">
        <f t="shared" si="36"/>
        <v>1742730</v>
      </c>
      <c r="X62" s="1112">
        <f t="shared" si="36"/>
        <v>186070</v>
      </c>
      <c r="Y62" s="1112">
        <f t="shared" si="36"/>
        <v>90989</v>
      </c>
      <c r="Z62" s="1112">
        <f t="shared" si="36"/>
        <v>7260</v>
      </c>
      <c r="AA62" s="1112">
        <f t="shared" si="36"/>
        <v>7729530.28168</v>
      </c>
      <c r="AB62" s="1112">
        <f t="shared" si="36"/>
        <v>86232.6398</v>
      </c>
      <c r="AC62" s="1112">
        <f t="shared" si="36"/>
        <v>865918</v>
      </c>
      <c r="AD62" s="1112">
        <f t="shared" si="36"/>
        <v>41743.92366</v>
      </c>
      <c r="AE62" s="1111">
        <f>AE53+AE59+AE61+AE60</f>
        <v>6735634.718219999</v>
      </c>
      <c r="AF62" s="1114" t="e">
        <f>AF53+AF59+AF61</f>
        <v>#REF!</v>
      </c>
      <c r="AG62" s="1115" t="e">
        <f>AG53+AG59+AG61+AG60</f>
        <v>#REF!</v>
      </c>
      <c r="AH62" s="1116" t="e">
        <f>AH53+AH59+AH61+AH60</f>
        <v>#REF!</v>
      </c>
      <c r="AI62" s="1117"/>
      <c r="AJ62" s="1118">
        <f>I62+L62+Q62+R62+S62+T62+U62+V62+AB62+AC62+AD62+AE62-600-40</f>
        <v>56449222.99655999</v>
      </c>
      <c r="AK62" s="1117"/>
    </row>
    <row r="63" spans="1:15" ht="20.25" customHeight="1" thickTop="1">
      <c r="A63" s="1433" t="s">
        <v>1831</v>
      </c>
      <c r="B63" s="1433"/>
      <c r="C63" s="1433"/>
      <c r="D63" s="1433"/>
      <c r="E63" s="1433"/>
      <c r="F63" s="1433"/>
      <c r="G63" s="1433"/>
      <c r="H63" s="1433"/>
      <c r="I63" s="1433"/>
      <c r="O63" s="336"/>
    </row>
    <row r="64" spans="6:15" ht="22.5" customHeight="1">
      <c r="F64" s="794"/>
      <c r="O64" s="336"/>
    </row>
    <row r="65" spans="1:31" s="307" customFormat="1" ht="18.75" customHeight="1">
      <c r="A65" s="307" t="s">
        <v>910</v>
      </c>
      <c r="R65" s="307" t="s">
        <v>1056</v>
      </c>
      <c r="AD65" s="1424" t="s">
        <v>912</v>
      </c>
      <c r="AE65" s="1424"/>
    </row>
    <row r="66" spans="15:36" ht="12.75">
      <c r="O66" s="336"/>
      <c r="AA66" s="336"/>
      <c r="AC66" s="336"/>
      <c r="AD66" s="336"/>
      <c r="AE66" s="336"/>
      <c r="AF66" s="336"/>
      <c r="AG66" s="336"/>
      <c r="AJ66" s="718"/>
    </row>
    <row r="67" spans="15:33" ht="12.75">
      <c r="O67" s="336"/>
      <c r="AD67" s="336"/>
      <c r="AE67" s="336"/>
      <c r="AF67" s="336"/>
      <c r="AG67" s="336"/>
    </row>
    <row r="68" spans="15:35" ht="12.75">
      <c r="O68" s="336"/>
      <c r="AD68" s="336"/>
      <c r="AE68" s="336"/>
      <c r="AF68" s="336"/>
      <c r="AG68" s="336"/>
      <c r="AI68" s="336"/>
    </row>
    <row r="69" spans="15:35" ht="12.75">
      <c r="O69" s="336"/>
      <c r="AD69" s="336"/>
      <c r="AE69" s="336"/>
      <c r="AF69" s="336"/>
      <c r="AG69" s="336"/>
      <c r="AI69" s="336"/>
    </row>
  </sheetData>
  <mergeCells count="3">
    <mergeCell ref="AD1:AE1"/>
    <mergeCell ref="AD65:AE65"/>
    <mergeCell ref="A63:I63"/>
  </mergeCells>
  <printOptions horizontalCentered="1"/>
  <pageMargins left="0.1968503937007874" right="0.1968503937007874" top="0.984251968503937" bottom="0.5905511811023623" header="0.7086614173228347" footer="0.31496062992125984"/>
  <pageSetup fitToHeight="1" fitToWidth="1" horizontalDpi="600" verticalDpi="600" orientation="landscape" paperSize="9" scale="51" r:id="rId1"/>
  <headerFooter alignWithMargins="0">
    <oddFooter>&amp;C&amp;14&amp;P+94&amp;10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="80" zoomScaleNormal="80" workbookViewId="0" topLeftCell="A4">
      <selection activeCell="L26" sqref="L26"/>
    </sheetView>
  </sheetViews>
  <sheetFormatPr defaultColWidth="9.00390625" defaultRowHeight="12.75"/>
  <cols>
    <col min="1" max="1" width="5.75390625" style="307" customWidth="1"/>
    <col min="2" max="2" width="41.25390625" style="307" customWidth="1"/>
    <col min="3" max="3" width="18.125" style="307" customWidth="1"/>
    <col min="4" max="4" width="18.125" style="1105" customWidth="1"/>
    <col min="5" max="5" width="27.625" style="307" customWidth="1"/>
    <col min="6" max="6" width="23.125" style="307" customWidth="1"/>
    <col min="7" max="9" width="18.125" style="307" customWidth="1"/>
    <col min="10" max="10" width="5.75390625" style="307" hidden="1" customWidth="1"/>
    <col min="11" max="11" width="32.625" style="307" hidden="1" customWidth="1"/>
    <col min="12" max="12" width="18.75390625" style="307" customWidth="1"/>
    <col min="13" max="17" width="18.125" style="307" customWidth="1"/>
    <col min="18" max="18" width="15.875" style="307" customWidth="1"/>
    <col min="19" max="19" width="17.375" style="307" customWidth="1"/>
    <col min="20" max="16384" width="8.875" style="307" customWidth="1"/>
  </cols>
  <sheetData>
    <row r="1" spans="1:19" s="1008" customFormat="1" ht="20.25" customHeight="1">
      <c r="A1" s="1008" t="s">
        <v>1063</v>
      </c>
      <c r="S1" s="1009" t="s">
        <v>2536</v>
      </c>
    </row>
    <row r="2" spans="3:6" ht="17.25" customHeight="1">
      <c r="C2" s="1010"/>
      <c r="D2" s="1011"/>
      <c r="E2" s="1010"/>
      <c r="F2" s="1010"/>
    </row>
    <row r="3" spans="1:19" s="1012" customFormat="1" ht="21" customHeight="1">
      <c r="A3" s="1460" t="s">
        <v>2537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1460"/>
    </row>
    <row r="4" spans="1:19" s="1012" customFormat="1" ht="21" customHeight="1">
      <c r="A4" s="803"/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</row>
    <row r="5" spans="2:19" ht="18.75" thickBot="1">
      <c r="B5" s="1461"/>
      <c r="C5" s="1461"/>
      <c r="D5" s="1461"/>
      <c r="E5" s="1461"/>
      <c r="F5" s="1461"/>
      <c r="G5" s="1461"/>
      <c r="H5" s="1461"/>
      <c r="I5" s="1461"/>
      <c r="J5" s="1461"/>
      <c r="K5" s="1461"/>
      <c r="L5" s="1461"/>
      <c r="M5" s="1461"/>
      <c r="N5" s="1461"/>
      <c r="O5" s="1461"/>
      <c r="P5" s="1013"/>
      <c r="Q5" s="1013"/>
      <c r="R5" s="1013"/>
      <c r="S5" s="1014" t="s">
        <v>2552</v>
      </c>
    </row>
    <row r="6" spans="1:19" s="1015" customFormat="1" ht="21.75" customHeight="1" thickBot="1">
      <c r="A6" s="1422"/>
      <c r="B6" s="1462" t="s">
        <v>2538</v>
      </c>
      <c r="C6" s="1465" t="s">
        <v>396</v>
      </c>
      <c r="D6" s="1425" t="s">
        <v>397</v>
      </c>
      <c r="E6" s="1469" t="s">
        <v>1603</v>
      </c>
      <c r="F6" s="1470"/>
      <c r="G6" s="1426" t="s">
        <v>2539</v>
      </c>
      <c r="H6" s="1425" t="s">
        <v>2540</v>
      </c>
      <c r="I6" s="1426"/>
      <c r="J6" s="1422"/>
      <c r="K6" s="1462" t="s">
        <v>2538</v>
      </c>
      <c r="L6" s="1452" t="s">
        <v>1604</v>
      </c>
      <c r="M6" s="1452" t="s">
        <v>2541</v>
      </c>
      <c r="N6" s="1425" t="s">
        <v>2542</v>
      </c>
      <c r="O6" s="1426"/>
      <c r="P6" s="1448" t="s">
        <v>356</v>
      </c>
      <c r="Q6" s="1449"/>
      <c r="R6" s="1452" t="s">
        <v>357</v>
      </c>
      <c r="S6" s="1452" t="s">
        <v>358</v>
      </c>
    </row>
    <row r="7" spans="1:19" s="1015" customFormat="1" ht="54" customHeight="1" thickBot="1">
      <c r="A7" s="1444"/>
      <c r="B7" s="1463"/>
      <c r="C7" s="1466"/>
      <c r="D7" s="1468"/>
      <c r="E7" s="1455" t="s">
        <v>1605</v>
      </c>
      <c r="F7" s="1457" t="s">
        <v>359</v>
      </c>
      <c r="G7" s="1471"/>
      <c r="H7" s="1420"/>
      <c r="I7" s="1421"/>
      <c r="J7" s="1444"/>
      <c r="K7" s="1463"/>
      <c r="L7" s="1453"/>
      <c r="M7" s="1453"/>
      <c r="N7" s="1458"/>
      <c r="O7" s="1459"/>
      <c r="P7" s="1450"/>
      <c r="Q7" s="1451"/>
      <c r="R7" s="1453"/>
      <c r="S7" s="1453"/>
    </row>
    <row r="8" spans="1:19" s="1015" customFormat="1" ht="67.5" customHeight="1" thickBot="1">
      <c r="A8" s="1445"/>
      <c r="B8" s="1464"/>
      <c r="C8" s="1467"/>
      <c r="D8" s="1458"/>
      <c r="E8" s="1456"/>
      <c r="F8" s="1454"/>
      <c r="G8" s="1459"/>
      <c r="H8" s="1018" t="s">
        <v>2552</v>
      </c>
      <c r="I8" s="1018" t="s">
        <v>360</v>
      </c>
      <c r="J8" s="1445"/>
      <c r="K8" s="1464"/>
      <c r="L8" s="1454"/>
      <c r="M8" s="1454"/>
      <c r="N8" s="1017" t="s">
        <v>361</v>
      </c>
      <c r="O8" s="1017" t="s">
        <v>362</v>
      </c>
      <c r="P8" s="1016" t="s">
        <v>363</v>
      </c>
      <c r="Q8" s="1016" t="s">
        <v>364</v>
      </c>
      <c r="R8" s="1454"/>
      <c r="S8" s="1454"/>
    </row>
    <row r="9" spans="1:19" s="1028" customFormat="1" ht="21" customHeight="1" thickBot="1">
      <c r="A9" s="1019"/>
      <c r="B9" s="1020" t="s">
        <v>1024</v>
      </c>
      <c r="C9" s="1021">
        <v>1</v>
      </c>
      <c r="D9" s="1022">
        <v>2</v>
      </c>
      <c r="E9" s="1023">
        <v>3</v>
      </c>
      <c r="F9" s="1024">
        <v>4</v>
      </c>
      <c r="G9" s="1021">
        <v>5</v>
      </c>
      <c r="H9" s="1021" t="s">
        <v>365</v>
      </c>
      <c r="I9" s="1021" t="s">
        <v>366</v>
      </c>
      <c r="J9" s="1019"/>
      <c r="K9" s="1020" t="s">
        <v>1024</v>
      </c>
      <c r="L9" s="1025">
        <v>8</v>
      </c>
      <c r="M9" s="1025" t="s">
        <v>367</v>
      </c>
      <c r="N9" s="1026" t="s">
        <v>368</v>
      </c>
      <c r="O9" s="1027" t="s">
        <v>369</v>
      </c>
      <c r="P9" s="1026" t="s">
        <v>370</v>
      </c>
      <c r="Q9" s="1026" t="s">
        <v>371</v>
      </c>
      <c r="R9" s="1026" t="s">
        <v>372</v>
      </c>
      <c r="S9" s="1026" t="s">
        <v>373</v>
      </c>
    </row>
    <row r="10" spans="1:19" s="1015" customFormat="1" ht="32.25" customHeight="1" thickBot="1">
      <c r="A10" s="1029"/>
      <c r="B10" s="1030" t="s">
        <v>374</v>
      </c>
      <c r="C10" s="1031">
        <f>SUM(C12:C23)</f>
        <v>3183413000</v>
      </c>
      <c r="D10" s="1031">
        <f>SUM(D12:D23)</f>
        <v>3183413000</v>
      </c>
      <c r="E10" s="1032">
        <f>SUM(E12:E25)-SUM(E17:E18)-SUM(E21:E22)</f>
        <v>3336684116</v>
      </c>
      <c r="F10" s="1032">
        <f>SUM(F12:F25)-SUM(F17:F18)-SUM(F21:F22)</f>
        <v>154000000</v>
      </c>
      <c r="G10" s="1032">
        <f>SUM(G12:G25)-SUM(G17:G18)-SUM(G21:G22)</f>
        <v>587255</v>
      </c>
      <c r="H10" s="1033">
        <f>E10-D10</f>
        <v>153271116</v>
      </c>
      <c r="I10" s="1034">
        <f>E10/D10</f>
        <v>1.048146789624846</v>
      </c>
      <c r="J10" s="1029"/>
      <c r="K10" s="1035" t="s">
        <v>374</v>
      </c>
      <c r="L10" s="1032">
        <f>SUM(L12:L25)-SUM(L17:L18)-SUM(L21:L22)</f>
        <v>2999454247</v>
      </c>
      <c r="M10" s="1036">
        <f>E10/L10</f>
        <v>1.1124304094110757</v>
      </c>
      <c r="N10" s="1032">
        <f>SUM(N12:N25)-SUM(N17:N18)-SUM(N21:N22)</f>
        <v>27798</v>
      </c>
      <c r="O10" s="1032">
        <v>26644</v>
      </c>
      <c r="P10" s="1037" t="s">
        <v>939</v>
      </c>
      <c r="Q10" s="1037" t="s">
        <v>939</v>
      </c>
      <c r="R10" s="1032">
        <f>SUM(R12:R25)-SUM(R17:R18)-SUM(R21:R22)</f>
        <v>2311</v>
      </c>
      <c r="S10" s="1032">
        <f>SUM(S12:S25)-SUM(S17:S18)-SUM(S21:S22)</f>
        <v>44</v>
      </c>
    </row>
    <row r="11" spans="1:19" s="1015" customFormat="1" ht="24" customHeight="1">
      <c r="A11" s="1038"/>
      <c r="B11" s="1039" t="s">
        <v>375</v>
      </c>
      <c r="C11" s="1040"/>
      <c r="D11" s="1040"/>
      <c r="E11" s="1041"/>
      <c r="F11" s="1041"/>
      <c r="G11" s="1041"/>
      <c r="H11" s="1042"/>
      <c r="I11" s="1043"/>
      <c r="J11" s="1038"/>
      <c r="K11" s="1044" t="s">
        <v>375</v>
      </c>
      <c r="L11" s="1045"/>
      <c r="M11" s="1049"/>
      <c r="N11" s="1046"/>
      <c r="O11" s="1046"/>
      <c r="P11" s="1047"/>
      <c r="Q11" s="1047"/>
      <c r="R11" s="1048"/>
      <c r="S11" s="1048"/>
    </row>
    <row r="12" spans="1:19" s="1015" customFormat="1" ht="27" customHeight="1">
      <c r="A12" s="1050">
        <v>1</v>
      </c>
      <c r="B12" s="1051" t="s">
        <v>376</v>
      </c>
      <c r="C12" s="1052">
        <v>2795413000</v>
      </c>
      <c r="D12" s="1052">
        <v>2791737000</v>
      </c>
      <c r="E12" s="1053">
        <v>2936496518</v>
      </c>
      <c r="F12" s="1053">
        <v>145000000</v>
      </c>
      <c r="G12" s="1053">
        <v>230665</v>
      </c>
      <c r="H12" s="1054">
        <f>E12-D12</f>
        <v>144759518</v>
      </c>
      <c r="I12" s="1055">
        <f>E12/D12</f>
        <v>1.051852849319259</v>
      </c>
      <c r="J12" s="1050">
        <v>1</v>
      </c>
      <c r="K12" s="1056" t="s">
        <v>376</v>
      </c>
      <c r="L12" s="1057">
        <v>2635797281</v>
      </c>
      <c r="M12" s="1058">
        <f>E12/L12</f>
        <v>1.1140828390588207</v>
      </c>
      <c r="N12" s="1059">
        <v>21661</v>
      </c>
      <c r="O12" s="1059">
        <v>20784</v>
      </c>
      <c r="P12" s="1060">
        <v>10880</v>
      </c>
      <c r="Q12" s="1060">
        <v>10253</v>
      </c>
      <c r="R12" s="1061">
        <v>1622</v>
      </c>
      <c r="S12" s="1061">
        <v>44</v>
      </c>
    </row>
    <row r="13" spans="1:19" s="1015" customFormat="1" ht="27" customHeight="1">
      <c r="A13" s="1062">
        <v>2</v>
      </c>
      <c r="B13" s="1051" t="s">
        <v>377</v>
      </c>
      <c r="C13" s="1052">
        <v>172000000</v>
      </c>
      <c r="D13" s="1052">
        <v>172000000</v>
      </c>
      <c r="E13" s="1053">
        <v>178324191</v>
      </c>
      <c r="F13" s="1053">
        <v>6500000</v>
      </c>
      <c r="G13" s="1053">
        <v>175800</v>
      </c>
      <c r="H13" s="1054">
        <f>E13-D13</f>
        <v>6324191</v>
      </c>
      <c r="I13" s="1055">
        <f>E13/D13</f>
        <v>1.0367685523255814</v>
      </c>
      <c r="J13" s="1062">
        <v>2</v>
      </c>
      <c r="K13" s="1056" t="s">
        <v>377</v>
      </c>
      <c r="L13" s="1057">
        <v>163964335</v>
      </c>
      <c r="M13" s="1058">
        <f>E13/L13</f>
        <v>1.0875791433545594</v>
      </c>
      <c r="N13" s="1059">
        <v>1385</v>
      </c>
      <c r="O13" s="1059">
        <v>1337</v>
      </c>
      <c r="P13" s="1060">
        <v>10812</v>
      </c>
      <c r="Q13" s="1060">
        <v>10188</v>
      </c>
      <c r="R13" s="1061">
        <v>109</v>
      </c>
      <c r="S13" s="1061"/>
    </row>
    <row r="14" spans="1:19" s="1015" customFormat="1" ht="27" customHeight="1">
      <c r="A14" s="1050">
        <v>3</v>
      </c>
      <c r="B14" s="1051" t="s">
        <v>378</v>
      </c>
      <c r="C14" s="1052">
        <v>14000000</v>
      </c>
      <c r="D14" s="1052">
        <v>20308000</v>
      </c>
      <c r="E14" s="1053">
        <v>20707194</v>
      </c>
      <c r="F14" s="1053">
        <v>400000</v>
      </c>
      <c r="G14" s="1053">
        <v>0</v>
      </c>
      <c r="H14" s="1054">
        <f>E14-D14</f>
        <v>399194</v>
      </c>
      <c r="I14" s="1055">
        <f>E14/D14</f>
        <v>1.0196569824699626</v>
      </c>
      <c r="J14" s="1050">
        <v>3</v>
      </c>
      <c r="K14" s="1056" t="s">
        <v>378</v>
      </c>
      <c r="L14" s="1057">
        <v>12213192</v>
      </c>
      <c r="M14" s="1058">
        <f>E14/L14</f>
        <v>1.6954776441736117</v>
      </c>
      <c r="N14" s="1059">
        <v>300</v>
      </c>
      <c r="O14" s="1063">
        <v>191</v>
      </c>
      <c r="P14" s="1060">
        <v>6090</v>
      </c>
      <c r="Q14" s="1060">
        <v>5388</v>
      </c>
      <c r="R14" s="1061">
        <v>68</v>
      </c>
      <c r="S14" s="1061"/>
    </row>
    <row r="15" spans="1:19" s="1015" customFormat="1" ht="27" customHeight="1">
      <c r="A15" s="1062">
        <v>4</v>
      </c>
      <c r="B15" s="1051" t="s">
        <v>379</v>
      </c>
      <c r="C15" s="1064">
        <v>117000000</v>
      </c>
      <c r="D15" s="1064">
        <v>116996000</v>
      </c>
      <c r="E15" s="1065">
        <v>118836821</v>
      </c>
      <c r="F15" s="1065">
        <v>2100000</v>
      </c>
      <c r="G15" s="1065">
        <v>180790</v>
      </c>
      <c r="H15" s="1054">
        <f>E15-D15</f>
        <v>1840821</v>
      </c>
      <c r="I15" s="1055">
        <f>E15/D15</f>
        <v>1.0157340507367774</v>
      </c>
      <c r="J15" s="1062">
        <v>4</v>
      </c>
      <c r="K15" s="1056" t="s">
        <v>379</v>
      </c>
      <c r="L15" s="1065">
        <v>111819419</v>
      </c>
      <c r="M15" s="1058">
        <f>E15/L15</f>
        <v>1.0627565593056785</v>
      </c>
      <c r="N15" s="1065">
        <v>1922</v>
      </c>
      <c r="O15" s="1065">
        <v>1910</v>
      </c>
      <c r="P15" s="1066">
        <v>6554</v>
      </c>
      <c r="Q15" s="1066">
        <v>6209</v>
      </c>
      <c r="R15" s="1065">
        <v>205</v>
      </c>
      <c r="S15" s="1065">
        <f>S17+S18</f>
        <v>0</v>
      </c>
    </row>
    <row r="16" spans="1:19" s="1015" customFormat="1" ht="24" customHeight="1">
      <c r="A16" s="1038"/>
      <c r="B16" s="1067" t="s">
        <v>488</v>
      </c>
      <c r="C16" s="1040"/>
      <c r="D16" s="1040"/>
      <c r="E16" s="1068"/>
      <c r="F16" s="1068"/>
      <c r="G16" s="1068"/>
      <c r="H16" s="1042"/>
      <c r="I16" s="1043"/>
      <c r="J16" s="1038"/>
      <c r="K16" s="1069" t="s">
        <v>488</v>
      </c>
      <c r="L16" s="1054"/>
      <c r="M16" s="1070"/>
      <c r="N16" s="1054"/>
      <c r="O16" s="1054"/>
      <c r="P16" s="1071"/>
      <c r="Q16" s="1072"/>
      <c r="R16" s="1048"/>
      <c r="S16" s="1048"/>
    </row>
    <row r="17" spans="1:19" s="1083" customFormat="1" ht="24" customHeight="1">
      <c r="A17" s="1073" t="s">
        <v>380</v>
      </c>
      <c r="B17" s="1074" t="s">
        <v>381</v>
      </c>
      <c r="C17" s="1075" t="s">
        <v>382</v>
      </c>
      <c r="D17" s="1040" t="s">
        <v>382</v>
      </c>
      <c r="E17" s="1076"/>
      <c r="F17" s="1076"/>
      <c r="G17" s="1076"/>
      <c r="H17" s="1077"/>
      <c r="I17" s="1043"/>
      <c r="J17" s="1073" t="s">
        <v>380</v>
      </c>
      <c r="K17" s="1078" t="s">
        <v>381</v>
      </c>
      <c r="L17" s="1079" t="s">
        <v>382</v>
      </c>
      <c r="M17" s="1058" t="s">
        <v>382</v>
      </c>
      <c r="N17" s="1080">
        <v>1156</v>
      </c>
      <c r="O17" s="1080">
        <v>0</v>
      </c>
      <c r="P17" s="1081"/>
      <c r="Q17" s="1081">
        <v>0</v>
      </c>
      <c r="R17" s="1082">
        <v>159</v>
      </c>
      <c r="S17" s="1082"/>
    </row>
    <row r="18" spans="1:19" s="1083" customFormat="1" ht="24" customHeight="1">
      <c r="A18" s="1073" t="s">
        <v>383</v>
      </c>
      <c r="B18" s="1074" t="s">
        <v>384</v>
      </c>
      <c r="C18" s="1075" t="s">
        <v>382</v>
      </c>
      <c r="D18" s="1040" t="s">
        <v>382</v>
      </c>
      <c r="E18" s="1076"/>
      <c r="F18" s="1076"/>
      <c r="G18" s="1076"/>
      <c r="H18" s="1077"/>
      <c r="I18" s="1043"/>
      <c r="J18" s="1073" t="s">
        <v>383</v>
      </c>
      <c r="K18" s="1078" t="s">
        <v>384</v>
      </c>
      <c r="L18" s="1084" t="s">
        <v>382</v>
      </c>
      <c r="M18" s="1058" t="s">
        <v>382</v>
      </c>
      <c r="N18" s="1080">
        <v>766</v>
      </c>
      <c r="O18" s="1085">
        <v>0</v>
      </c>
      <c r="P18" s="1081"/>
      <c r="Q18" s="1081" t="s">
        <v>939</v>
      </c>
      <c r="R18" s="1082">
        <v>46</v>
      </c>
      <c r="S18" s="1082"/>
    </row>
    <row r="19" spans="1:19" s="1015" customFormat="1" ht="27" customHeight="1">
      <c r="A19" s="1062">
        <v>5</v>
      </c>
      <c r="B19" s="1051" t="s">
        <v>385</v>
      </c>
      <c r="C19" s="1064">
        <v>31000000</v>
      </c>
      <c r="D19" s="1064">
        <v>31148000</v>
      </c>
      <c r="E19" s="1065">
        <v>31109455</v>
      </c>
      <c r="F19" s="1065">
        <f>F21+F22</f>
        <v>0</v>
      </c>
      <c r="G19" s="1065">
        <v>0</v>
      </c>
      <c r="H19" s="1049">
        <f>E19-D19</f>
        <v>-38545</v>
      </c>
      <c r="I19" s="1086">
        <f>E19/D19</f>
        <v>0.9987625208681136</v>
      </c>
      <c r="J19" s="1062">
        <v>5</v>
      </c>
      <c r="K19" s="1056" t="s">
        <v>385</v>
      </c>
      <c r="L19" s="1065">
        <v>28166180</v>
      </c>
      <c r="M19" s="1058">
        <f>E19/L19</f>
        <v>1.1044967759206255</v>
      </c>
      <c r="N19" s="1065">
        <v>1679</v>
      </c>
      <c r="O19" s="1065">
        <v>1607</v>
      </c>
      <c r="P19" s="1066">
        <v>5728</v>
      </c>
      <c r="Q19" s="1066">
        <v>5619</v>
      </c>
      <c r="R19" s="1065">
        <v>188</v>
      </c>
      <c r="S19" s="1065">
        <f>S21+S22</f>
        <v>0</v>
      </c>
    </row>
    <row r="20" spans="1:19" s="1090" customFormat="1" ht="24" customHeight="1">
      <c r="A20" s="1087"/>
      <c r="B20" s="1067" t="s">
        <v>488</v>
      </c>
      <c r="C20" s="1040"/>
      <c r="D20" s="1040"/>
      <c r="E20" s="1068"/>
      <c r="F20" s="1068"/>
      <c r="G20" s="1068"/>
      <c r="H20" s="1042"/>
      <c r="I20" s="1043"/>
      <c r="J20" s="1087"/>
      <c r="K20" s="1069" t="s">
        <v>488</v>
      </c>
      <c r="L20" s="1054"/>
      <c r="M20" s="1088"/>
      <c r="N20" s="1054"/>
      <c r="O20" s="1054"/>
      <c r="P20" s="1072"/>
      <c r="Q20" s="1072"/>
      <c r="R20" s="1089"/>
      <c r="S20" s="1089"/>
    </row>
    <row r="21" spans="1:19" s="1083" customFormat="1" ht="24" customHeight="1">
      <c r="A21" s="1073" t="s">
        <v>386</v>
      </c>
      <c r="B21" s="1074" t="s">
        <v>381</v>
      </c>
      <c r="C21" s="1075" t="s">
        <v>382</v>
      </c>
      <c r="D21" s="1040" t="s">
        <v>382</v>
      </c>
      <c r="E21" s="1076"/>
      <c r="F21" s="1076"/>
      <c r="G21" s="1076"/>
      <c r="H21" s="1077"/>
      <c r="I21" s="1043"/>
      <c r="J21" s="1073" t="s">
        <v>386</v>
      </c>
      <c r="K21" s="1078" t="s">
        <v>381</v>
      </c>
      <c r="L21" s="1084" t="s">
        <v>382</v>
      </c>
      <c r="M21" s="1058" t="s">
        <v>382</v>
      </c>
      <c r="N21" s="1080">
        <v>26</v>
      </c>
      <c r="O21" s="1080">
        <v>0</v>
      </c>
      <c r="P21" s="1081"/>
      <c r="Q21" s="1081" t="s">
        <v>939</v>
      </c>
      <c r="R21" s="1082">
        <v>7</v>
      </c>
      <c r="S21" s="1082"/>
    </row>
    <row r="22" spans="1:19" s="1083" customFormat="1" ht="24" customHeight="1">
      <c r="A22" s="1073" t="s">
        <v>387</v>
      </c>
      <c r="B22" s="1074" t="s">
        <v>384</v>
      </c>
      <c r="C22" s="1075" t="s">
        <v>382</v>
      </c>
      <c r="D22" s="1040" t="s">
        <v>382</v>
      </c>
      <c r="E22" s="1076"/>
      <c r="F22" s="1076"/>
      <c r="G22" s="1076"/>
      <c r="H22" s="1077"/>
      <c r="I22" s="1043"/>
      <c r="J22" s="1073" t="s">
        <v>387</v>
      </c>
      <c r="K22" s="1078" t="s">
        <v>384</v>
      </c>
      <c r="L22" s="1091" t="s">
        <v>382</v>
      </c>
      <c r="M22" s="1058" t="s">
        <v>382</v>
      </c>
      <c r="N22" s="1080">
        <v>1653</v>
      </c>
      <c r="O22" s="1080" t="s">
        <v>382</v>
      </c>
      <c r="P22" s="1081"/>
      <c r="Q22" s="1081"/>
      <c r="R22" s="1082">
        <v>181</v>
      </c>
      <c r="S22" s="1082"/>
    </row>
    <row r="23" spans="1:19" s="1015" customFormat="1" ht="27" customHeight="1">
      <c r="A23" s="1062">
        <v>6</v>
      </c>
      <c r="B23" s="1051" t="s">
        <v>388</v>
      </c>
      <c r="C23" s="1052">
        <v>54000000</v>
      </c>
      <c r="D23" s="1052">
        <v>51224000</v>
      </c>
      <c r="E23" s="1053">
        <v>51209937</v>
      </c>
      <c r="F23" s="1053"/>
      <c r="G23" s="1053">
        <v>0</v>
      </c>
      <c r="H23" s="1054">
        <f>E23-D23</f>
        <v>-14063</v>
      </c>
      <c r="I23" s="1055">
        <f>E23/D23</f>
        <v>0.9997254607215368</v>
      </c>
      <c r="J23" s="1062">
        <v>6</v>
      </c>
      <c r="K23" s="1056" t="s">
        <v>388</v>
      </c>
      <c r="L23" s="1057">
        <v>47493840</v>
      </c>
      <c r="M23" s="1058">
        <f>E23/L23</f>
        <v>1.0782437680339176</v>
      </c>
      <c r="N23" s="1059">
        <v>851</v>
      </c>
      <c r="O23" s="1059">
        <v>815</v>
      </c>
      <c r="P23" s="1060">
        <v>4886</v>
      </c>
      <c r="Q23" s="1060">
        <v>4543</v>
      </c>
      <c r="R23" s="1061">
        <v>119</v>
      </c>
      <c r="S23" s="1061"/>
    </row>
    <row r="24" spans="1:19" s="1015" customFormat="1" ht="24" customHeight="1">
      <c r="A24" s="1038"/>
      <c r="B24" s="1039"/>
      <c r="C24" s="1040"/>
      <c r="D24" s="1040"/>
      <c r="E24" s="1041"/>
      <c r="F24" s="1041"/>
      <c r="G24" s="1041"/>
      <c r="H24" s="1042"/>
      <c r="I24" s="1043"/>
      <c r="J24" s="1038"/>
      <c r="K24" s="1044"/>
      <c r="L24" s="1068"/>
      <c r="M24" s="1092"/>
      <c r="N24" s="1041"/>
      <c r="O24" s="1041"/>
      <c r="P24" s="1060"/>
      <c r="Q24" s="1060"/>
      <c r="R24" s="1093"/>
      <c r="S24" s="1093"/>
    </row>
    <row r="25" spans="1:19" s="1015" customFormat="1" ht="24" customHeight="1" thickBot="1">
      <c r="A25" s="1094"/>
      <c r="B25" s="1095"/>
      <c r="C25" s="1096"/>
      <c r="D25" s="1096"/>
      <c r="E25" s="1097"/>
      <c r="F25" s="1097"/>
      <c r="G25" s="1097"/>
      <c r="H25" s="1098"/>
      <c r="I25" s="1099"/>
      <c r="J25" s="1094"/>
      <c r="K25" s="1100"/>
      <c r="L25" s="1101"/>
      <c r="M25" s="1102"/>
      <c r="N25" s="1097"/>
      <c r="O25" s="1097"/>
      <c r="P25" s="1103"/>
      <c r="Q25" s="1103"/>
      <c r="R25" s="1104"/>
      <c r="S25" s="1104"/>
    </row>
    <row r="26" ht="18" customHeight="1"/>
    <row r="27" ht="18" customHeight="1"/>
    <row r="28" spans="2:14" ht="18" customHeight="1">
      <c r="B28" s="308"/>
      <c r="C28" s="308"/>
      <c r="D28" s="1106"/>
      <c r="E28" s="308"/>
      <c r="F28" s="308"/>
      <c r="G28" s="1107"/>
      <c r="H28" s="1107"/>
      <c r="I28" s="308"/>
      <c r="K28" s="308"/>
      <c r="L28" s="308"/>
      <c r="M28" s="308"/>
      <c r="N28" s="308"/>
    </row>
    <row r="29" spans="2:14" ht="18" customHeight="1">
      <c r="B29" s="308"/>
      <c r="C29" s="308"/>
      <c r="D29" s="1106"/>
      <c r="E29" s="308"/>
      <c r="F29" s="308"/>
      <c r="G29" s="1107"/>
      <c r="H29" s="1108"/>
      <c r="I29" s="308"/>
      <c r="K29" s="308"/>
      <c r="L29" s="308"/>
      <c r="M29" s="308"/>
      <c r="N29" s="308"/>
    </row>
    <row r="30" spans="1:19" s="1002" customFormat="1" ht="20.25">
      <c r="A30" s="1001" t="s">
        <v>2534</v>
      </c>
      <c r="C30" s="1001"/>
      <c r="D30" s="1001"/>
      <c r="E30" s="1001"/>
      <c r="F30" s="1001"/>
      <c r="H30" s="1003"/>
      <c r="I30" s="1003" t="s">
        <v>2535</v>
      </c>
      <c r="J30" s="1003"/>
      <c r="K30" s="1003"/>
      <c r="L30" s="1003"/>
      <c r="O30" s="1003"/>
      <c r="P30" s="1003"/>
      <c r="Q30" s="1003"/>
      <c r="R30" s="1446" t="s">
        <v>912</v>
      </c>
      <c r="S30" s="1446"/>
    </row>
    <row r="31" spans="2:14" ht="18" customHeight="1">
      <c r="B31" s="1447"/>
      <c r="C31" s="1447"/>
      <c r="D31" s="1447"/>
      <c r="E31" s="308"/>
      <c r="F31" s="308"/>
      <c r="G31" s="308"/>
      <c r="H31" s="308"/>
      <c r="I31" s="308"/>
      <c r="K31" s="1447"/>
      <c r="L31" s="1447"/>
      <c r="M31" s="1447"/>
      <c r="N31" s="1447"/>
    </row>
  </sheetData>
  <mergeCells count="22">
    <mergeCell ref="K6:K8"/>
    <mergeCell ref="L6:L8"/>
    <mergeCell ref="M6:M8"/>
    <mergeCell ref="N6:O7"/>
    <mergeCell ref="A3:S3"/>
    <mergeCell ref="B5:O5"/>
    <mergeCell ref="A6:A8"/>
    <mergeCell ref="B6:B8"/>
    <mergeCell ref="C6:C8"/>
    <mergeCell ref="D6:D8"/>
    <mergeCell ref="E6:F6"/>
    <mergeCell ref="G6:G8"/>
    <mergeCell ref="H6:I7"/>
    <mergeCell ref="J6:J8"/>
    <mergeCell ref="R30:S30"/>
    <mergeCell ref="B31:D31"/>
    <mergeCell ref="K31:N31"/>
    <mergeCell ref="P6:Q7"/>
    <mergeCell ref="R6:R8"/>
    <mergeCell ref="S6:S8"/>
    <mergeCell ref="E7:E8"/>
    <mergeCell ref="F7:F8"/>
  </mergeCells>
  <conditionalFormatting sqref="D24 D16 L23:L25 L12:L14 L20:L21 L16:L18 D20 I24 I16 I20">
    <cfRule type="cellIs" priority="1" dxfId="0" operator="equal" stopIfTrue="1">
      <formula>0</formula>
    </cfRule>
  </conditionalFormatting>
  <conditionalFormatting sqref="M20 I10">
    <cfRule type="expression" priority="2" dxfId="1" stopIfTrue="1">
      <formula>$I10&gt;0</formula>
    </cfRule>
  </conditionalFormatting>
  <conditionalFormatting sqref="M12:M19 M21:M25 L22 M10">
    <cfRule type="expression" priority="3" dxfId="1" stopIfTrue="1">
      <formula>$L10&gt;0</formula>
    </cfRule>
  </conditionalFormatting>
  <conditionalFormatting sqref="C15:G15 N15:O15 R19:S19 L19 N19:O19 R15:S15 C19:I19 L15 R10:S10 K10:L10 C10:G10 N10:O10">
    <cfRule type="expression" priority="4" dxfId="1" stopIfTrue="1">
      <formula>C10&gt;0</formula>
    </cfRule>
  </conditionalFormatting>
  <conditionalFormatting sqref="D13">
    <cfRule type="cellIs" priority="5" dxfId="0" operator="lessThan" stopIfTrue="1">
      <formula>0</formula>
    </cfRule>
  </conditionalFormatting>
  <conditionalFormatting sqref="H10">
    <cfRule type="cellIs" priority="6" dxfId="1" operator="greaterThanOrEqual" stopIfTrue="1">
      <formula>0</formula>
    </cfRule>
    <cfRule type="cellIs" priority="7" dxfId="2" operator="lessThan" stopIfTrue="1">
      <formula>0</formula>
    </cfRule>
  </conditionalFormatting>
  <printOptions horizontalCentered="1"/>
  <pageMargins left="0.3937007874015748" right="0.3937007874015748" top="0.984251968503937" bottom="0.7874015748031497" header="0.7086614173228347" footer="0.5118110236220472"/>
  <pageSetup blackAndWhite="1" fitToHeight="1" fitToWidth="1" horizontalDpi="600" verticalDpi="600" orientation="landscape" paperSize="9" scale="42" r:id="rId1"/>
  <headerFooter alignWithMargins="0">
    <oddFooter>&amp;L
&amp;C&amp;18&amp;P+95&amp;14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tabSelected="1" zoomScale="85" zoomScaleNormal="85" workbookViewId="0" topLeftCell="A2">
      <pane xSplit="1" ySplit="7" topLeftCell="B9" activePane="bottomRight" state="frozen"/>
      <selection pane="topLeft"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ColWidth="9.00390625" defaultRowHeight="12.75"/>
  <cols>
    <col min="1" max="1" width="42.75390625" style="307" customWidth="1"/>
    <col min="2" max="2" width="18.875" style="307" customWidth="1"/>
    <col min="3" max="3" width="19.25390625" style="307" customWidth="1"/>
    <col min="4" max="4" width="16.375" style="307" customWidth="1"/>
    <col min="5" max="5" width="20.00390625" style="307" customWidth="1"/>
    <col min="6" max="6" width="19.375" style="307" customWidth="1"/>
    <col min="7" max="7" width="14.625" style="307" customWidth="1"/>
    <col min="8" max="9" width="18.625" style="307" customWidth="1"/>
    <col min="10" max="10" width="16.375" style="307" customWidth="1"/>
    <col min="11" max="11" width="18.25390625" style="307" customWidth="1"/>
    <col min="12" max="12" width="18.625" style="307" customWidth="1"/>
    <col min="13" max="13" width="18.375" style="307" customWidth="1"/>
    <col min="14" max="18" width="13.875" style="307" customWidth="1"/>
    <col min="19" max="19" width="2.75390625" style="307" customWidth="1"/>
    <col min="20" max="20" width="10.75390625" style="307" customWidth="1"/>
    <col min="21" max="16384" width="8.875" style="307" customWidth="1"/>
  </cols>
  <sheetData>
    <row r="1" spans="1:32" s="622" customFormat="1" ht="20.25" customHeight="1">
      <c r="A1" s="1008" t="s">
        <v>1063</v>
      </c>
      <c r="Q1" s="1474" t="s">
        <v>389</v>
      </c>
      <c r="R1" s="1474"/>
      <c r="AF1" s="949"/>
    </row>
    <row r="2" spans="2:12" ht="23.25" customHeight="1">
      <c r="B2" s="311"/>
      <c r="C2" s="311"/>
      <c r="D2" s="311"/>
      <c r="E2" s="311"/>
      <c r="F2" s="311"/>
      <c r="G2" s="311"/>
      <c r="H2" s="311"/>
      <c r="I2" s="950"/>
      <c r="J2" s="950"/>
      <c r="K2" s="950"/>
      <c r="L2" s="950"/>
    </row>
    <row r="3" spans="1:26" s="1012" customFormat="1" ht="24" customHeight="1">
      <c r="A3" s="1475" t="s">
        <v>1574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336"/>
      <c r="T3" s="1336"/>
      <c r="U3" s="1336"/>
      <c r="V3" s="1336"/>
      <c r="W3" s="1336"/>
      <c r="X3" s="1336"/>
      <c r="Y3" s="1336"/>
      <c r="Z3" s="1336"/>
    </row>
    <row r="4" spans="1:26" ht="18.75" customHeight="1">
      <c r="A4" s="796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951"/>
      <c r="T4" s="951"/>
      <c r="U4" s="951"/>
      <c r="V4" s="951"/>
      <c r="W4" s="951"/>
      <c r="X4" s="951"/>
      <c r="Y4" s="951"/>
      <c r="Z4" s="951"/>
    </row>
    <row r="5" spans="1:18" ht="18.75" customHeight="1" thickBot="1">
      <c r="A5" s="952" t="s">
        <v>1575</v>
      </c>
      <c r="B5" s="308"/>
      <c r="C5" s="308"/>
      <c r="D5" s="308"/>
      <c r="L5" s="953"/>
      <c r="R5" s="954" t="s">
        <v>2552</v>
      </c>
    </row>
    <row r="6" spans="1:18" s="1341" customFormat="1" ht="64.5" customHeight="1" thickBot="1">
      <c r="A6" s="1476" t="s">
        <v>2538</v>
      </c>
      <c r="B6" s="1472" t="s">
        <v>1576</v>
      </c>
      <c r="C6" s="1472" t="s">
        <v>397</v>
      </c>
      <c r="D6" s="1472" t="s">
        <v>2045</v>
      </c>
      <c r="E6" s="1472" t="s">
        <v>1577</v>
      </c>
      <c r="F6" s="1472" t="s">
        <v>1578</v>
      </c>
      <c r="G6" s="1472" t="s">
        <v>1579</v>
      </c>
      <c r="H6" s="1472" t="s">
        <v>1580</v>
      </c>
      <c r="I6" s="1337" t="s">
        <v>402</v>
      </c>
      <c r="J6" s="1338"/>
      <c r="K6" s="1339" t="s">
        <v>1581</v>
      </c>
      <c r="L6" s="1340"/>
      <c r="M6" s="1472" t="s">
        <v>1582</v>
      </c>
      <c r="N6" s="1472" t="s">
        <v>2047</v>
      </c>
      <c r="O6" s="1472" t="s">
        <v>1583</v>
      </c>
      <c r="P6" s="1472" t="s">
        <v>1584</v>
      </c>
      <c r="Q6" s="1472" t="s">
        <v>1585</v>
      </c>
      <c r="R6" s="1472" t="s">
        <v>1586</v>
      </c>
    </row>
    <row r="7" spans="1:18" s="1341" customFormat="1" ht="63.75" customHeight="1" thickBot="1">
      <c r="A7" s="1477"/>
      <c r="B7" s="1473"/>
      <c r="C7" s="1473"/>
      <c r="D7" s="1473"/>
      <c r="E7" s="1473"/>
      <c r="F7" s="1473"/>
      <c r="G7" s="1473"/>
      <c r="H7" s="1473"/>
      <c r="I7" s="1342" t="s">
        <v>484</v>
      </c>
      <c r="J7" s="1342" t="s">
        <v>2046</v>
      </c>
      <c r="K7" s="1342" t="s">
        <v>1587</v>
      </c>
      <c r="L7" s="1342" t="s">
        <v>485</v>
      </c>
      <c r="M7" s="1473"/>
      <c r="N7" s="1473"/>
      <c r="O7" s="1473"/>
      <c r="P7" s="1473"/>
      <c r="Q7" s="1473"/>
      <c r="R7" s="1473"/>
    </row>
    <row r="8" spans="1:18" s="955" customFormat="1" ht="13.5" customHeight="1" thickBot="1">
      <c r="A8" s="956"/>
      <c r="B8" s="957">
        <v>1</v>
      </c>
      <c r="C8" s="958">
        <v>2</v>
      </c>
      <c r="D8" s="957">
        <v>3</v>
      </c>
      <c r="E8" s="958">
        <v>4</v>
      </c>
      <c r="F8" s="957">
        <v>5</v>
      </c>
      <c r="G8" s="958">
        <v>6</v>
      </c>
      <c r="H8" s="957">
        <v>7</v>
      </c>
      <c r="I8" s="958">
        <v>8</v>
      </c>
      <c r="J8" s="957">
        <v>9</v>
      </c>
      <c r="K8" s="958">
        <v>10</v>
      </c>
      <c r="L8" s="957">
        <v>11</v>
      </c>
      <c r="M8" s="959" t="s">
        <v>370</v>
      </c>
      <c r="N8" s="959" t="s">
        <v>371</v>
      </c>
      <c r="O8" s="959" t="s">
        <v>372</v>
      </c>
      <c r="P8" s="959" t="s">
        <v>373</v>
      </c>
      <c r="Q8" s="959" t="s">
        <v>1588</v>
      </c>
      <c r="R8" s="959" t="s">
        <v>1589</v>
      </c>
    </row>
    <row r="9" spans="1:18" s="621" customFormat="1" ht="28.5" customHeight="1">
      <c r="A9" s="960" t="s">
        <v>1590</v>
      </c>
      <c r="B9" s="961">
        <f aca="true" t="shared" si="0" ref="B9:M9">SUM(B12:B15)</f>
        <v>2597209000</v>
      </c>
      <c r="C9" s="961">
        <f t="shared" si="0"/>
        <v>2957523000</v>
      </c>
      <c r="D9" s="961">
        <f t="shared" si="0"/>
        <v>160457979</v>
      </c>
      <c r="E9" s="961">
        <f t="shared" si="0"/>
        <v>3117980979</v>
      </c>
      <c r="F9" s="961">
        <f t="shared" si="0"/>
        <v>2809404893</v>
      </c>
      <c r="G9" s="961">
        <f t="shared" si="0"/>
        <v>62076457</v>
      </c>
      <c r="H9" s="961">
        <f t="shared" si="0"/>
        <v>2871481350</v>
      </c>
      <c r="I9" s="961">
        <f t="shared" si="0"/>
        <v>-148118107</v>
      </c>
      <c r="J9" s="961">
        <f t="shared" si="0"/>
        <v>-86041650</v>
      </c>
      <c r="K9" s="961">
        <f t="shared" si="0"/>
        <v>-308576086</v>
      </c>
      <c r="L9" s="961">
        <f t="shared" si="0"/>
        <v>-246499629</v>
      </c>
      <c r="M9" s="962">
        <f t="shared" si="0"/>
        <v>2128944636</v>
      </c>
      <c r="N9" s="963">
        <f>+F9/M9</f>
        <v>1.3196232750695167</v>
      </c>
      <c r="O9" s="962">
        <f>SUM(O12:O15)</f>
        <v>24951</v>
      </c>
      <c r="P9" s="962">
        <f>SUM(P12:P15)</f>
        <v>19819</v>
      </c>
      <c r="Q9" s="962"/>
      <c r="R9" s="964"/>
    </row>
    <row r="10" spans="1:18" ht="24" customHeight="1">
      <c r="A10" s="965" t="s">
        <v>1591</v>
      </c>
      <c r="B10" s="966"/>
      <c r="C10" s="966"/>
      <c r="D10" s="966"/>
      <c r="E10" s="966"/>
      <c r="F10" s="966"/>
      <c r="G10" s="966"/>
      <c r="H10" s="966"/>
      <c r="I10" s="966"/>
      <c r="J10" s="966"/>
      <c r="K10" s="967"/>
      <c r="L10" s="967"/>
      <c r="M10" s="967"/>
      <c r="N10" s="968"/>
      <c r="O10" s="967"/>
      <c r="P10" s="969"/>
      <c r="Q10" s="967"/>
      <c r="R10" s="966"/>
    </row>
    <row r="11" spans="1:18" ht="24" customHeight="1">
      <c r="A11" s="965" t="s">
        <v>375</v>
      </c>
      <c r="B11" s="966"/>
      <c r="C11" s="966"/>
      <c r="D11" s="966"/>
      <c r="E11" s="966"/>
      <c r="F11" s="966"/>
      <c r="G11" s="966"/>
      <c r="H11" s="966"/>
      <c r="I11" s="966"/>
      <c r="J11" s="966"/>
      <c r="K11" s="967"/>
      <c r="L11" s="967"/>
      <c r="M11" s="967"/>
      <c r="N11" s="968"/>
      <c r="O11" s="967"/>
      <c r="P11" s="969"/>
      <c r="Q11" s="967"/>
      <c r="R11" s="966"/>
    </row>
    <row r="12" spans="1:18" ht="27.75" customHeight="1">
      <c r="A12" s="965" t="s">
        <v>1592</v>
      </c>
      <c r="B12" s="966">
        <v>2308574000</v>
      </c>
      <c r="C12" s="966">
        <v>2068958000</v>
      </c>
      <c r="D12" s="966">
        <v>120595744</v>
      </c>
      <c r="E12" s="966">
        <f>+C12+D12</f>
        <v>2189553744</v>
      </c>
      <c r="F12" s="966">
        <v>2167937032</v>
      </c>
      <c r="G12" s="966">
        <v>21616712</v>
      </c>
      <c r="H12" s="966">
        <f>+F12+G12</f>
        <v>2189553744</v>
      </c>
      <c r="I12" s="966">
        <f>+F12-C12</f>
        <v>98979032</v>
      </c>
      <c r="J12" s="966">
        <f>+H12-C12</f>
        <v>120595744</v>
      </c>
      <c r="K12" s="967">
        <f>+F12-E12</f>
        <v>-21616712</v>
      </c>
      <c r="L12" s="967">
        <f>+H12-E12</f>
        <v>0</v>
      </c>
      <c r="M12" s="967">
        <v>1813809148</v>
      </c>
      <c r="N12" s="970">
        <f>+F12/M12</f>
        <v>1.1952398819856431</v>
      </c>
      <c r="O12" s="967">
        <v>20742</v>
      </c>
      <c r="P12" s="969">
        <v>17316</v>
      </c>
      <c r="Q12" s="967">
        <v>8827</v>
      </c>
      <c r="R12" s="966">
        <v>8566</v>
      </c>
    </row>
    <row r="13" spans="1:18" ht="27.75" customHeight="1">
      <c r="A13" s="965" t="s">
        <v>1593</v>
      </c>
      <c r="B13" s="966">
        <v>1500000</v>
      </c>
      <c r="C13" s="966">
        <v>1630000</v>
      </c>
      <c r="D13" s="966">
        <v>0</v>
      </c>
      <c r="E13" s="966">
        <f>+C13+D13</f>
        <v>1630000</v>
      </c>
      <c r="F13" s="966">
        <v>1610832</v>
      </c>
      <c r="G13" s="966">
        <v>19168</v>
      </c>
      <c r="H13" s="966">
        <f>+F13+G13</f>
        <v>1630000</v>
      </c>
      <c r="I13" s="966">
        <f>+F13-C13</f>
        <v>-19168</v>
      </c>
      <c r="J13" s="966">
        <f>+H13-C13</f>
        <v>0</v>
      </c>
      <c r="K13" s="967">
        <f>+F13-E13</f>
        <v>-19168</v>
      </c>
      <c r="L13" s="967">
        <f>+H13-E13</f>
        <v>0</v>
      </c>
      <c r="M13" s="967">
        <v>1936507</v>
      </c>
      <c r="N13" s="970">
        <f>+F13/M13</f>
        <v>0.8318234842425046</v>
      </c>
      <c r="O13" s="967">
        <v>275</v>
      </c>
      <c r="P13" s="969">
        <v>287</v>
      </c>
      <c r="Q13" s="967">
        <v>3000</v>
      </c>
      <c r="R13" s="966">
        <v>3921</v>
      </c>
    </row>
    <row r="14" spans="1:18" ht="27.75" customHeight="1">
      <c r="A14" s="965" t="s">
        <v>1594</v>
      </c>
      <c r="B14" s="966">
        <v>4004000</v>
      </c>
      <c r="C14" s="966">
        <v>7428077</v>
      </c>
      <c r="D14" s="966">
        <v>519</v>
      </c>
      <c r="E14" s="966">
        <f>+C14+D14</f>
        <v>7428596</v>
      </c>
      <c r="F14" s="966">
        <v>7255214</v>
      </c>
      <c r="G14" s="966">
        <v>107753</v>
      </c>
      <c r="H14" s="966">
        <f>+F14+G14</f>
        <v>7362967</v>
      </c>
      <c r="I14" s="966">
        <f>+F14-C14</f>
        <v>-172863</v>
      </c>
      <c r="J14" s="966">
        <f>+H14-C14</f>
        <v>-65110</v>
      </c>
      <c r="K14" s="967">
        <f>+F14-E14</f>
        <v>-173382</v>
      </c>
      <c r="L14" s="967">
        <f>+H14-E14</f>
        <v>-65629</v>
      </c>
      <c r="M14" s="967">
        <v>5516994</v>
      </c>
      <c r="N14" s="970">
        <f>+F14/M14</f>
        <v>1.3150665017942742</v>
      </c>
      <c r="O14" s="967">
        <v>49</v>
      </c>
      <c r="P14" s="969">
        <v>41</v>
      </c>
      <c r="Q14" s="967">
        <v>182537</v>
      </c>
      <c r="R14" s="966">
        <v>114407</v>
      </c>
    </row>
    <row r="15" spans="1:18" ht="27.75" customHeight="1">
      <c r="A15" s="965" t="s">
        <v>1595</v>
      </c>
      <c r="B15" s="966">
        <v>283131000</v>
      </c>
      <c r="C15" s="966">
        <v>879506923</v>
      </c>
      <c r="D15" s="966">
        <v>39861716</v>
      </c>
      <c r="E15" s="966">
        <f>+C15+D15</f>
        <v>919368639</v>
      </c>
      <c r="F15" s="966">
        <v>632601815</v>
      </c>
      <c r="G15" s="966">
        <v>40332824</v>
      </c>
      <c r="H15" s="966">
        <f>+F15+G15</f>
        <v>672934639</v>
      </c>
      <c r="I15" s="966">
        <f>+F15-C15</f>
        <v>-246905108</v>
      </c>
      <c r="J15" s="966">
        <f>+H15-C15</f>
        <v>-206572284</v>
      </c>
      <c r="K15" s="967">
        <f>+F15-E15</f>
        <v>-286766824</v>
      </c>
      <c r="L15" s="967">
        <f>+H15-E15</f>
        <v>-246434000</v>
      </c>
      <c r="M15" s="967">
        <v>307681987</v>
      </c>
      <c r="N15" s="970">
        <f>+F15/M15</f>
        <v>2.0560248624499424</v>
      </c>
      <c r="O15" s="967">
        <v>3885</v>
      </c>
      <c r="P15" s="969">
        <v>2175</v>
      </c>
      <c r="Q15" s="967">
        <f>SUM(F15/O15)</f>
        <v>162831.87001287</v>
      </c>
      <c r="R15" s="966">
        <v>145787</v>
      </c>
    </row>
    <row r="16" spans="1:18" ht="24" customHeight="1" thickBot="1">
      <c r="A16" s="965"/>
      <c r="B16" s="966"/>
      <c r="C16" s="966"/>
      <c r="D16" s="966"/>
      <c r="E16" s="966"/>
      <c r="F16" s="966"/>
      <c r="G16" s="966"/>
      <c r="H16" s="966"/>
      <c r="I16" s="966"/>
      <c r="J16" s="966"/>
      <c r="K16" s="967"/>
      <c r="L16" s="967"/>
      <c r="M16" s="967"/>
      <c r="N16" s="969"/>
      <c r="O16" s="967"/>
      <c r="P16" s="969"/>
      <c r="Q16" s="967"/>
      <c r="R16" s="966"/>
    </row>
    <row r="17" spans="1:18" s="621" customFormat="1" ht="57" customHeight="1">
      <c r="A17" s="971" t="s">
        <v>1596</v>
      </c>
      <c r="B17" s="962">
        <f>SUM(B20:B24)</f>
        <v>107938000</v>
      </c>
      <c r="C17" s="962">
        <f>SUM(C20:C24)</f>
        <v>122271000</v>
      </c>
      <c r="D17" s="962">
        <f>SUM(D20:D23)</f>
        <v>10753458</v>
      </c>
      <c r="E17" s="962">
        <f>SUM(E20:E24)</f>
        <v>133024458</v>
      </c>
      <c r="F17" s="962">
        <f>SUM(F20:F24)</f>
        <v>122552045</v>
      </c>
      <c r="G17" s="962">
        <f>SUM(G20:G23)</f>
        <v>10470165</v>
      </c>
      <c r="H17" s="962">
        <f aca="true" t="shared" si="1" ref="H17:M17">SUM(H20:H24)</f>
        <v>133022210</v>
      </c>
      <c r="I17" s="962">
        <f t="shared" si="1"/>
        <v>281045</v>
      </c>
      <c r="J17" s="962">
        <f t="shared" si="1"/>
        <v>10751210</v>
      </c>
      <c r="K17" s="962">
        <f t="shared" si="1"/>
        <v>-10472413</v>
      </c>
      <c r="L17" s="962">
        <f t="shared" si="1"/>
        <v>-2248</v>
      </c>
      <c r="M17" s="962">
        <f t="shared" si="1"/>
        <v>132645760</v>
      </c>
      <c r="N17" s="963">
        <f>+F17/M17</f>
        <v>0.9239047294086143</v>
      </c>
      <c r="O17" s="972" t="s">
        <v>939</v>
      </c>
      <c r="P17" s="973" t="s">
        <v>939</v>
      </c>
      <c r="Q17" s="972" t="s">
        <v>939</v>
      </c>
      <c r="R17" s="974" t="s">
        <v>939</v>
      </c>
    </row>
    <row r="18" spans="1:18" ht="24.75" customHeight="1" thickBot="1">
      <c r="A18" s="975" t="s">
        <v>1597</v>
      </c>
      <c r="B18" s="976"/>
      <c r="C18" s="976"/>
      <c r="D18" s="976"/>
      <c r="E18" s="976"/>
      <c r="F18" s="976"/>
      <c r="G18" s="976"/>
      <c r="H18" s="976"/>
      <c r="I18" s="977"/>
      <c r="J18" s="976"/>
      <c r="K18" s="976"/>
      <c r="L18" s="976"/>
      <c r="M18" s="976"/>
      <c r="N18" s="978"/>
      <c r="O18" s="979"/>
      <c r="P18" s="977"/>
      <c r="Q18" s="976"/>
      <c r="R18" s="980"/>
    </row>
    <row r="19" spans="1:18" ht="24.75" customHeight="1">
      <c r="A19" s="965" t="s">
        <v>375</v>
      </c>
      <c r="B19" s="966"/>
      <c r="C19" s="966"/>
      <c r="D19" s="966"/>
      <c r="E19" s="966"/>
      <c r="F19" s="966"/>
      <c r="G19" s="966"/>
      <c r="H19" s="966"/>
      <c r="I19" s="981"/>
      <c r="J19" s="967"/>
      <c r="K19" s="967"/>
      <c r="L19" s="967"/>
      <c r="M19" s="982"/>
      <c r="N19" s="983"/>
      <c r="O19" s="984" t="s">
        <v>939</v>
      </c>
      <c r="P19" s="985" t="s">
        <v>939</v>
      </c>
      <c r="Q19" s="986" t="s">
        <v>939</v>
      </c>
      <c r="R19" s="984" t="s">
        <v>939</v>
      </c>
    </row>
    <row r="20" spans="1:18" ht="27.75" customHeight="1">
      <c r="A20" s="965" t="s">
        <v>1598</v>
      </c>
      <c r="B20" s="966">
        <v>82817000</v>
      </c>
      <c r="C20" s="966">
        <v>83417372</v>
      </c>
      <c r="D20" s="966">
        <v>10535254</v>
      </c>
      <c r="E20" s="966">
        <f>+C20+D20</f>
        <v>93952626</v>
      </c>
      <c r="F20" s="966">
        <v>83784695</v>
      </c>
      <c r="G20" s="966">
        <v>10165841</v>
      </c>
      <c r="H20" s="966">
        <f>+F20+G20</f>
        <v>93950536</v>
      </c>
      <c r="I20" s="966">
        <f>+F20-C20</f>
        <v>367323</v>
      </c>
      <c r="J20" s="966">
        <f>+H20-C20</f>
        <v>10533164</v>
      </c>
      <c r="K20" s="967">
        <f>+F20-E20</f>
        <v>-10167931</v>
      </c>
      <c r="L20" s="967">
        <f>+H20-E20</f>
        <v>-2090</v>
      </c>
      <c r="M20" s="982">
        <v>90534209</v>
      </c>
      <c r="N20" s="987">
        <f>+F20/M20</f>
        <v>0.9254479154945728</v>
      </c>
      <c r="O20" s="984" t="s">
        <v>939</v>
      </c>
      <c r="P20" s="985" t="s">
        <v>939</v>
      </c>
      <c r="Q20" s="986" t="s">
        <v>939</v>
      </c>
      <c r="R20" s="984" t="s">
        <v>939</v>
      </c>
    </row>
    <row r="21" spans="1:18" ht="27.75" customHeight="1">
      <c r="A21" s="965" t="s">
        <v>1599</v>
      </c>
      <c r="B21" s="966">
        <v>25121000</v>
      </c>
      <c r="C21" s="966">
        <v>38229228</v>
      </c>
      <c r="D21" s="966">
        <v>218204</v>
      </c>
      <c r="E21" s="966">
        <f>+C21+D21</f>
        <v>38447432</v>
      </c>
      <c r="F21" s="966">
        <v>38143282</v>
      </c>
      <c r="G21" s="966">
        <v>304000</v>
      </c>
      <c r="H21" s="966">
        <f>+F21+G21</f>
        <v>38447282</v>
      </c>
      <c r="I21" s="966">
        <f>+F21-C21</f>
        <v>-85946</v>
      </c>
      <c r="J21" s="966">
        <f>+H21-C21</f>
        <v>218054</v>
      </c>
      <c r="K21" s="967">
        <f>+F21-E21</f>
        <v>-304150</v>
      </c>
      <c r="L21" s="967">
        <f>+H21-E21</f>
        <v>-150</v>
      </c>
      <c r="M21" s="982">
        <v>34627128</v>
      </c>
      <c r="N21" s="987">
        <f>+F21/M21</f>
        <v>1.1015433333079196</v>
      </c>
      <c r="O21" s="984" t="s">
        <v>939</v>
      </c>
      <c r="P21" s="985" t="s">
        <v>939</v>
      </c>
      <c r="Q21" s="986" t="s">
        <v>939</v>
      </c>
      <c r="R21" s="984" t="s">
        <v>939</v>
      </c>
    </row>
    <row r="22" spans="1:18" ht="27.75" customHeight="1">
      <c r="A22" s="965" t="s">
        <v>1600</v>
      </c>
      <c r="B22" s="966">
        <v>0</v>
      </c>
      <c r="C22" s="966">
        <v>0</v>
      </c>
      <c r="D22" s="966">
        <v>0</v>
      </c>
      <c r="E22" s="966">
        <f>+C22+D22</f>
        <v>0</v>
      </c>
      <c r="F22" s="966">
        <v>0</v>
      </c>
      <c r="G22" s="966">
        <v>0</v>
      </c>
      <c r="H22" s="966">
        <f>+F22+G22</f>
        <v>0</v>
      </c>
      <c r="I22" s="966">
        <f>+F22-C22</f>
        <v>0</v>
      </c>
      <c r="J22" s="966">
        <f>+H22-C22</f>
        <v>0</v>
      </c>
      <c r="K22" s="967">
        <f>+F22-E22</f>
        <v>0</v>
      </c>
      <c r="L22" s="967">
        <f>+H22-E22</f>
        <v>0</v>
      </c>
      <c r="M22" s="982">
        <v>0</v>
      </c>
      <c r="N22" s="987">
        <v>0</v>
      </c>
      <c r="O22" s="984" t="s">
        <v>939</v>
      </c>
      <c r="P22" s="985" t="s">
        <v>939</v>
      </c>
      <c r="Q22" s="986" t="s">
        <v>939</v>
      </c>
      <c r="R22" s="984" t="s">
        <v>939</v>
      </c>
    </row>
    <row r="23" spans="1:18" ht="27.75" customHeight="1">
      <c r="A23" s="965" t="s">
        <v>1601</v>
      </c>
      <c r="B23" s="966">
        <v>0</v>
      </c>
      <c r="C23" s="966">
        <v>611000</v>
      </c>
      <c r="D23" s="966">
        <v>0</v>
      </c>
      <c r="E23" s="966">
        <f>+C23+D23</f>
        <v>611000</v>
      </c>
      <c r="F23" s="966">
        <v>610676</v>
      </c>
      <c r="G23" s="966">
        <v>324</v>
      </c>
      <c r="H23" s="966">
        <f>+F23+G23</f>
        <v>611000</v>
      </c>
      <c r="I23" s="966">
        <f>+F23-C23</f>
        <v>-324</v>
      </c>
      <c r="J23" s="966">
        <f>+H23-C23</f>
        <v>0</v>
      </c>
      <c r="K23" s="967">
        <f>+F23-E23</f>
        <v>-324</v>
      </c>
      <c r="L23" s="967">
        <f>+H23-E23</f>
        <v>0</v>
      </c>
      <c r="M23" s="982">
        <v>7484423</v>
      </c>
      <c r="N23" s="987">
        <f>+F23/M23</f>
        <v>0.08159292974221259</v>
      </c>
      <c r="O23" s="984" t="s">
        <v>939</v>
      </c>
      <c r="P23" s="985" t="s">
        <v>939</v>
      </c>
      <c r="Q23" s="986" t="s">
        <v>939</v>
      </c>
      <c r="R23" s="984" t="s">
        <v>939</v>
      </c>
    </row>
    <row r="24" spans="1:18" ht="27.75" customHeight="1">
      <c r="A24" s="965" t="s">
        <v>1602</v>
      </c>
      <c r="B24" s="966">
        <v>0</v>
      </c>
      <c r="C24" s="966">
        <v>13400</v>
      </c>
      <c r="D24" s="966">
        <v>0</v>
      </c>
      <c r="E24" s="966">
        <f>+C24+D24</f>
        <v>13400</v>
      </c>
      <c r="F24" s="966">
        <v>13392</v>
      </c>
      <c r="G24" s="966">
        <v>0</v>
      </c>
      <c r="H24" s="966">
        <f>+F24+G24</f>
        <v>13392</v>
      </c>
      <c r="I24" s="966">
        <f>+F24-C24</f>
        <v>-8</v>
      </c>
      <c r="J24" s="966">
        <f>+H24-C24</f>
        <v>-8</v>
      </c>
      <c r="K24" s="967">
        <f>+F24-E24</f>
        <v>-8</v>
      </c>
      <c r="L24" s="967">
        <f>+H24-E24</f>
        <v>-8</v>
      </c>
      <c r="M24" s="982">
        <v>0</v>
      </c>
      <c r="N24" s="987">
        <v>0</v>
      </c>
      <c r="O24" s="984" t="s">
        <v>939</v>
      </c>
      <c r="P24" s="985" t="s">
        <v>939</v>
      </c>
      <c r="Q24" s="986" t="s">
        <v>939</v>
      </c>
      <c r="R24" s="984" t="s">
        <v>939</v>
      </c>
    </row>
    <row r="25" spans="1:18" ht="24.75" customHeight="1" thickBot="1">
      <c r="A25" s="960"/>
      <c r="B25" s="988"/>
      <c r="C25" s="988"/>
      <c r="D25" s="988"/>
      <c r="E25" s="988"/>
      <c r="F25" s="988"/>
      <c r="G25" s="988"/>
      <c r="H25" s="988"/>
      <c r="I25" s="989"/>
      <c r="J25" s="990"/>
      <c r="K25" s="990"/>
      <c r="L25" s="990"/>
      <c r="M25" s="991"/>
      <c r="N25" s="992"/>
      <c r="O25" s="993"/>
      <c r="P25" s="994"/>
      <c r="Q25" s="995"/>
      <c r="R25" s="993"/>
    </row>
    <row r="26" spans="1:18" s="308" customFormat="1" ht="31.5" customHeight="1" thickBot="1">
      <c r="A26" s="996" t="s">
        <v>1192</v>
      </c>
      <c r="B26" s="997">
        <f aca="true" t="shared" si="2" ref="B26:M26">+B9+B17</f>
        <v>2705147000</v>
      </c>
      <c r="C26" s="997">
        <f t="shared" si="2"/>
        <v>3079794000</v>
      </c>
      <c r="D26" s="997">
        <f t="shared" si="2"/>
        <v>171211437</v>
      </c>
      <c r="E26" s="997">
        <f t="shared" si="2"/>
        <v>3251005437</v>
      </c>
      <c r="F26" s="997">
        <f t="shared" si="2"/>
        <v>2931956938</v>
      </c>
      <c r="G26" s="997">
        <f t="shared" si="2"/>
        <v>72546622</v>
      </c>
      <c r="H26" s="997">
        <f t="shared" si="2"/>
        <v>3004503560</v>
      </c>
      <c r="I26" s="997">
        <f t="shared" si="2"/>
        <v>-147837062</v>
      </c>
      <c r="J26" s="997">
        <f t="shared" si="2"/>
        <v>-75290440</v>
      </c>
      <c r="K26" s="997">
        <f t="shared" si="2"/>
        <v>-319048499</v>
      </c>
      <c r="L26" s="997">
        <f t="shared" si="2"/>
        <v>-246501877</v>
      </c>
      <c r="M26" s="998">
        <f t="shared" si="2"/>
        <v>2261590396</v>
      </c>
      <c r="N26" s="999">
        <f>+F26/M26</f>
        <v>1.2964137728855123</v>
      </c>
      <c r="O26" s="997"/>
      <c r="P26" s="997"/>
      <c r="Q26" s="997"/>
      <c r="R26" s="997"/>
    </row>
    <row r="27" spans="13:16" ht="18" customHeight="1">
      <c r="M27" s="368"/>
      <c r="N27" s="368"/>
      <c r="O27" s="368"/>
      <c r="P27" s="368"/>
    </row>
    <row r="28" spans="1:25" ht="18" customHeight="1">
      <c r="A28" s="308"/>
      <c r="Y28" s="1000"/>
    </row>
    <row r="29" spans="1:25" ht="18" customHeight="1">
      <c r="A29" s="308"/>
      <c r="Y29" s="1000"/>
    </row>
    <row r="30" spans="1:25" ht="18" customHeight="1">
      <c r="A30" s="308"/>
      <c r="Y30" s="1000"/>
    </row>
    <row r="31" spans="1:34" s="1002" customFormat="1" ht="20.25">
      <c r="A31" s="1001" t="s">
        <v>2534</v>
      </c>
      <c r="C31" s="1001"/>
      <c r="D31" s="1001"/>
      <c r="E31" s="1001"/>
      <c r="F31" s="1001"/>
      <c r="H31" s="1003"/>
      <c r="I31" s="1003" t="s">
        <v>2535</v>
      </c>
      <c r="J31" s="1003"/>
      <c r="K31" s="1003"/>
      <c r="M31" s="1004"/>
      <c r="N31" s="1004"/>
      <c r="O31" s="1003"/>
      <c r="P31" s="1003"/>
      <c r="Q31" s="1003"/>
      <c r="R31" s="1005" t="s">
        <v>912</v>
      </c>
      <c r="S31" s="1005"/>
      <c r="AG31" s="1006"/>
      <c r="AH31" s="1006"/>
    </row>
    <row r="32" spans="1:25" ht="18" customHeight="1">
      <c r="A32" s="308"/>
      <c r="Y32" s="1000"/>
    </row>
    <row r="33" spans="1:25" ht="15">
      <c r="A33" s="368"/>
      <c r="Y33" s="1000"/>
    </row>
    <row r="34" spans="1:25" ht="15">
      <c r="A34" s="1007"/>
      <c r="Y34" s="1000"/>
    </row>
    <row r="35" spans="1:25" ht="15">
      <c r="A35" s="368"/>
      <c r="D35" s="409"/>
      <c r="Y35" s="1000"/>
    </row>
    <row r="36" spans="4:25" ht="15">
      <c r="D36" s="409"/>
      <c r="Y36" s="1000"/>
    </row>
    <row r="37" spans="7:10" ht="15">
      <c r="G37" s="409"/>
      <c r="H37" s="409"/>
      <c r="I37" s="409"/>
      <c r="J37" s="409"/>
    </row>
    <row r="38" spans="4:6" ht="15">
      <c r="D38" s="409"/>
      <c r="F38" s="409"/>
    </row>
  </sheetData>
  <mergeCells count="16">
    <mergeCell ref="Q1:R1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Q6:Q7"/>
    <mergeCell ref="R6:R7"/>
    <mergeCell ref="M6:M7"/>
    <mergeCell ref="N6:N7"/>
    <mergeCell ref="O6:O7"/>
    <mergeCell ref="P6:P7"/>
  </mergeCells>
  <printOptions horizontalCentered="1"/>
  <pageMargins left="0.5905511811023623" right="0.5905511811023623" top="0.984251968503937" bottom="0.7874015748031497" header="0.7086614173228347" footer="0.5118110236220472"/>
  <pageSetup blackAndWhite="1" fitToHeight="1" fitToWidth="1" horizontalDpi="600" verticalDpi="600" orientation="landscape" paperSize="9" scale="41" r:id="rId1"/>
  <headerFooter alignWithMargins="0">
    <oddFooter>&amp;C&amp;20&amp;P+96&amp;10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85" zoomScaleNormal="85" workbookViewId="0" topLeftCell="B13">
      <selection activeCell="B32" sqref="B32"/>
    </sheetView>
  </sheetViews>
  <sheetFormatPr defaultColWidth="9.00390625" defaultRowHeight="12.75"/>
  <cols>
    <col min="1" max="1" width="15.75390625" style="425" customWidth="1"/>
    <col min="2" max="2" width="42.75390625" style="427" customWidth="1"/>
    <col min="3" max="5" width="11.625" style="426" customWidth="1"/>
    <col min="6" max="6" width="16.00390625" style="426" customWidth="1"/>
    <col min="7" max="7" width="13.875" style="426" customWidth="1"/>
    <col min="8" max="8" width="15.25390625" style="426" customWidth="1"/>
    <col min="9" max="9" width="14.75390625" style="426" customWidth="1"/>
    <col min="10" max="10" width="16.625" style="426" customWidth="1"/>
    <col min="11" max="11" width="17.75390625" style="426" customWidth="1"/>
    <col min="12" max="12" width="14.75390625" style="426" customWidth="1"/>
    <col min="13" max="13" width="14.00390625" style="426" customWidth="1"/>
    <col min="14" max="14" width="13.875" style="428" customWidth="1"/>
    <col min="15" max="15" width="11.125" style="426" customWidth="1"/>
    <col min="16" max="16384" width="8.875" style="425" customWidth="1"/>
  </cols>
  <sheetData>
    <row r="1" spans="1:15" ht="20.25">
      <c r="A1" s="622" t="s">
        <v>1063</v>
      </c>
      <c r="N1" s="1478" t="s">
        <v>1197</v>
      </c>
      <c r="O1" s="1478"/>
    </row>
    <row r="2" ht="15">
      <c r="A2" s="426"/>
    </row>
    <row r="3" spans="1:15" ht="20.25">
      <c r="A3" s="429" t="s">
        <v>394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30"/>
      <c r="O3" s="429"/>
    </row>
    <row r="4" spans="3:15" ht="16.5" thickBot="1">
      <c r="C4" s="181"/>
      <c r="D4" s="181"/>
      <c r="E4" s="181"/>
      <c r="O4" s="431" t="s">
        <v>1037</v>
      </c>
    </row>
    <row r="5" spans="1:15" ht="85.5" customHeight="1" thickBot="1">
      <c r="A5" s="432" t="s">
        <v>1027</v>
      </c>
      <c r="B5" s="433" t="s">
        <v>395</v>
      </c>
      <c r="C5" s="434" t="s">
        <v>396</v>
      </c>
      <c r="D5" s="435" t="s">
        <v>397</v>
      </c>
      <c r="E5" s="434" t="s">
        <v>398</v>
      </c>
      <c r="F5" s="435" t="s">
        <v>1174</v>
      </c>
      <c r="G5" s="434" t="s">
        <v>399</v>
      </c>
      <c r="H5" s="435" t="s">
        <v>400</v>
      </c>
      <c r="I5" s="434" t="s">
        <v>401</v>
      </c>
      <c r="J5" s="435" t="s">
        <v>402</v>
      </c>
      <c r="K5" s="435"/>
      <c r="L5" s="436" t="s">
        <v>403</v>
      </c>
      <c r="M5" s="437"/>
      <c r="N5" s="438" t="s">
        <v>404</v>
      </c>
      <c r="O5" s="434" t="s">
        <v>483</v>
      </c>
    </row>
    <row r="6" spans="1:15" ht="69.75" customHeight="1" thickBot="1">
      <c r="A6" s="439"/>
      <c r="B6" s="440"/>
      <c r="C6" s="441"/>
      <c r="D6" s="442"/>
      <c r="E6" s="441"/>
      <c r="F6" s="442"/>
      <c r="G6" s="441"/>
      <c r="H6" s="442"/>
      <c r="I6" s="441"/>
      <c r="J6" s="443" t="s">
        <v>405</v>
      </c>
      <c r="K6" s="444" t="s">
        <v>406</v>
      </c>
      <c r="L6" s="445" t="s">
        <v>407</v>
      </c>
      <c r="M6" s="444" t="s">
        <v>408</v>
      </c>
      <c r="N6" s="446"/>
      <c r="O6" s="441"/>
    </row>
    <row r="7" spans="1:15" ht="15">
      <c r="A7" s="447"/>
      <c r="B7" s="448"/>
      <c r="C7" s="449">
        <v>1</v>
      </c>
      <c r="D7" s="450">
        <v>2</v>
      </c>
      <c r="E7" s="449">
        <v>3</v>
      </c>
      <c r="F7" s="450">
        <v>4</v>
      </c>
      <c r="G7" s="449">
        <v>5</v>
      </c>
      <c r="H7" s="450">
        <v>6</v>
      </c>
      <c r="I7" s="449">
        <v>7</v>
      </c>
      <c r="J7" s="450">
        <v>8</v>
      </c>
      <c r="K7" s="449">
        <v>9</v>
      </c>
      <c r="L7" s="450">
        <v>10</v>
      </c>
      <c r="M7" s="449">
        <v>11</v>
      </c>
      <c r="N7" s="451">
        <v>12</v>
      </c>
      <c r="O7" s="449">
        <v>13</v>
      </c>
    </row>
    <row r="8" spans="1:15" ht="27" customHeight="1">
      <c r="A8" s="452">
        <v>114230</v>
      </c>
      <c r="B8" s="453" t="s">
        <v>2110</v>
      </c>
      <c r="C8" s="454">
        <v>200000</v>
      </c>
      <c r="D8" s="455">
        <v>200000</v>
      </c>
      <c r="E8" s="454">
        <v>0</v>
      </c>
      <c r="F8" s="455">
        <f aca="true" t="shared" si="0" ref="F8:F22">+D8+E8</f>
        <v>200000</v>
      </c>
      <c r="G8" s="454">
        <v>199915</v>
      </c>
      <c r="H8" s="455">
        <v>84</v>
      </c>
      <c r="I8" s="454">
        <f aca="true" t="shared" si="1" ref="I8:I20">+G8+H8</f>
        <v>199999</v>
      </c>
      <c r="J8" s="455">
        <f aca="true" t="shared" si="2" ref="J8:J20">+G8-D8</f>
        <v>-85</v>
      </c>
      <c r="K8" s="454">
        <f aca="true" t="shared" si="3" ref="K8:K20">+I8-D8</f>
        <v>-1</v>
      </c>
      <c r="L8" s="456"/>
      <c r="M8" s="454">
        <f aca="true" t="shared" si="4" ref="M8:M20">+I8-F8</f>
        <v>-1</v>
      </c>
      <c r="N8" s="457">
        <v>0</v>
      </c>
      <c r="O8" s="458"/>
    </row>
    <row r="9" spans="1:15" ht="27" customHeight="1">
      <c r="A9" s="459">
        <v>214010</v>
      </c>
      <c r="B9" s="460" t="s">
        <v>1176</v>
      </c>
      <c r="C9" s="454">
        <v>98126</v>
      </c>
      <c r="D9" s="455">
        <v>87338</v>
      </c>
      <c r="E9" s="454">
        <v>4885</v>
      </c>
      <c r="F9" s="455">
        <f t="shared" si="0"/>
        <v>92223</v>
      </c>
      <c r="G9" s="454">
        <v>87233</v>
      </c>
      <c r="H9" s="455">
        <v>4982</v>
      </c>
      <c r="I9" s="454">
        <f t="shared" si="1"/>
        <v>92215</v>
      </c>
      <c r="J9" s="455">
        <f t="shared" si="2"/>
        <v>-105</v>
      </c>
      <c r="K9" s="454">
        <f t="shared" si="3"/>
        <v>4877</v>
      </c>
      <c r="L9" s="455">
        <f aca="true" t="shared" si="5" ref="L9:L20">+G9-F9</f>
        <v>-4990</v>
      </c>
      <c r="M9" s="454">
        <f t="shared" si="4"/>
        <v>-8</v>
      </c>
      <c r="N9" s="457">
        <v>179168</v>
      </c>
      <c r="O9" s="461">
        <f aca="true" t="shared" si="6" ref="O9:O22">+G9/N9</f>
        <v>0.48687823718521167</v>
      </c>
    </row>
    <row r="10" spans="1:15" ht="27" customHeight="1">
      <c r="A10" s="459">
        <v>214020</v>
      </c>
      <c r="B10" s="460" t="s">
        <v>1177</v>
      </c>
      <c r="C10" s="462">
        <v>170488</v>
      </c>
      <c r="D10" s="463">
        <v>185672</v>
      </c>
      <c r="E10" s="462">
        <f>29071+8</f>
        <v>29079</v>
      </c>
      <c r="F10" s="463">
        <f t="shared" si="0"/>
        <v>214751</v>
      </c>
      <c r="G10" s="462">
        <v>191112</v>
      </c>
      <c r="H10" s="463">
        <v>23625</v>
      </c>
      <c r="I10" s="462">
        <f t="shared" si="1"/>
        <v>214737</v>
      </c>
      <c r="J10" s="463">
        <f t="shared" si="2"/>
        <v>5440</v>
      </c>
      <c r="K10" s="462">
        <f t="shared" si="3"/>
        <v>29065</v>
      </c>
      <c r="L10" s="464">
        <f t="shared" si="5"/>
        <v>-23639</v>
      </c>
      <c r="M10" s="462">
        <f t="shared" si="4"/>
        <v>-14</v>
      </c>
      <c r="N10" s="465">
        <v>158185</v>
      </c>
      <c r="O10" s="466">
        <f t="shared" si="6"/>
        <v>1.2081550083762682</v>
      </c>
    </row>
    <row r="11" spans="1:15" ht="27" customHeight="1">
      <c r="A11" s="459">
        <v>214030</v>
      </c>
      <c r="B11" s="460" t="s">
        <v>1178</v>
      </c>
      <c r="C11" s="462">
        <v>259415</v>
      </c>
      <c r="D11" s="463">
        <v>277691</v>
      </c>
      <c r="E11" s="462">
        <f>277</f>
        <v>277</v>
      </c>
      <c r="F11" s="463">
        <f t="shared" si="0"/>
        <v>277968</v>
      </c>
      <c r="G11" s="462">
        <v>277569</v>
      </c>
      <c r="H11" s="463">
        <v>206</v>
      </c>
      <c r="I11" s="462">
        <f t="shared" si="1"/>
        <v>277775</v>
      </c>
      <c r="J11" s="463">
        <f t="shared" si="2"/>
        <v>-122</v>
      </c>
      <c r="K11" s="462">
        <f t="shared" si="3"/>
        <v>84</v>
      </c>
      <c r="L11" s="464">
        <f t="shared" si="5"/>
        <v>-399</v>
      </c>
      <c r="M11" s="462">
        <f t="shared" si="4"/>
        <v>-193</v>
      </c>
      <c r="N11" s="465">
        <v>248311</v>
      </c>
      <c r="O11" s="466">
        <f t="shared" si="6"/>
        <v>1.1178280462806722</v>
      </c>
    </row>
    <row r="12" spans="1:15" ht="27" customHeight="1">
      <c r="A12" s="459">
        <v>214040</v>
      </c>
      <c r="B12" s="460" t="s">
        <v>1179</v>
      </c>
      <c r="C12" s="462">
        <v>56548</v>
      </c>
      <c r="D12" s="463">
        <v>56826</v>
      </c>
      <c r="E12" s="462">
        <v>7612</v>
      </c>
      <c r="F12" s="463">
        <f t="shared" si="0"/>
        <v>64438</v>
      </c>
      <c r="G12" s="462">
        <v>64240</v>
      </c>
      <c r="H12" s="463">
        <v>154</v>
      </c>
      <c r="I12" s="462">
        <f t="shared" si="1"/>
        <v>64394</v>
      </c>
      <c r="J12" s="463">
        <f t="shared" si="2"/>
        <v>7414</v>
      </c>
      <c r="K12" s="462">
        <f t="shared" si="3"/>
        <v>7568</v>
      </c>
      <c r="L12" s="464">
        <f t="shared" si="5"/>
        <v>-198</v>
      </c>
      <c r="M12" s="462">
        <f t="shared" si="4"/>
        <v>-44</v>
      </c>
      <c r="N12" s="465">
        <v>113813</v>
      </c>
      <c r="O12" s="466">
        <f t="shared" si="6"/>
        <v>0.5644346427912453</v>
      </c>
    </row>
    <row r="13" spans="1:15" ht="18" customHeight="1">
      <c r="A13" s="459">
        <v>214050</v>
      </c>
      <c r="B13" s="460" t="s">
        <v>2111</v>
      </c>
      <c r="C13" s="462">
        <v>0</v>
      </c>
      <c r="D13" s="463">
        <v>53086</v>
      </c>
      <c r="E13" s="462">
        <v>3555</v>
      </c>
      <c r="F13" s="463">
        <f t="shared" si="0"/>
        <v>56641</v>
      </c>
      <c r="G13" s="462">
        <v>54999</v>
      </c>
      <c r="H13" s="463">
        <v>1642</v>
      </c>
      <c r="I13" s="462">
        <f t="shared" si="1"/>
        <v>56641</v>
      </c>
      <c r="J13" s="463">
        <f t="shared" si="2"/>
        <v>1913</v>
      </c>
      <c r="K13" s="462">
        <f t="shared" si="3"/>
        <v>3555</v>
      </c>
      <c r="L13" s="464">
        <f t="shared" si="5"/>
        <v>-1642</v>
      </c>
      <c r="M13" s="462">
        <f t="shared" si="4"/>
        <v>0</v>
      </c>
      <c r="N13" s="465">
        <v>61773</v>
      </c>
      <c r="O13" s="466">
        <f t="shared" si="6"/>
        <v>0.8903404399980575</v>
      </c>
    </row>
    <row r="14" spans="1:15" ht="38.25" customHeight="1">
      <c r="A14" s="459" t="s">
        <v>1180</v>
      </c>
      <c r="B14" s="460" t="s">
        <v>2112</v>
      </c>
      <c r="C14" s="462">
        <v>0</v>
      </c>
      <c r="D14" s="463">
        <v>11152</v>
      </c>
      <c r="E14" s="462">
        <v>1388</v>
      </c>
      <c r="F14" s="463">
        <f>+D14+E14</f>
        <v>12540</v>
      </c>
      <c r="G14" s="462">
        <v>10965</v>
      </c>
      <c r="H14" s="463">
        <v>1571</v>
      </c>
      <c r="I14" s="462">
        <f>+G14+H14</f>
        <v>12536</v>
      </c>
      <c r="J14" s="463">
        <f>+G14-D14</f>
        <v>-187</v>
      </c>
      <c r="K14" s="462">
        <f>+I14-D14</f>
        <v>1384</v>
      </c>
      <c r="L14" s="464">
        <f>+G14-F14</f>
        <v>-1575</v>
      </c>
      <c r="M14" s="462">
        <f>+I14-F14</f>
        <v>-4</v>
      </c>
      <c r="N14" s="465">
        <v>0</v>
      </c>
      <c r="O14" s="458"/>
    </row>
    <row r="15" spans="1:15" ht="27" customHeight="1">
      <c r="A15" s="459">
        <v>214110</v>
      </c>
      <c r="B15" s="460" t="s">
        <v>1181</v>
      </c>
      <c r="C15" s="462">
        <v>3141620</v>
      </c>
      <c r="D15" s="463">
        <v>3386094</v>
      </c>
      <c r="E15" s="462">
        <f>232320+4866+47539+5474</f>
        <v>290199</v>
      </c>
      <c r="F15" s="463">
        <f t="shared" si="0"/>
        <v>3676293</v>
      </c>
      <c r="G15" s="462">
        <v>3144178</v>
      </c>
      <c r="H15" s="463">
        <v>524535</v>
      </c>
      <c r="I15" s="462">
        <f t="shared" si="1"/>
        <v>3668713</v>
      </c>
      <c r="J15" s="463">
        <f t="shared" si="2"/>
        <v>-241916</v>
      </c>
      <c r="K15" s="462">
        <f t="shared" si="3"/>
        <v>282619</v>
      </c>
      <c r="L15" s="464">
        <f t="shared" si="5"/>
        <v>-532115</v>
      </c>
      <c r="M15" s="462">
        <f t="shared" si="4"/>
        <v>-7580</v>
      </c>
      <c r="N15" s="465">
        <v>3321826</v>
      </c>
      <c r="O15" s="466">
        <f t="shared" si="6"/>
        <v>0.9465209797262109</v>
      </c>
    </row>
    <row r="16" spans="1:15" ht="27" customHeight="1">
      <c r="A16" s="459">
        <v>214210</v>
      </c>
      <c r="B16" s="460" t="s">
        <v>1182</v>
      </c>
      <c r="C16" s="462">
        <v>1459899</v>
      </c>
      <c r="D16" s="463">
        <v>1471744</v>
      </c>
      <c r="E16" s="462">
        <v>150693</v>
      </c>
      <c r="F16" s="463">
        <f t="shared" si="0"/>
        <v>1622437</v>
      </c>
      <c r="G16" s="462">
        <v>1518136</v>
      </c>
      <c r="H16" s="463">
        <v>104249</v>
      </c>
      <c r="I16" s="462">
        <f t="shared" si="1"/>
        <v>1622385</v>
      </c>
      <c r="J16" s="463">
        <f t="shared" si="2"/>
        <v>46392</v>
      </c>
      <c r="K16" s="462">
        <f t="shared" si="3"/>
        <v>150641</v>
      </c>
      <c r="L16" s="464">
        <f t="shared" si="5"/>
        <v>-104301</v>
      </c>
      <c r="M16" s="462">
        <f t="shared" si="4"/>
        <v>-52</v>
      </c>
      <c r="N16" s="465">
        <v>1675210</v>
      </c>
      <c r="O16" s="466">
        <f t="shared" si="6"/>
        <v>0.9062362330692868</v>
      </c>
    </row>
    <row r="17" spans="1:15" ht="27" customHeight="1">
      <c r="A17" s="459" t="s">
        <v>1183</v>
      </c>
      <c r="B17" s="460" t="s">
        <v>1184</v>
      </c>
      <c r="C17" s="462">
        <v>3800</v>
      </c>
      <c r="D17" s="463">
        <v>3800</v>
      </c>
      <c r="E17" s="462">
        <v>19600</v>
      </c>
      <c r="F17" s="463">
        <f t="shared" si="0"/>
        <v>23400</v>
      </c>
      <c r="G17" s="462">
        <v>23350</v>
      </c>
      <c r="H17" s="463">
        <v>50</v>
      </c>
      <c r="I17" s="462">
        <f>+G17+H17</f>
        <v>23400</v>
      </c>
      <c r="J17" s="463">
        <f>+G17-D17</f>
        <v>19550</v>
      </c>
      <c r="K17" s="462">
        <f>+I17-D17</f>
        <v>19600</v>
      </c>
      <c r="L17" s="464">
        <f>+G17-F17</f>
        <v>-50</v>
      </c>
      <c r="M17" s="462">
        <f>+I17-F17</f>
        <v>0</v>
      </c>
      <c r="N17" s="465">
        <v>76078</v>
      </c>
      <c r="O17" s="466">
        <f t="shared" si="6"/>
        <v>0.30692184337127687</v>
      </c>
    </row>
    <row r="18" spans="1:15" ht="27" customHeight="1">
      <c r="A18" s="459">
        <v>214410</v>
      </c>
      <c r="B18" s="460" t="s">
        <v>1185</v>
      </c>
      <c r="C18" s="462">
        <v>6889</v>
      </c>
      <c r="D18" s="463">
        <v>13341</v>
      </c>
      <c r="E18" s="462">
        <v>17171</v>
      </c>
      <c r="F18" s="463">
        <f t="shared" si="0"/>
        <v>30512</v>
      </c>
      <c r="G18" s="462">
        <v>30420</v>
      </c>
      <c r="H18" s="463">
        <v>92</v>
      </c>
      <c r="I18" s="462">
        <f t="shared" si="1"/>
        <v>30512</v>
      </c>
      <c r="J18" s="463">
        <f t="shared" si="2"/>
        <v>17079</v>
      </c>
      <c r="K18" s="462">
        <f t="shared" si="3"/>
        <v>17171</v>
      </c>
      <c r="L18" s="464">
        <f t="shared" si="5"/>
        <v>-92</v>
      </c>
      <c r="M18" s="462">
        <f t="shared" si="4"/>
        <v>0</v>
      </c>
      <c r="N18" s="465">
        <v>81977</v>
      </c>
      <c r="O18" s="466">
        <f t="shared" si="6"/>
        <v>0.37107969308464567</v>
      </c>
    </row>
    <row r="19" spans="1:15" ht="41.25" customHeight="1">
      <c r="A19" s="459" t="s">
        <v>1186</v>
      </c>
      <c r="B19" s="460" t="s">
        <v>2113</v>
      </c>
      <c r="C19" s="462">
        <v>0</v>
      </c>
      <c r="D19" s="463">
        <v>199256</v>
      </c>
      <c r="E19" s="462">
        <v>83175</v>
      </c>
      <c r="F19" s="463">
        <f t="shared" si="0"/>
        <v>282431</v>
      </c>
      <c r="G19" s="462">
        <v>279105</v>
      </c>
      <c r="H19" s="463">
        <v>3326</v>
      </c>
      <c r="I19" s="462">
        <f>+G19+H19</f>
        <v>282431</v>
      </c>
      <c r="J19" s="463">
        <f t="shared" si="2"/>
        <v>79849</v>
      </c>
      <c r="K19" s="462">
        <f t="shared" si="3"/>
        <v>83175</v>
      </c>
      <c r="L19" s="464">
        <f>+G19-F19</f>
        <v>-3326</v>
      </c>
      <c r="M19" s="462">
        <f>+I19-F19</f>
        <v>0</v>
      </c>
      <c r="N19" s="465">
        <v>0</v>
      </c>
      <c r="O19" s="458"/>
    </row>
    <row r="20" spans="1:15" ht="27" customHeight="1">
      <c r="A20" s="459" t="s">
        <v>1187</v>
      </c>
      <c r="B20" s="460" t="s">
        <v>1188</v>
      </c>
      <c r="C20" s="462">
        <v>0</v>
      </c>
      <c r="D20" s="463">
        <v>0</v>
      </c>
      <c r="E20" s="462">
        <v>13059</v>
      </c>
      <c r="F20" s="463">
        <f t="shared" si="0"/>
        <v>13059</v>
      </c>
      <c r="G20" s="462">
        <v>13058</v>
      </c>
      <c r="H20" s="463">
        <v>2136</v>
      </c>
      <c r="I20" s="462">
        <f t="shared" si="1"/>
        <v>15194</v>
      </c>
      <c r="J20" s="463">
        <f t="shared" si="2"/>
        <v>13058</v>
      </c>
      <c r="K20" s="462">
        <f t="shared" si="3"/>
        <v>15194</v>
      </c>
      <c r="L20" s="464">
        <f t="shared" si="5"/>
        <v>-1</v>
      </c>
      <c r="M20" s="462">
        <f t="shared" si="4"/>
        <v>2135</v>
      </c>
      <c r="N20" s="465">
        <v>109994</v>
      </c>
      <c r="O20" s="466">
        <f t="shared" si="6"/>
        <v>0.11871556630361656</v>
      </c>
    </row>
    <row r="21" spans="1:15" ht="27" customHeight="1" hidden="1">
      <c r="A21" s="459"/>
      <c r="B21" s="460"/>
      <c r="C21" s="462"/>
      <c r="D21" s="463"/>
      <c r="E21" s="462"/>
      <c r="F21" s="463"/>
      <c r="G21" s="462"/>
      <c r="H21" s="463"/>
      <c r="I21" s="462"/>
      <c r="J21" s="463"/>
      <c r="K21" s="462"/>
      <c r="L21" s="464"/>
      <c r="M21" s="462"/>
      <c r="N21" s="465"/>
      <c r="O21" s="466"/>
    </row>
    <row r="22" spans="1:15" ht="27" customHeight="1">
      <c r="A22" s="459" t="s">
        <v>1189</v>
      </c>
      <c r="B22" s="460" t="s">
        <v>1190</v>
      </c>
      <c r="C22" s="462">
        <v>1183978</v>
      </c>
      <c r="D22" s="463">
        <v>1710557</v>
      </c>
      <c r="E22" s="462">
        <v>200552</v>
      </c>
      <c r="F22" s="463">
        <f t="shared" si="0"/>
        <v>1911109</v>
      </c>
      <c r="G22" s="462">
        <v>1416681</v>
      </c>
      <c r="H22" s="463">
        <v>494426</v>
      </c>
      <c r="I22" s="462">
        <f>+G22+H22</f>
        <v>1911107</v>
      </c>
      <c r="J22" s="463">
        <f>+G22-D22</f>
        <v>-293876</v>
      </c>
      <c r="K22" s="462">
        <f>+I22-D22</f>
        <v>200550</v>
      </c>
      <c r="L22" s="464">
        <f>+G22-F22</f>
        <v>-494428</v>
      </c>
      <c r="M22" s="462">
        <f>+I22-F22</f>
        <v>-2</v>
      </c>
      <c r="N22" s="465">
        <v>1623901</v>
      </c>
      <c r="O22" s="466">
        <f t="shared" si="6"/>
        <v>0.8723936988769636</v>
      </c>
    </row>
    <row r="23" spans="1:15" ht="27" customHeight="1" hidden="1">
      <c r="A23" s="459"/>
      <c r="B23" s="460"/>
      <c r="C23" s="462"/>
      <c r="D23" s="463"/>
      <c r="E23" s="462"/>
      <c r="F23" s="463"/>
      <c r="G23" s="462"/>
      <c r="H23" s="463"/>
      <c r="I23" s="462"/>
      <c r="J23" s="463"/>
      <c r="K23" s="462"/>
      <c r="L23" s="464"/>
      <c r="M23" s="462"/>
      <c r="N23" s="465"/>
      <c r="O23" s="466"/>
    </row>
    <row r="24" spans="1:15" ht="27" customHeight="1" hidden="1">
      <c r="A24" s="459"/>
      <c r="B24" s="460"/>
      <c r="C24" s="462"/>
      <c r="D24" s="463"/>
      <c r="E24" s="462"/>
      <c r="F24" s="463"/>
      <c r="G24" s="462"/>
      <c r="H24" s="463"/>
      <c r="I24" s="462"/>
      <c r="J24" s="463"/>
      <c r="K24" s="462"/>
      <c r="L24" s="464"/>
      <c r="M24" s="462"/>
      <c r="N24" s="465"/>
      <c r="O24" s="466"/>
    </row>
    <row r="25" spans="1:15" ht="27" customHeight="1" hidden="1">
      <c r="A25" s="459"/>
      <c r="B25" s="460"/>
      <c r="C25" s="462"/>
      <c r="D25" s="463"/>
      <c r="E25" s="462"/>
      <c r="F25" s="463"/>
      <c r="G25" s="462"/>
      <c r="H25" s="463"/>
      <c r="I25" s="462"/>
      <c r="J25" s="463"/>
      <c r="K25" s="462"/>
      <c r="L25" s="464"/>
      <c r="M25" s="462"/>
      <c r="N25" s="465"/>
      <c r="O25" s="466"/>
    </row>
    <row r="26" spans="1:15" ht="27" customHeight="1" hidden="1">
      <c r="A26" s="459"/>
      <c r="B26" s="460"/>
      <c r="C26" s="462"/>
      <c r="D26" s="463"/>
      <c r="E26" s="462"/>
      <c r="F26" s="463"/>
      <c r="G26" s="462"/>
      <c r="H26" s="463"/>
      <c r="I26" s="462"/>
      <c r="J26" s="463"/>
      <c r="K26" s="462"/>
      <c r="L26" s="464"/>
      <c r="M26" s="462"/>
      <c r="N26" s="465"/>
      <c r="O26" s="466"/>
    </row>
    <row r="27" spans="1:15" ht="27" customHeight="1" hidden="1">
      <c r="A27" s="459"/>
      <c r="B27" s="460"/>
      <c r="C27" s="462"/>
      <c r="D27" s="463"/>
      <c r="E27" s="462"/>
      <c r="F27" s="463"/>
      <c r="G27" s="462"/>
      <c r="H27" s="463"/>
      <c r="I27" s="462"/>
      <c r="J27" s="463"/>
      <c r="K27" s="462"/>
      <c r="L27" s="464"/>
      <c r="M27" s="462"/>
      <c r="N27" s="465"/>
      <c r="O27" s="466"/>
    </row>
    <row r="28" spans="1:15" ht="27" customHeight="1" thickBot="1">
      <c r="A28" s="459">
        <v>314210</v>
      </c>
      <c r="B28" s="460" t="s">
        <v>1191</v>
      </c>
      <c r="C28" s="462">
        <v>12564</v>
      </c>
      <c r="D28" s="463">
        <v>17891</v>
      </c>
      <c r="E28" s="462">
        <v>25121</v>
      </c>
      <c r="F28" s="463">
        <f>+D28+E28</f>
        <v>43012</v>
      </c>
      <c r="G28" s="462">
        <v>43010</v>
      </c>
      <c r="H28" s="463">
        <v>2</v>
      </c>
      <c r="I28" s="462">
        <f>+G28+H28</f>
        <v>43012</v>
      </c>
      <c r="J28" s="463">
        <f>+G28-D28</f>
        <v>25119</v>
      </c>
      <c r="K28" s="462">
        <f>+I28-D28</f>
        <v>25121</v>
      </c>
      <c r="L28" s="464">
        <f>+G28-F28</f>
        <v>-2</v>
      </c>
      <c r="M28" s="462">
        <f>+I28-F28</f>
        <v>0</v>
      </c>
      <c r="N28" s="465">
        <v>22297</v>
      </c>
      <c r="O28" s="466">
        <f>+G28/N28</f>
        <v>1.9289590527873706</v>
      </c>
    </row>
    <row r="29" spans="1:15" s="1211" customFormat="1" ht="32.25" customHeight="1" thickBot="1">
      <c r="A29" s="1207"/>
      <c r="B29" s="468" t="s">
        <v>1192</v>
      </c>
      <c r="C29" s="1208">
        <f aca="true" t="shared" si="7" ref="C29:M29">SUM(C8:C28)</f>
        <v>6593327</v>
      </c>
      <c r="D29" s="1208">
        <f t="shared" si="7"/>
        <v>7674448</v>
      </c>
      <c r="E29" s="1208">
        <f t="shared" si="7"/>
        <v>846366</v>
      </c>
      <c r="F29" s="1208">
        <f t="shared" si="7"/>
        <v>8520814</v>
      </c>
      <c r="G29" s="1208">
        <f t="shared" si="7"/>
        <v>7353971</v>
      </c>
      <c r="H29" s="1208">
        <f t="shared" si="7"/>
        <v>1161080</v>
      </c>
      <c r="I29" s="1208">
        <f t="shared" si="7"/>
        <v>8515051</v>
      </c>
      <c r="J29" s="1208">
        <f t="shared" si="7"/>
        <v>-320477</v>
      </c>
      <c r="K29" s="1208">
        <f t="shared" si="7"/>
        <v>840603</v>
      </c>
      <c r="L29" s="1208">
        <f t="shared" si="7"/>
        <v>-1166758</v>
      </c>
      <c r="M29" s="1208">
        <f t="shared" si="7"/>
        <v>-5763</v>
      </c>
      <c r="N29" s="1209">
        <f>7684824.96-5923.27-6369.21</f>
        <v>7672532.48</v>
      </c>
      <c r="O29" s="1210">
        <f>+G29/N29</f>
        <v>0.9584802696071479</v>
      </c>
    </row>
    <row r="30" spans="1:15" ht="23.25" customHeight="1">
      <c r="A30" s="467"/>
      <c r="B30" s="469" t="s">
        <v>1193</v>
      </c>
      <c r="C30" s="470">
        <v>0</v>
      </c>
      <c r="D30" s="471">
        <v>17500</v>
      </c>
      <c r="E30" s="470">
        <v>0</v>
      </c>
      <c r="F30" s="472">
        <f>+D30+E30</f>
        <v>17500</v>
      </c>
      <c r="G30" s="470">
        <v>17497</v>
      </c>
      <c r="H30" s="471">
        <v>0</v>
      </c>
      <c r="I30" s="462">
        <f>+G30+H30</f>
        <v>17497</v>
      </c>
      <c r="J30" s="463">
        <f>+G30-D30</f>
        <v>-3</v>
      </c>
      <c r="K30" s="462">
        <f>+I30-D30</f>
        <v>-3</v>
      </c>
      <c r="L30" s="464">
        <f>+G30-F30</f>
        <v>-3</v>
      </c>
      <c r="M30" s="462">
        <f>+I30-F30</f>
        <v>-3</v>
      </c>
      <c r="N30" s="473">
        <v>19437</v>
      </c>
      <c r="O30" s="466">
        <f>+G30/N30</f>
        <v>0.9001903585944333</v>
      </c>
    </row>
    <row r="31" spans="1:15" ht="32.25" customHeight="1" thickBot="1">
      <c r="A31" s="474"/>
      <c r="B31" s="475" t="s">
        <v>1194</v>
      </c>
      <c r="C31" s="476">
        <v>0</v>
      </c>
      <c r="D31" s="477">
        <v>0</v>
      </c>
      <c r="E31" s="476">
        <v>0</v>
      </c>
      <c r="F31" s="478">
        <f>+D31+E31</f>
        <v>0</v>
      </c>
      <c r="G31" s="476">
        <v>0</v>
      </c>
      <c r="H31" s="477">
        <v>0</v>
      </c>
      <c r="I31" s="462">
        <f>+G31+H31</f>
        <v>0</v>
      </c>
      <c r="J31" s="463">
        <f>+G31-D31</f>
        <v>0</v>
      </c>
      <c r="K31" s="462">
        <f>+I31-D31</f>
        <v>0</v>
      </c>
      <c r="L31" s="464">
        <f>+G31-F31</f>
        <v>0</v>
      </c>
      <c r="M31" s="462">
        <f>+I31-F31</f>
        <v>0</v>
      </c>
      <c r="N31" s="479">
        <v>0</v>
      </c>
      <c r="O31" s="480"/>
    </row>
    <row r="32" spans="1:15" s="1211" customFormat="1" ht="32.25" customHeight="1" thickBot="1">
      <c r="A32" s="1212"/>
      <c r="B32" s="481" t="s">
        <v>1195</v>
      </c>
      <c r="C32" s="1208">
        <f aca="true" t="shared" si="8" ref="C32:M32">+C29+C30-C31</f>
        <v>6593327</v>
      </c>
      <c r="D32" s="1208">
        <f t="shared" si="8"/>
        <v>7691948</v>
      </c>
      <c r="E32" s="1208">
        <f t="shared" si="8"/>
        <v>846366</v>
      </c>
      <c r="F32" s="1208">
        <f t="shared" si="8"/>
        <v>8538314</v>
      </c>
      <c r="G32" s="1208">
        <f t="shared" si="8"/>
        <v>7371468</v>
      </c>
      <c r="H32" s="1208">
        <f t="shared" si="8"/>
        <v>1161080</v>
      </c>
      <c r="I32" s="1208">
        <f t="shared" si="8"/>
        <v>8532548</v>
      </c>
      <c r="J32" s="1208">
        <f t="shared" si="8"/>
        <v>-320480</v>
      </c>
      <c r="K32" s="1208">
        <f t="shared" si="8"/>
        <v>840600</v>
      </c>
      <c r="L32" s="1208">
        <f t="shared" si="8"/>
        <v>-1166761</v>
      </c>
      <c r="M32" s="1208">
        <f t="shared" si="8"/>
        <v>-5766</v>
      </c>
      <c r="N32" s="1213">
        <v>7691969</v>
      </c>
      <c r="O32" s="1214">
        <f>+G32/N32</f>
        <v>0.9583330354035489</v>
      </c>
    </row>
    <row r="33" ht="17.25" customHeight="1">
      <c r="B33" s="482"/>
    </row>
    <row r="34" spans="1:14" ht="15">
      <c r="A34" s="426" t="s">
        <v>1614</v>
      </c>
      <c r="B34" s="483"/>
      <c r="H34" s="426" t="s">
        <v>1615</v>
      </c>
      <c r="N34" s="428" t="s">
        <v>1196</v>
      </c>
    </row>
    <row r="35" spans="1:2" ht="15">
      <c r="A35" s="426"/>
      <c r="B35" s="483"/>
    </row>
    <row r="36" spans="1:2" ht="15">
      <c r="A36" s="426"/>
      <c r="B36" s="483"/>
    </row>
  </sheetData>
  <mergeCells count="1">
    <mergeCell ref="N1:O1"/>
  </mergeCells>
  <printOptions horizontalCentered="1"/>
  <pageMargins left="0.1968503937007874" right="0.1968503937007874" top="0.984251968503937" bottom="0.7874015748031497" header="0.7086614173228347" footer="0.31496062992125984"/>
  <pageSetup fitToHeight="1" fitToWidth="1" horizontalDpi="600" verticalDpi="600" orientation="landscape" paperSize="9" scale="58" r:id="rId1"/>
  <headerFooter alignWithMargins="0">
    <oddFooter>&amp;C&amp;14&amp;P+97&amp;10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workbookViewId="0" topLeftCell="A70">
      <selection activeCell="B112" sqref="B112"/>
    </sheetView>
  </sheetViews>
  <sheetFormatPr defaultColWidth="9.00390625" defaultRowHeight="12.75"/>
  <cols>
    <col min="1" max="1" width="40.25390625" style="178" customWidth="1"/>
    <col min="2" max="2" width="9.75390625" style="178" customWidth="1"/>
    <col min="3" max="3" width="10.125" style="178" customWidth="1"/>
    <col min="4" max="4" width="10.625" style="178" customWidth="1"/>
    <col min="5" max="5" width="16.875" style="178" customWidth="1"/>
    <col min="6" max="6" width="16.00390625" style="178" customWidth="1"/>
    <col min="7" max="7" width="11.75390625" style="178" bestFit="1" customWidth="1"/>
    <col min="8" max="9" width="10.875" style="178" bestFit="1" customWidth="1"/>
    <col min="10" max="10" width="9.25390625" style="178" bestFit="1" customWidth="1"/>
    <col min="11" max="16384" width="9.125" style="178" customWidth="1"/>
  </cols>
  <sheetData>
    <row r="1" spans="1:16" s="424" customFormat="1" ht="12.75">
      <c r="A1" s="519"/>
      <c r="B1" s="520"/>
      <c r="D1" s="520"/>
      <c r="E1" s="423"/>
      <c r="F1" s="521"/>
      <c r="G1" s="521"/>
      <c r="H1" s="423"/>
      <c r="I1" s="423"/>
      <c r="J1" s="423"/>
      <c r="K1" s="423"/>
      <c r="L1" s="423"/>
      <c r="M1" s="423"/>
      <c r="N1" s="526"/>
      <c r="O1" s="526"/>
      <c r="P1" s="522"/>
    </row>
    <row r="2" spans="1:16" s="424" customFormat="1" ht="12.75">
      <c r="A2" s="519"/>
      <c r="B2" s="520"/>
      <c r="D2" s="520"/>
      <c r="E2" s="423"/>
      <c r="F2" s="521"/>
      <c r="G2" s="521"/>
      <c r="H2" s="423"/>
      <c r="I2" s="423"/>
      <c r="J2" s="423"/>
      <c r="K2" s="423"/>
      <c r="L2" s="423"/>
      <c r="M2" s="423"/>
      <c r="N2" s="526"/>
      <c r="O2" s="526"/>
      <c r="P2" s="522"/>
    </row>
    <row r="3" spans="1:7" s="525" customFormat="1" ht="15.75" customHeight="1">
      <c r="A3" s="1487" t="s">
        <v>1200</v>
      </c>
      <c r="B3" s="1487"/>
      <c r="C3" s="1487"/>
      <c r="D3" s="1487"/>
      <c r="E3" s="1487"/>
      <c r="F3" s="1487"/>
      <c r="G3" s="524"/>
    </row>
    <row r="4" spans="1:7" s="525" customFormat="1" ht="12.75">
      <c r="A4" s="523"/>
      <c r="B4" s="523"/>
      <c r="C4" s="523"/>
      <c r="D4" s="523"/>
      <c r="E4" s="523"/>
      <c r="F4" s="523"/>
      <c r="G4" s="524"/>
    </row>
    <row r="5" spans="1:7" ht="12.75" thickBot="1">
      <c r="A5" s="485"/>
      <c r="B5" s="485"/>
      <c r="C5" s="485"/>
      <c r="D5" s="485"/>
      <c r="E5" s="485"/>
      <c r="F5" s="484" t="s">
        <v>1037</v>
      </c>
      <c r="G5" s="484"/>
    </row>
    <row r="6" spans="1:7" s="533" customFormat="1" ht="17.25" customHeight="1" thickBot="1">
      <c r="A6" s="528" t="s">
        <v>1201</v>
      </c>
      <c r="B6" s="529" t="s">
        <v>1202</v>
      </c>
      <c r="C6" s="530" t="s">
        <v>1038</v>
      </c>
      <c r="D6" s="530" t="s">
        <v>1039</v>
      </c>
      <c r="E6" s="530" t="s">
        <v>1203</v>
      </c>
      <c r="F6" s="531" t="s">
        <v>1204</v>
      </c>
      <c r="G6" s="532"/>
    </row>
    <row r="7" spans="1:11" ht="12">
      <c r="A7" s="486" t="s">
        <v>1205</v>
      </c>
      <c r="B7" s="487">
        <v>214110</v>
      </c>
      <c r="C7" s="488">
        <v>582603</v>
      </c>
      <c r="D7" s="488">
        <v>346562</v>
      </c>
      <c r="E7" s="488">
        <v>371134</v>
      </c>
      <c r="F7" s="488">
        <v>233</v>
      </c>
      <c r="G7" s="489"/>
      <c r="H7" s="489"/>
      <c r="I7" s="489"/>
      <c r="J7" s="489"/>
      <c r="K7" s="489"/>
    </row>
    <row r="8" spans="1:11" ht="12">
      <c r="A8" s="486" t="s">
        <v>1206</v>
      </c>
      <c r="B8" s="487">
        <v>214110</v>
      </c>
      <c r="C8" s="488">
        <v>394077</v>
      </c>
      <c r="D8" s="488">
        <v>727823</v>
      </c>
      <c r="E8" s="488">
        <v>694588</v>
      </c>
      <c r="F8" s="488">
        <v>63268</v>
      </c>
      <c r="G8" s="489"/>
      <c r="H8" s="489"/>
      <c r="I8" s="489"/>
      <c r="J8" s="489"/>
      <c r="K8" s="489"/>
    </row>
    <row r="9" spans="1:11" ht="12">
      <c r="A9" s="486" t="s">
        <v>1207</v>
      </c>
      <c r="B9" s="487">
        <v>214110</v>
      </c>
      <c r="C9" s="488">
        <v>204169</v>
      </c>
      <c r="D9" s="488">
        <v>179752</v>
      </c>
      <c r="E9" s="488">
        <v>199220</v>
      </c>
      <c r="F9" s="488">
        <v>2903</v>
      </c>
      <c r="G9" s="489"/>
      <c r="H9" s="489"/>
      <c r="I9" s="489"/>
      <c r="J9" s="489"/>
      <c r="K9" s="489"/>
    </row>
    <row r="10" spans="1:11" ht="12">
      <c r="A10" s="487" t="s">
        <v>1208</v>
      </c>
      <c r="B10" s="487">
        <v>214110</v>
      </c>
      <c r="C10" s="490">
        <v>180437</v>
      </c>
      <c r="D10" s="490">
        <v>120797</v>
      </c>
      <c r="E10" s="490">
        <v>140984</v>
      </c>
      <c r="F10" s="490">
        <v>2480</v>
      </c>
      <c r="G10" s="489"/>
      <c r="H10" s="489"/>
      <c r="I10" s="489"/>
      <c r="J10" s="489"/>
      <c r="K10" s="489"/>
    </row>
    <row r="11" spans="1:11" ht="12">
      <c r="A11" s="487" t="s">
        <v>1208</v>
      </c>
      <c r="B11" s="487">
        <v>314210</v>
      </c>
      <c r="C11" s="490">
        <v>12564</v>
      </c>
      <c r="D11" s="490">
        <v>17891</v>
      </c>
      <c r="E11" s="490">
        <v>43010</v>
      </c>
      <c r="F11" s="490">
        <v>2</v>
      </c>
      <c r="G11" s="489"/>
      <c r="H11" s="489"/>
      <c r="I11" s="489"/>
      <c r="J11" s="489"/>
      <c r="K11" s="489"/>
    </row>
    <row r="12" spans="1:11" ht="12">
      <c r="A12" s="1481" t="s">
        <v>1209</v>
      </c>
      <c r="B12" s="1482">
        <v>214110</v>
      </c>
      <c r="C12" s="488">
        <f>SUM(C10:C11)</f>
        <v>193001</v>
      </c>
      <c r="D12" s="488">
        <f>SUM(D10:D11)</f>
        <v>138688</v>
      </c>
      <c r="E12" s="488">
        <f>SUM(E10:E11)</f>
        <v>183994</v>
      </c>
      <c r="F12" s="488">
        <f>SUM(F10:F11)</f>
        <v>2482</v>
      </c>
      <c r="G12" s="489"/>
      <c r="H12" s="489"/>
      <c r="I12" s="489"/>
      <c r="J12" s="489"/>
      <c r="K12" s="489"/>
    </row>
    <row r="13" spans="1:11" ht="12">
      <c r="A13" s="486" t="s">
        <v>1210</v>
      </c>
      <c r="B13" s="487">
        <v>214110</v>
      </c>
      <c r="C13" s="488">
        <v>229010</v>
      </c>
      <c r="D13" s="488">
        <v>193831</v>
      </c>
      <c r="E13" s="488">
        <v>200694</v>
      </c>
      <c r="F13" s="488">
        <v>11492</v>
      </c>
      <c r="G13" s="489"/>
      <c r="H13" s="489"/>
      <c r="I13" s="489"/>
      <c r="J13" s="489"/>
      <c r="K13" s="489"/>
    </row>
    <row r="14" spans="1:11" ht="12">
      <c r="A14" s="486" t="s">
        <v>1211</v>
      </c>
      <c r="B14" s="487">
        <v>214110</v>
      </c>
      <c r="C14" s="488">
        <v>242337</v>
      </c>
      <c r="D14" s="488">
        <v>218504</v>
      </c>
      <c r="E14" s="488">
        <v>195091</v>
      </c>
      <c r="F14" s="488">
        <v>42993</v>
      </c>
      <c r="G14" s="489"/>
      <c r="H14" s="489"/>
      <c r="I14" s="489"/>
      <c r="J14" s="489"/>
      <c r="K14" s="489"/>
    </row>
    <row r="15" spans="1:11" ht="12">
      <c r="A15" s="486" t="s">
        <v>1212</v>
      </c>
      <c r="B15" s="487">
        <v>214110</v>
      </c>
      <c r="C15" s="488">
        <v>342049</v>
      </c>
      <c r="D15" s="488">
        <v>382491</v>
      </c>
      <c r="E15" s="488">
        <v>425396</v>
      </c>
      <c r="F15" s="488">
        <v>7854</v>
      </c>
      <c r="G15" s="489"/>
      <c r="H15" s="489"/>
      <c r="I15" s="489"/>
      <c r="J15" s="489"/>
      <c r="K15" s="489"/>
    </row>
    <row r="16" spans="1:11" ht="12">
      <c r="A16" s="486" t="s">
        <v>1213</v>
      </c>
      <c r="B16" s="487">
        <v>214110</v>
      </c>
      <c r="C16" s="488">
        <v>177238</v>
      </c>
      <c r="D16" s="488">
        <v>114502</v>
      </c>
      <c r="E16" s="488">
        <v>143444</v>
      </c>
      <c r="F16" s="488">
        <v>1955</v>
      </c>
      <c r="G16" s="489"/>
      <c r="H16" s="489"/>
      <c r="I16" s="489"/>
      <c r="J16" s="489"/>
      <c r="K16" s="489"/>
    </row>
    <row r="17" spans="1:11" ht="12">
      <c r="A17" s="486" t="s">
        <v>1214</v>
      </c>
      <c r="B17" s="487">
        <v>214110</v>
      </c>
      <c r="C17" s="488">
        <v>202829</v>
      </c>
      <c r="D17" s="488">
        <v>119197</v>
      </c>
      <c r="E17" s="488">
        <v>146272</v>
      </c>
      <c r="F17" s="488">
        <v>2289</v>
      </c>
      <c r="G17" s="489"/>
      <c r="H17" s="489"/>
      <c r="I17" s="489"/>
      <c r="J17" s="489"/>
      <c r="K17" s="489"/>
    </row>
    <row r="18" spans="1:11" ht="12">
      <c r="A18" s="491" t="s">
        <v>1215</v>
      </c>
      <c r="B18" s="492">
        <v>214110</v>
      </c>
      <c r="C18" s="493">
        <v>223679</v>
      </c>
      <c r="D18" s="493">
        <v>188155</v>
      </c>
      <c r="E18" s="493">
        <v>187076</v>
      </c>
      <c r="F18" s="493">
        <v>18360</v>
      </c>
      <c r="G18" s="489"/>
      <c r="H18" s="489"/>
      <c r="I18" s="489"/>
      <c r="J18" s="489"/>
      <c r="K18" s="489"/>
    </row>
    <row r="19" spans="1:11" ht="14.25" customHeight="1">
      <c r="A19" s="1481" t="s">
        <v>1216</v>
      </c>
      <c r="B19" s="1482"/>
      <c r="C19" s="488">
        <f>SUM(C7:C9,C12:C18)</f>
        <v>2790992</v>
      </c>
      <c r="D19" s="488">
        <f>SUM(D7:D9,D12:D18)</f>
        <v>2609505</v>
      </c>
      <c r="E19" s="488">
        <f>SUM(E7:E9,E12:E18)</f>
        <v>2746909</v>
      </c>
      <c r="F19" s="488">
        <f>SUM(F7:F9,F12:F18)</f>
        <v>153829</v>
      </c>
      <c r="G19" s="489"/>
      <c r="H19" s="489"/>
      <c r="I19" s="489"/>
      <c r="J19" s="489"/>
      <c r="K19" s="489"/>
    </row>
    <row r="20" spans="1:11" ht="12">
      <c r="A20" s="487" t="s">
        <v>1217</v>
      </c>
      <c r="B20" s="487">
        <v>214010</v>
      </c>
      <c r="C20" s="490">
        <f>93426+4700</f>
        <v>98126</v>
      </c>
      <c r="D20" s="490">
        <v>40630</v>
      </c>
      <c r="E20" s="490">
        <v>38282</v>
      </c>
      <c r="F20" s="490">
        <v>4482</v>
      </c>
      <c r="G20" s="489"/>
      <c r="H20" s="489"/>
      <c r="I20" s="489"/>
      <c r="J20" s="489"/>
      <c r="K20" s="489"/>
    </row>
    <row r="21" spans="1:11" ht="12">
      <c r="A21" s="487" t="s">
        <v>1217</v>
      </c>
      <c r="B21" s="487">
        <v>214050</v>
      </c>
      <c r="C21" s="490">
        <v>0</v>
      </c>
      <c r="D21" s="490">
        <v>53086</v>
      </c>
      <c r="E21" s="490">
        <v>54999</v>
      </c>
      <c r="F21" s="490">
        <v>1642</v>
      </c>
      <c r="G21" s="489"/>
      <c r="H21" s="489"/>
      <c r="I21" s="489"/>
      <c r="J21" s="489"/>
      <c r="K21" s="489"/>
    </row>
    <row r="22" spans="1:11" ht="12">
      <c r="A22" s="487" t="s">
        <v>1217</v>
      </c>
      <c r="B22" s="487">
        <v>214080</v>
      </c>
      <c r="C22" s="490">
        <v>0</v>
      </c>
      <c r="D22" s="490">
        <v>11152</v>
      </c>
      <c r="E22" s="490">
        <v>10965</v>
      </c>
      <c r="F22" s="490">
        <v>1571</v>
      </c>
      <c r="G22" s="489"/>
      <c r="H22" s="489"/>
      <c r="I22" s="489"/>
      <c r="J22" s="489"/>
      <c r="K22" s="489"/>
    </row>
    <row r="23" spans="1:11" ht="12">
      <c r="A23" s="487" t="s">
        <v>1217</v>
      </c>
      <c r="B23" s="487">
        <v>214110</v>
      </c>
      <c r="C23" s="490">
        <v>363192</v>
      </c>
      <c r="D23" s="490">
        <v>794480</v>
      </c>
      <c r="E23" s="490">
        <v>440279</v>
      </c>
      <c r="F23" s="490">
        <v>370708</v>
      </c>
      <c r="G23" s="489"/>
      <c r="H23" s="489"/>
      <c r="I23" s="489"/>
      <c r="J23" s="489"/>
      <c r="K23" s="489"/>
    </row>
    <row r="24" spans="1:11" ht="12">
      <c r="A24" s="487" t="s">
        <v>1217</v>
      </c>
      <c r="B24" s="487">
        <v>214410</v>
      </c>
      <c r="C24" s="490">
        <v>6889</v>
      </c>
      <c r="D24" s="490">
        <v>13341</v>
      </c>
      <c r="E24" s="490">
        <v>30420</v>
      </c>
      <c r="F24" s="490">
        <v>92</v>
      </c>
      <c r="G24" s="489"/>
      <c r="H24" s="489"/>
      <c r="I24" s="489"/>
      <c r="J24" s="489"/>
      <c r="K24" s="489"/>
    </row>
    <row r="25" spans="1:11" ht="12">
      <c r="A25" s="487" t="s">
        <v>1217</v>
      </c>
      <c r="B25" s="487">
        <v>214420</v>
      </c>
      <c r="C25" s="490">
        <v>0</v>
      </c>
      <c r="D25" s="490">
        <v>199256</v>
      </c>
      <c r="E25" s="490">
        <v>279105</v>
      </c>
      <c r="F25" s="490">
        <v>3326</v>
      </c>
      <c r="G25" s="489"/>
      <c r="H25" s="489"/>
      <c r="I25" s="489"/>
      <c r="J25" s="489"/>
      <c r="K25" s="489"/>
    </row>
    <row r="26" spans="1:11" ht="12">
      <c r="A26" s="487" t="s">
        <v>1217</v>
      </c>
      <c r="B26" s="487">
        <v>214510</v>
      </c>
      <c r="C26" s="490">
        <v>0</v>
      </c>
      <c r="D26" s="490">
        <v>0</v>
      </c>
      <c r="E26" s="490">
        <v>13058</v>
      </c>
      <c r="F26" s="490">
        <v>2136</v>
      </c>
      <c r="G26" s="489"/>
      <c r="H26" s="489"/>
      <c r="I26" s="489"/>
      <c r="J26" s="489"/>
      <c r="K26" s="489"/>
    </row>
    <row r="27" spans="1:11" ht="12">
      <c r="A27" s="487" t="s">
        <v>1217</v>
      </c>
      <c r="B27" s="487">
        <v>214910</v>
      </c>
      <c r="C27" s="490">
        <v>1183978</v>
      </c>
      <c r="D27" s="490">
        <v>1710557</v>
      </c>
      <c r="E27" s="490">
        <v>1416681</v>
      </c>
      <c r="F27" s="490">
        <v>494426</v>
      </c>
      <c r="G27" s="489"/>
      <c r="H27" s="489"/>
      <c r="I27" s="489"/>
      <c r="J27" s="489"/>
      <c r="K27" s="489"/>
    </row>
    <row r="28" spans="1:11" ht="13.5" customHeight="1">
      <c r="A28" s="1481" t="s">
        <v>1218</v>
      </c>
      <c r="B28" s="1482"/>
      <c r="C28" s="488">
        <f>SUM(C20:C27)</f>
        <v>1652185</v>
      </c>
      <c r="D28" s="488">
        <f>SUM(D20:D27)</f>
        <v>2822502</v>
      </c>
      <c r="E28" s="488">
        <f>SUM(E20:E27)</f>
        <v>2283789</v>
      </c>
      <c r="F28" s="488">
        <f>SUM(F20:F27)</f>
        <v>878383</v>
      </c>
      <c r="G28" s="489"/>
      <c r="H28" s="489"/>
      <c r="I28" s="489"/>
      <c r="J28" s="489"/>
      <c r="K28" s="489"/>
    </row>
    <row r="29" spans="1:11" ht="12">
      <c r="A29" s="486" t="s">
        <v>1219</v>
      </c>
      <c r="B29" s="487">
        <v>214020</v>
      </c>
      <c r="C29" s="488">
        <v>9325</v>
      </c>
      <c r="D29" s="488">
        <v>9325</v>
      </c>
      <c r="E29" s="488">
        <v>9320</v>
      </c>
      <c r="F29" s="488">
        <v>0</v>
      </c>
      <c r="G29" s="489"/>
      <c r="H29" s="489"/>
      <c r="I29" s="489"/>
      <c r="J29" s="489"/>
      <c r="K29" s="489"/>
    </row>
    <row r="30" spans="1:11" ht="12">
      <c r="A30" s="487" t="s">
        <v>390</v>
      </c>
      <c r="B30" s="487">
        <v>114230</v>
      </c>
      <c r="C30" s="490">
        <v>200000</v>
      </c>
      <c r="D30" s="490">
        <v>5000</v>
      </c>
      <c r="E30" s="490">
        <v>5000</v>
      </c>
      <c r="F30" s="490">
        <v>0</v>
      </c>
      <c r="G30" s="489"/>
      <c r="H30" s="489"/>
      <c r="I30" s="489"/>
      <c r="J30" s="489"/>
      <c r="K30" s="489"/>
    </row>
    <row r="31" spans="1:11" ht="12">
      <c r="A31" s="487" t="s">
        <v>390</v>
      </c>
      <c r="B31" s="487">
        <v>214210</v>
      </c>
      <c r="C31" s="490">
        <v>586721</v>
      </c>
      <c r="D31" s="490">
        <v>554305</v>
      </c>
      <c r="E31" s="490">
        <v>472209</v>
      </c>
      <c r="F31" s="490">
        <v>102915</v>
      </c>
      <c r="G31" s="489"/>
      <c r="H31" s="489"/>
      <c r="I31" s="489"/>
      <c r="J31" s="489"/>
      <c r="K31" s="489"/>
    </row>
    <row r="32" spans="1:11" ht="12">
      <c r="A32" s="487" t="s">
        <v>390</v>
      </c>
      <c r="B32" s="487">
        <v>214220</v>
      </c>
      <c r="C32" s="490">
        <v>3800</v>
      </c>
      <c r="D32" s="490">
        <v>3800</v>
      </c>
      <c r="E32" s="490">
        <v>23350</v>
      </c>
      <c r="F32" s="490">
        <v>50</v>
      </c>
      <c r="G32" s="489"/>
      <c r="H32" s="489"/>
      <c r="I32" s="489"/>
      <c r="J32" s="489"/>
      <c r="K32" s="489"/>
    </row>
    <row r="33" spans="1:11" ht="14.25" customHeight="1" thickBot="1">
      <c r="A33" s="1485" t="s">
        <v>1220</v>
      </c>
      <c r="B33" s="1486"/>
      <c r="C33" s="493">
        <f>SUM(C30:C32)</f>
        <v>790521</v>
      </c>
      <c r="D33" s="493">
        <f>SUM(D30:D32)</f>
        <v>563105</v>
      </c>
      <c r="E33" s="493">
        <f>SUM(E30:E32)</f>
        <v>500559</v>
      </c>
      <c r="F33" s="493">
        <f>SUM(F30:F32)</f>
        <v>102965</v>
      </c>
      <c r="G33" s="489"/>
      <c r="H33" s="489"/>
      <c r="I33" s="489"/>
      <c r="J33" s="489"/>
      <c r="K33" s="489"/>
    </row>
    <row r="34" spans="1:11" ht="14.25" customHeight="1" thickBot="1" thickTop="1">
      <c r="A34" s="1483" t="s">
        <v>1221</v>
      </c>
      <c r="B34" s="1484"/>
      <c r="C34" s="494">
        <f>SUM(C19,C28,C29,C33)</f>
        <v>5243023</v>
      </c>
      <c r="D34" s="494">
        <f>SUM(D19,D28,D29,D33)</f>
        <v>6004437</v>
      </c>
      <c r="E34" s="494">
        <f>SUM(E19,E28,E29,E33)</f>
        <v>5540577</v>
      </c>
      <c r="F34" s="495">
        <f>SUM(F19,F28,F29,F33)</f>
        <v>1135177</v>
      </c>
      <c r="G34" s="489"/>
      <c r="H34" s="489"/>
      <c r="I34" s="489"/>
      <c r="J34" s="489"/>
      <c r="K34" s="489"/>
    </row>
    <row r="35" spans="1:11" ht="12.75" thickTop="1">
      <c r="A35" s="487" t="s">
        <v>109</v>
      </c>
      <c r="B35" s="487">
        <v>114230</v>
      </c>
      <c r="C35" s="490">
        <v>0</v>
      </c>
      <c r="D35" s="490">
        <v>5000</v>
      </c>
      <c r="E35" s="490">
        <v>5000</v>
      </c>
      <c r="F35" s="490">
        <v>0</v>
      </c>
      <c r="G35" s="489"/>
      <c r="H35" s="489"/>
      <c r="I35" s="489"/>
      <c r="J35" s="489"/>
      <c r="K35" s="489"/>
    </row>
    <row r="36" spans="1:11" ht="12">
      <c r="A36" s="487" t="s">
        <v>109</v>
      </c>
      <c r="B36" s="487">
        <v>214210</v>
      </c>
      <c r="C36" s="490">
        <v>72011</v>
      </c>
      <c r="D36" s="490">
        <v>84633</v>
      </c>
      <c r="E36" s="490">
        <v>89578</v>
      </c>
      <c r="F36" s="490">
        <v>62</v>
      </c>
      <c r="G36" s="489"/>
      <c r="H36" s="489"/>
      <c r="I36" s="489"/>
      <c r="J36" s="489"/>
      <c r="K36" s="489"/>
    </row>
    <row r="37" spans="1:11" ht="12">
      <c r="A37" s="1481" t="s">
        <v>110</v>
      </c>
      <c r="B37" s="1482"/>
      <c r="C37" s="488">
        <f>SUM(C35:C36)</f>
        <v>72011</v>
      </c>
      <c r="D37" s="488">
        <f>SUM(D35:D36)</f>
        <v>89633</v>
      </c>
      <c r="E37" s="488">
        <f>SUM(E35:E36)</f>
        <v>94578</v>
      </c>
      <c r="F37" s="488">
        <f>SUM(F35:F36)</f>
        <v>62</v>
      </c>
      <c r="G37" s="489"/>
      <c r="H37" s="489"/>
      <c r="I37" s="489"/>
      <c r="J37" s="489"/>
      <c r="K37" s="489"/>
    </row>
    <row r="38" spans="1:11" ht="12">
      <c r="A38" s="487" t="s">
        <v>111</v>
      </c>
      <c r="B38" s="487">
        <v>114230</v>
      </c>
      <c r="C38" s="490">
        <v>0</v>
      </c>
      <c r="D38" s="490">
        <v>10000</v>
      </c>
      <c r="E38" s="490">
        <v>10000</v>
      </c>
      <c r="F38" s="490">
        <v>0</v>
      </c>
      <c r="G38" s="489"/>
      <c r="H38" s="489"/>
      <c r="I38" s="489"/>
      <c r="J38" s="489"/>
      <c r="K38" s="489"/>
    </row>
    <row r="39" spans="1:11" ht="12">
      <c r="A39" s="487" t="s">
        <v>111</v>
      </c>
      <c r="B39" s="487">
        <v>214210</v>
      </c>
      <c r="C39" s="490">
        <v>100742</v>
      </c>
      <c r="D39" s="490">
        <v>99092</v>
      </c>
      <c r="E39" s="490">
        <v>99774</v>
      </c>
      <c r="F39" s="490">
        <v>136</v>
      </c>
      <c r="G39" s="489"/>
      <c r="H39" s="489"/>
      <c r="I39" s="489"/>
      <c r="J39" s="489"/>
      <c r="K39" s="489"/>
    </row>
    <row r="40" spans="1:11" ht="12">
      <c r="A40" s="1481" t="s">
        <v>112</v>
      </c>
      <c r="B40" s="1482"/>
      <c r="C40" s="488">
        <f>SUM(C38:C39)</f>
        <v>100742</v>
      </c>
      <c r="D40" s="488">
        <f>SUM(D38:D39)</f>
        <v>109092</v>
      </c>
      <c r="E40" s="488">
        <f>SUM(E38:E39)</f>
        <v>109774</v>
      </c>
      <c r="F40" s="488">
        <f>SUM(F38:F39)</f>
        <v>136</v>
      </c>
      <c r="G40" s="489"/>
      <c r="H40" s="489"/>
      <c r="I40" s="489"/>
      <c r="J40" s="489"/>
      <c r="K40" s="489"/>
    </row>
    <row r="41" spans="1:11" ht="12">
      <c r="A41" s="487" t="s">
        <v>113</v>
      </c>
      <c r="B41" s="487">
        <v>114230</v>
      </c>
      <c r="C41" s="490">
        <v>0</v>
      </c>
      <c r="D41" s="490">
        <v>20000</v>
      </c>
      <c r="E41" s="490">
        <v>20000</v>
      </c>
      <c r="F41" s="490">
        <v>0</v>
      </c>
      <c r="G41" s="489"/>
      <c r="H41" s="489"/>
      <c r="I41" s="489"/>
      <c r="J41" s="489"/>
      <c r="K41" s="489"/>
    </row>
    <row r="42" spans="1:11" ht="12">
      <c r="A42" s="487" t="s">
        <v>113</v>
      </c>
      <c r="B42" s="487">
        <v>214210</v>
      </c>
      <c r="C42" s="490">
        <v>79690</v>
      </c>
      <c r="D42" s="490">
        <v>80463</v>
      </c>
      <c r="E42" s="490">
        <v>114984</v>
      </c>
      <c r="F42" s="490">
        <v>14</v>
      </c>
      <c r="G42" s="489"/>
      <c r="H42" s="489"/>
      <c r="I42" s="489"/>
      <c r="J42" s="489"/>
      <c r="K42" s="489"/>
    </row>
    <row r="43" spans="1:11" ht="12">
      <c r="A43" s="1481" t="s">
        <v>114</v>
      </c>
      <c r="B43" s="1482"/>
      <c r="C43" s="488">
        <f>SUM(C41:C42)</f>
        <v>79690</v>
      </c>
      <c r="D43" s="488">
        <f>SUM(D41:D42)</f>
        <v>100463</v>
      </c>
      <c r="E43" s="488">
        <f>SUM(E41:E42)</f>
        <v>134984</v>
      </c>
      <c r="F43" s="488">
        <f>SUM(F41:F42)</f>
        <v>14</v>
      </c>
      <c r="G43" s="489"/>
      <c r="H43" s="489"/>
      <c r="I43" s="489"/>
      <c r="J43" s="489"/>
      <c r="K43" s="489"/>
    </row>
    <row r="44" spans="1:11" ht="12">
      <c r="A44" s="487" t="s">
        <v>115</v>
      </c>
      <c r="B44" s="487">
        <v>114230</v>
      </c>
      <c r="C44" s="490">
        <v>0</v>
      </c>
      <c r="D44" s="490">
        <v>5000</v>
      </c>
      <c r="E44" s="490">
        <v>5000</v>
      </c>
      <c r="F44" s="490">
        <v>0</v>
      </c>
      <c r="G44" s="489"/>
      <c r="H44" s="489"/>
      <c r="I44" s="489"/>
      <c r="J44" s="489"/>
      <c r="K44" s="489"/>
    </row>
    <row r="45" spans="1:11" ht="12">
      <c r="A45" s="487" t="s">
        <v>115</v>
      </c>
      <c r="B45" s="487">
        <v>214210</v>
      </c>
      <c r="C45" s="490">
        <v>32607</v>
      </c>
      <c r="D45" s="490">
        <v>30996</v>
      </c>
      <c r="E45" s="490">
        <v>44784</v>
      </c>
      <c r="F45" s="490">
        <v>336</v>
      </c>
      <c r="G45" s="489"/>
      <c r="H45" s="489"/>
      <c r="I45" s="489"/>
      <c r="J45" s="489"/>
      <c r="K45" s="489"/>
    </row>
    <row r="46" spans="1:11" ht="12">
      <c r="A46" s="1481" t="s">
        <v>116</v>
      </c>
      <c r="B46" s="1482"/>
      <c r="C46" s="488">
        <f>SUM(C44:C45)</f>
        <v>32607</v>
      </c>
      <c r="D46" s="488">
        <f>SUM(D44:D45)</f>
        <v>35996</v>
      </c>
      <c r="E46" s="488">
        <f>SUM(E44:E45)</f>
        <v>49784</v>
      </c>
      <c r="F46" s="488">
        <f>SUM(F44:F45)</f>
        <v>336</v>
      </c>
      <c r="G46" s="489"/>
      <c r="H46" s="489"/>
      <c r="I46" s="489"/>
      <c r="J46" s="489"/>
      <c r="K46" s="489"/>
    </row>
    <row r="47" spans="1:11" ht="12">
      <c r="A47" s="487" t="s">
        <v>117</v>
      </c>
      <c r="B47" s="487">
        <v>114230</v>
      </c>
      <c r="C47" s="490">
        <v>0</v>
      </c>
      <c r="D47" s="490">
        <v>15000</v>
      </c>
      <c r="E47" s="490">
        <v>15000</v>
      </c>
      <c r="F47" s="490">
        <v>0</v>
      </c>
      <c r="G47" s="489"/>
      <c r="H47" s="489"/>
      <c r="I47" s="489"/>
      <c r="J47" s="489"/>
      <c r="K47" s="489"/>
    </row>
    <row r="48" spans="1:11" ht="12">
      <c r="A48" s="487" t="s">
        <v>117</v>
      </c>
      <c r="B48" s="487">
        <v>214210</v>
      </c>
      <c r="C48" s="490">
        <v>48420</v>
      </c>
      <c r="D48" s="490">
        <v>53517</v>
      </c>
      <c r="E48" s="490">
        <v>60033</v>
      </c>
      <c r="F48" s="490">
        <v>51</v>
      </c>
      <c r="G48" s="489"/>
      <c r="H48" s="489"/>
      <c r="I48" s="489"/>
      <c r="J48" s="489"/>
      <c r="K48" s="489"/>
    </row>
    <row r="49" spans="1:11" ht="12">
      <c r="A49" s="1481" t="s">
        <v>118</v>
      </c>
      <c r="B49" s="1482"/>
      <c r="C49" s="488">
        <f>SUM(C47:C48)</f>
        <v>48420</v>
      </c>
      <c r="D49" s="488">
        <f>SUM(D47:D48)</f>
        <v>68517</v>
      </c>
      <c r="E49" s="488">
        <f>SUM(E47:E48)</f>
        <v>75033</v>
      </c>
      <c r="F49" s="488">
        <f>SUM(F47:F48)</f>
        <v>51</v>
      </c>
      <c r="G49" s="489"/>
      <c r="H49" s="489"/>
      <c r="I49" s="489"/>
      <c r="J49" s="489"/>
      <c r="K49" s="489"/>
    </row>
    <row r="50" spans="1:11" ht="12">
      <c r="A50" s="487" t="s">
        <v>119</v>
      </c>
      <c r="B50" s="487">
        <v>114230</v>
      </c>
      <c r="C50" s="490">
        <v>0</v>
      </c>
      <c r="D50" s="490">
        <v>15000</v>
      </c>
      <c r="E50" s="490">
        <v>15000</v>
      </c>
      <c r="F50" s="490">
        <v>0</v>
      </c>
      <c r="G50" s="489"/>
      <c r="H50" s="489"/>
      <c r="I50" s="489"/>
      <c r="J50" s="489"/>
      <c r="K50" s="489"/>
    </row>
    <row r="51" spans="1:11" ht="12">
      <c r="A51" s="487" t="s">
        <v>119</v>
      </c>
      <c r="B51" s="487">
        <v>214210</v>
      </c>
      <c r="C51" s="490">
        <v>47505</v>
      </c>
      <c r="D51" s="490">
        <v>44708</v>
      </c>
      <c r="E51" s="490">
        <v>48947</v>
      </c>
      <c r="F51" s="490">
        <v>165</v>
      </c>
      <c r="G51" s="489"/>
      <c r="H51" s="489"/>
      <c r="I51" s="489"/>
      <c r="J51" s="489"/>
      <c r="K51" s="489"/>
    </row>
    <row r="52" spans="1:11" ht="12">
      <c r="A52" s="1481" t="s">
        <v>744</v>
      </c>
      <c r="B52" s="1482"/>
      <c r="C52" s="488">
        <f>SUM(C50:C51)</f>
        <v>47505</v>
      </c>
      <c r="D52" s="488">
        <f>SUM(D50:D51)</f>
        <v>59708</v>
      </c>
      <c r="E52" s="488">
        <f>SUM(E50:E51)</f>
        <v>63947</v>
      </c>
      <c r="F52" s="488">
        <f>SUM(F50:F51)</f>
        <v>165</v>
      </c>
      <c r="G52" s="489"/>
      <c r="H52" s="489"/>
      <c r="I52" s="489"/>
      <c r="J52" s="489"/>
      <c r="K52" s="489"/>
    </row>
    <row r="53" spans="1:11" ht="12">
      <c r="A53" s="487" t="s">
        <v>745</v>
      </c>
      <c r="B53" s="487">
        <v>114230</v>
      </c>
      <c r="C53" s="490">
        <v>0</v>
      </c>
      <c r="D53" s="490">
        <v>10000</v>
      </c>
      <c r="E53" s="490">
        <v>10000</v>
      </c>
      <c r="F53" s="490">
        <v>0</v>
      </c>
      <c r="G53" s="489"/>
      <c r="H53" s="489"/>
      <c r="I53" s="489"/>
      <c r="J53" s="489"/>
      <c r="K53" s="489"/>
    </row>
    <row r="54" spans="1:11" ht="12">
      <c r="A54" s="487" t="s">
        <v>745</v>
      </c>
      <c r="B54" s="487">
        <v>214210</v>
      </c>
      <c r="C54" s="490">
        <v>36211</v>
      </c>
      <c r="D54" s="490">
        <v>41958</v>
      </c>
      <c r="E54" s="490">
        <v>43298</v>
      </c>
      <c r="F54" s="490">
        <v>110</v>
      </c>
      <c r="G54" s="489"/>
      <c r="H54" s="489"/>
      <c r="I54" s="489"/>
      <c r="J54" s="489"/>
      <c r="K54" s="489"/>
    </row>
    <row r="55" spans="1:11" ht="12">
      <c r="A55" s="1481" t="s">
        <v>746</v>
      </c>
      <c r="B55" s="1482"/>
      <c r="C55" s="488">
        <f>SUM(C53:C54)</f>
        <v>36211</v>
      </c>
      <c r="D55" s="488">
        <f>SUM(D53:D54)</f>
        <v>51958</v>
      </c>
      <c r="E55" s="488">
        <f>SUM(E53:E54)</f>
        <v>53298</v>
      </c>
      <c r="F55" s="488">
        <f>SUM(F53:F54)</f>
        <v>110</v>
      </c>
      <c r="G55" s="489"/>
      <c r="H55" s="489"/>
      <c r="I55" s="489"/>
      <c r="J55" s="489"/>
      <c r="K55" s="489"/>
    </row>
    <row r="56" spans="1:11" ht="12">
      <c r="A56" s="487" t="s">
        <v>747</v>
      </c>
      <c r="B56" s="487">
        <v>114230</v>
      </c>
      <c r="C56" s="490">
        <v>0</v>
      </c>
      <c r="D56" s="490">
        <v>14998</v>
      </c>
      <c r="E56" s="490">
        <v>14917</v>
      </c>
      <c r="F56" s="490">
        <v>80</v>
      </c>
      <c r="G56" s="489"/>
      <c r="H56" s="489"/>
      <c r="I56" s="489"/>
      <c r="J56" s="489"/>
      <c r="K56" s="489"/>
    </row>
    <row r="57" spans="1:11" ht="12">
      <c r="A57" s="487" t="s">
        <v>747</v>
      </c>
      <c r="B57" s="487">
        <v>214210</v>
      </c>
      <c r="C57" s="490">
        <v>61224</v>
      </c>
      <c r="D57" s="490">
        <v>64918</v>
      </c>
      <c r="E57" s="490">
        <v>70827</v>
      </c>
      <c r="F57" s="490">
        <v>12</v>
      </c>
      <c r="G57" s="489"/>
      <c r="H57" s="489"/>
      <c r="I57" s="489"/>
      <c r="J57" s="489"/>
      <c r="K57" s="489"/>
    </row>
    <row r="58" spans="1:11" ht="12">
      <c r="A58" s="1481" t="s">
        <v>145</v>
      </c>
      <c r="B58" s="1482"/>
      <c r="C58" s="488">
        <f>SUM(C56:C57)</f>
        <v>61224</v>
      </c>
      <c r="D58" s="488">
        <f>SUM(D56:D57)</f>
        <v>79916</v>
      </c>
      <c r="E58" s="488">
        <f>SUM(E56:E57)</f>
        <v>85744</v>
      </c>
      <c r="F58" s="488">
        <f>SUM(F56:F57)</f>
        <v>92</v>
      </c>
      <c r="G58" s="489"/>
      <c r="H58" s="489"/>
      <c r="I58" s="489"/>
      <c r="J58" s="489"/>
      <c r="K58" s="489"/>
    </row>
    <row r="59" spans="1:11" ht="12">
      <c r="A59" s="487" t="s">
        <v>146</v>
      </c>
      <c r="B59" s="487">
        <v>114230</v>
      </c>
      <c r="C59" s="490">
        <v>0</v>
      </c>
      <c r="D59" s="490">
        <v>15000</v>
      </c>
      <c r="E59" s="490">
        <v>14998</v>
      </c>
      <c r="F59" s="490">
        <v>2</v>
      </c>
      <c r="G59" s="489"/>
      <c r="H59" s="489"/>
      <c r="I59" s="489"/>
      <c r="J59" s="489"/>
      <c r="K59" s="489"/>
    </row>
    <row r="60" spans="1:11" ht="12">
      <c r="A60" s="487" t="s">
        <v>146</v>
      </c>
      <c r="B60" s="487">
        <v>214210</v>
      </c>
      <c r="C60" s="490">
        <v>48068</v>
      </c>
      <c r="D60" s="490">
        <v>47538</v>
      </c>
      <c r="E60" s="490">
        <v>52885</v>
      </c>
      <c r="F60" s="490">
        <v>14</v>
      </c>
      <c r="G60" s="489"/>
      <c r="H60" s="489"/>
      <c r="I60" s="489"/>
      <c r="J60" s="489"/>
      <c r="K60" s="489"/>
    </row>
    <row r="61" spans="1:11" ht="12">
      <c r="A61" s="1481" t="s">
        <v>147</v>
      </c>
      <c r="B61" s="1482"/>
      <c r="C61" s="488">
        <f>SUM(C59:C60)</f>
        <v>48068</v>
      </c>
      <c r="D61" s="488">
        <f>SUM(D59:D60)</f>
        <v>62538</v>
      </c>
      <c r="E61" s="488">
        <f>SUM(E59:E60)</f>
        <v>67883</v>
      </c>
      <c r="F61" s="488">
        <f>SUM(F59:F60)</f>
        <v>16</v>
      </c>
      <c r="G61" s="489"/>
      <c r="H61" s="489"/>
      <c r="I61" s="489"/>
      <c r="J61" s="489"/>
      <c r="K61" s="489"/>
    </row>
    <row r="62" spans="1:11" ht="12">
      <c r="A62" s="487" t="s">
        <v>148</v>
      </c>
      <c r="B62" s="487">
        <v>114230</v>
      </c>
      <c r="C62" s="490">
        <v>0</v>
      </c>
      <c r="D62" s="490">
        <v>15000</v>
      </c>
      <c r="E62" s="490">
        <v>15000</v>
      </c>
      <c r="F62" s="490">
        <v>0</v>
      </c>
      <c r="G62" s="489"/>
      <c r="H62" s="489"/>
      <c r="I62" s="489"/>
      <c r="J62" s="489"/>
      <c r="K62" s="489"/>
    </row>
    <row r="63" spans="1:11" ht="12">
      <c r="A63" s="487" t="s">
        <v>148</v>
      </c>
      <c r="B63" s="487">
        <v>214210</v>
      </c>
      <c r="C63" s="490">
        <v>51124</v>
      </c>
      <c r="D63" s="490">
        <v>54726</v>
      </c>
      <c r="E63" s="490">
        <v>57017</v>
      </c>
      <c r="F63" s="490">
        <v>39</v>
      </c>
      <c r="G63" s="489"/>
      <c r="H63" s="489"/>
      <c r="I63" s="489"/>
      <c r="J63" s="489"/>
      <c r="K63" s="489"/>
    </row>
    <row r="64" spans="1:11" ht="12">
      <c r="A64" s="1481" t="s">
        <v>149</v>
      </c>
      <c r="B64" s="1482"/>
      <c r="C64" s="488">
        <f>SUM(C62:C63)</f>
        <v>51124</v>
      </c>
      <c r="D64" s="488">
        <f>SUM(D62:D63)</f>
        <v>69726</v>
      </c>
      <c r="E64" s="488">
        <f>SUM(E62:E63)</f>
        <v>72017</v>
      </c>
      <c r="F64" s="488">
        <f>SUM(F62:F63)</f>
        <v>39</v>
      </c>
      <c r="G64" s="489"/>
      <c r="H64" s="489"/>
      <c r="I64" s="489"/>
      <c r="J64" s="489"/>
      <c r="K64" s="489"/>
    </row>
    <row r="65" spans="1:11" ht="12">
      <c r="A65" s="487" t="s">
        <v>150</v>
      </c>
      <c r="B65" s="487">
        <v>114230</v>
      </c>
      <c r="C65" s="490">
        <v>0</v>
      </c>
      <c r="D65" s="490">
        <v>15000</v>
      </c>
      <c r="E65" s="490">
        <v>15000</v>
      </c>
      <c r="F65" s="490">
        <v>0</v>
      </c>
      <c r="G65" s="489"/>
      <c r="H65" s="489"/>
      <c r="I65" s="489"/>
      <c r="J65" s="489"/>
      <c r="K65" s="489"/>
    </row>
    <row r="66" spans="1:11" ht="12">
      <c r="A66" s="487" t="s">
        <v>150</v>
      </c>
      <c r="B66" s="487">
        <v>214210</v>
      </c>
      <c r="C66" s="490">
        <v>65854</v>
      </c>
      <c r="D66" s="490">
        <v>71792</v>
      </c>
      <c r="E66" s="490">
        <v>93776</v>
      </c>
      <c r="F66" s="490">
        <v>67</v>
      </c>
      <c r="G66" s="489"/>
      <c r="H66" s="489"/>
      <c r="I66" s="489"/>
      <c r="J66" s="489"/>
      <c r="K66" s="489"/>
    </row>
    <row r="67" spans="1:11" ht="12">
      <c r="A67" s="1481" t="s">
        <v>151</v>
      </c>
      <c r="B67" s="1482"/>
      <c r="C67" s="488">
        <f>SUM(C65:C66)</f>
        <v>65854</v>
      </c>
      <c r="D67" s="488">
        <f>SUM(D65:D66)</f>
        <v>86792</v>
      </c>
      <c r="E67" s="488">
        <f>SUM(E65:E66)</f>
        <v>108776</v>
      </c>
      <c r="F67" s="488">
        <f>SUM(F65:F66)</f>
        <v>67</v>
      </c>
      <c r="G67" s="489"/>
      <c r="H67" s="489"/>
      <c r="I67" s="489"/>
      <c r="J67" s="489"/>
      <c r="K67" s="489"/>
    </row>
    <row r="68" spans="1:11" ht="12">
      <c r="A68" s="487" t="s">
        <v>152</v>
      </c>
      <c r="B68" s="487">
        <v>114230</v>
      </c>
      <c r="C68" s="490">
        <v>0</v>
      </c>
      <c r="D68" s="490">
        <v>30000</v>
      </c>
      <c r="E68" s="490">
        <v>30000</v>
      </c>
      <c r="F68" s="490">
        <v>0</v>
      </c>
      <c r="G68" s="489"/>
      <c r="H68" s="489"/>
      <c r="I68" s="489"/>
      <c r="J68" s="489"/>
      <c r="K68" s="489"/>
    </row>
    <row r="69" spans="1:11" ht="12">
      <c r="A69" s="487" t="s">
        <v>152</v>
      </c>
      <c r="B69" s="487">
        <v>214210</v>
      </c>
      <c r="C69" s="490">
        <v>96483</v>
      </c>
      <c r="D69" s="490">
        <v>91881</v>
      </c>
      <c r="E69" s="490">
        <v>101930</v>
      </c>
      <c r="F69" s="490">
        <v>24</v>
      </c>
      <c r="G69" s="489"/>
      <c r="H69" s="489"/>
      <c r="I69" s="489"/>
      <c r="J69" s="489"/>
      <c r="K69" s="489"/>
    </row>
    <row r="70" spans="1:11" ht="12">
      <c r="A70" s="1481" t="s">
        <v>153</v>
      </c>
      <c r="B70" s="1482"/>
      <c r="C70" s="488">
        <f>SUM(C68:C69)</f>
        <v>96483</v>
      </c>
      <c r="D70" s="488">
        <f>SUM(D68:D69)</f>
        <v>121881</v>
      </c>
      <c r="E70" s="488">
        <f>SUM(E68:E69)</f>
        <v>131930</v>
      </c>
      <c r="F70" s="488">
        <f>SUM(F68:F69)</f>
        <v>24</v>
      </c>
      <c r="G70" s="489"/>
      <c r="H70" s="489"/>
      <c r="I70" s="489"/>
      <c r="J70" s="489"/>
      <c r="K70" s="489"/>
    </row>
    <row r="71" spans="1:11" ht="12">
      <c r="A71" s="487" t="s">
        <v>154</v>
      </c>
      <c r="B71" s="487">
        <v>114230</v>
      </c>
      <c r="C71" s="490">
        <v>0</v>
      </c>
      <c r="D71" s="490">
        <v>15002</v>
      </c>
      <c r="E71" s="490">
        <v>15000</v>
      </c>
      <c r="F71" s="490">
        <v>2</v>
      </c>
      <c r="G71" s="489"/>
      <c r="H71" s="489"/>
      <c r="I71" s="489"/>
      <c r="J71" s="489"/>
      <c r="K71" s="489"/>
    </row>
    <row r="72" spans="1:11" ht="12">
      <c r="A72" s="487" t="s">
        <v>154</v>
      </c>
      <c r="B72" s="487">
        <v>214210</v>
      </c>
      <c r="C72" s="490">
        <v>77381</v>
      </c>
      <c r="D72" s="490">
        <v>70071</v>
      </c>
      <c r="E72" s="490">
        <v>78278</v>
      </c>
      <c r="F72" s="490">
        <v>192</v>
      </c>
      <c r="G72" s="489"/>
      <c r="H72" s="489"/>
      <c r="I72" s="489"/>
      <c r="J72" s="489"/>
      <c r="K72" s="489"/>
    </row>
    <row r="73" spans="1:11" ht="12">
      <c r="A73" s="1481" t="s">
        <v>155</v>
      </c>
      <c r="B73" s="1482"/>
      <c r="C73" s="488">
        <f>SUM(C71:C72)</f>
        <v>77381</v>
      </c>
      <c r="D73" s="488">
        <f>SUM(D71:D72)</f>
        <v>85073</v>
      </c>
      <c r="E73" s="488">
        <f>SUM(E71:E72)</f>
        <v>93278</v>
      </c>
      <c r="F73" s="488">
        <f>SUM(F71:F72)</f>
        <v>194</v>
      </c>
      <c r="G73" s="489"/>
      <c r="H73" s="489"/>
      <c r="I73" s="489"/>
      <c r="J73" s="489"/>
      <c r="K73" s="489"/>
    </row>
    <row r="74" spans="1:11" ht="12">
      <c r="A74" s="487" t="s">
        <v>156</v>
      </c>
      <c r="B74" s="487">
        <v>114230</v>
      </c>
      <c r="C74" s="490">
        <v>0</v>
      </c>
      <c r="D74" s="490">
        <v>10000</v>
      </c>
      <c r="E74" s="490">
        <v>10000</v>
      </c>
      <c r="F74" s="490">
        <v>0</v>
      </c>
      <c r="G74" s="489"/>
      <c r="H74" s="489"/>
      <c r="I74" s="489"/>
      <c r="J74" s="489"/>
      <c r="K74" s="489"/>
    </row>
    <row r="75" spans="1:11" ht="12">
      <c r="A75" s="487" t="s">
        <v>156</v>
      </c>
      <c r="B75" s="487">
        <v>214210</v>
      </c>
      <c r="C75" s="490">
        <v>51200</v>
      </c>
      <c r="D75" s="490">
        <v>76215</v>
      </c>
      <c r="E75" s="490">
        <v>84974</v>
      </c>
      <c r="F75" s="490">
        <v>23</v>
      </c>
      <c r="G75" s="489"/>
      <c r="H75" s="489"/>
      <c r="I75" s="489"/>
      <c r="J75" s="489"/>
      <c r="K75" s="489"/>
    </row>
    <row r="76" spans="1:11" ht="12.75" thickBot="1">
      <c r="A76" s="1481" t="s">
        <v>157</v>
      </c>
      <c r="B76" s="1482"/>
      <c r="C76" s="488">
        <f>SUM(C74:C75)</f>
        <v>51200</v>
      </c>
      <c r="D76" s="488">
        <f>SUM(D74:D75)</f>
        <v>86215</v>
      </c>
      <c r="E76" s="488">
        <f>SUM(E74:E75)</f>
        <v>94974</v>
      </c>
      <c r="F76" s="488">
        <f>SUM(F74:F75)</f>
        <v>23</v>
      </c>
      <c r="G76" s="489"/>
      <c r="H76" s="489"/>
      <c r="I76" s="489"/>
      <c r="J76" s="489"/>
      <c r="K76" s="489"/>
    </row>
    <row r="77" spans="1:11" ht="15" customHeight="1" thickBot="1" thickTop="1">
      <c r="A77" s="1483" t="s">
        <v>158</v>
      </c>
      <c r="B77" s="1484"/>
      <c r="C77" s="494">
        <f>SUM(C37,C40,C43,C46,C49,C52,C55,C58,C61,C64,C67,C70,C73,C76)</f>
        <v>868520</v>
      </c>
      <c r="D77" s="494">
        <f>SUM(D37,D40,D43,D46,D49,D52,D55,D58,D61,D64,D67,D70,D73,D76)</f>
        <v>1107508</v>
      </c>
      <c r="E77" s="494">
        <f>SUM(E37,E40,E43,E46,E49,E52,E55,E58,E61,E64,E67,E70,E73,E76)</f>
        <v>1236000</v>
      </c>
      <c r="F77" s="495">
        <f>SUM(F37,F40,F43,F46,F49,F52,F55,F58,F61,F64,F67,F70,F73,F76)</f>
        <v>1329</v>
      </c>
      <c r="G77" s="489"/>
      <c r="H77" s="489"/>
      <c r="I77" s="489"/>
      <c r="J77" s="489"/>
      <c r="K77" s="489"/>
    </row>
    <row r="78" spans="1:11" ht="12.75" thickTop="1">
      <c r="A78" s="486" t="s">
        <v>159</v>
      </c>
      <c r="B78" s="487">
        <v>214030</v>
      </c>
      <c r="C78" s="488">
        <v>21850</v>
      </c>
      <c r="D78" s="488">
        <v>21705</v>
      </c>
      <c r="E78" s="488">
        <v>21699</v>
      </c>
      <c r="F78" s="488">
        <v>6</v>
      </c>
      <c r="G78" s="489"/>
      <c r="H78" s="489"/>
      <c r="I78" s="489"/>
      <c r="J78" s="489"/>
      <c r="K78" s="489"/>
    </row>
    <row r="79" spans="1:11" ht="12">
      <c r="A79" s="486" t="s">
        <v>160</v>
      </c>
      <c r="B79" s="487">
        <v>214030</v>
      </c>
      <c r="C79" s="488">
        <v>162555</v>
      </c>
      <c r="D79" s="488">
        <v>182229</v>
      </c>
      <c r="E79" s="488">
        <v>182115</v>
      </c>
      <c r="F79" s="488">
        <v>0</v>
      </c>
      <c r="G79" s="489"/>
      <c r="H79" s="489"/>
      <c r="I79" s="489"/>
      <c r="J79" s="489"/>
      <c r="K79" s="489"/>
    </row>
    <row r="80" spans="1:11" ht="12">
      <c r="A80" s="486" t="s">
        <v>161</v>
      </c>
      <c r="B80" s="487">
        <v>214030</v>
      </c>
      <c r="C80" s="488">
        <v>7608</v>
      </c>
      <c r="D80" s="488">
        <v>8796</v>
      </c>
      <c r="E80" s="488">
        <v>8775</v>
      </c>
      <c r="F80" s="488">
        <v>0</v>
      </c>
      <c r="G80" s="489"/>
      <c r="H80" s="489"/>
      <c r="I80" s="489"/>
      <c r="J80" s="489"/>
      <c r="K80" s="489"/>
    </row>
    <row r="81" spans="1:11" ht="12">
      <c r="A81" s="486" t="s">
        <v>162</v>
      </c>
      <c r="B81" s="487">
        <v>214030</v>
      </c>
      <c r="C81" s="488">
        <v>10270</v>
      </c>
      <c r="D81" s="488">
        <v>11470</v>
      </c>
      <c r="E81" s="488">
        <v>11458</v>
      </c>
      <c r="F81" s="488">
        <v>0</v>
      </c>
      <c r="G81" s="489"/>
      <c r="H81" s="489"/>
      <c r="I81" s="489"/>
      <c r="J81" s="489"/>
      <c r="K81" s="489"/>
    </row>
    <row r="82" spans="1:11" ht="12">
      <c r="A82" s="486" t="s">
        <v>163</v>
      </c>
      <c r="B82" s="487">
        <v>214030</v>
      </c>
      <c r="C82" s="488">
        <v>10840</v>
      </c>
      <c r="D82" s="488">
        <v>11038</v>
      </c>
      <c r="E82" s="488">
        <v>11268</v>
      </c>
      <c r="F82" s="488">
        <v>6</v>
      </c>
      <c r="G82" s="489"/>
      <c r="H82" s="489"/>
      <c r="I82" s="489"/>
      <c r="J82" s="489"/>
      <c r="K82" s="489"/>
    </row>
    <row r="83" spans="1:11" ht="12">
      <c r="A83" s="486" t="s">
        <v>164</v>
      </c>
      <c r="B83" s="487">
        <v>214030</v>
      </c>
      <c r="C83" s="488">
        <v>5999</v>
      </c>
      <c r="D83" s="488">
        <v>5954</v>
      </c>
      <c r="E83" s="488">
        <v>5769</v>
      </c>
      <c r="F83" s="488">
        <v>150</v>
      </c>
      <c r="G83" s="489"/>
      <c r="H83" s="489"/>
      <c r="I83" s="489"/>
      <c r="J83" s="489"/>
      <c r="K83" s="489"/>
    </row>
    <row r="84" spans="1:11" ht="12">
      <c r="A84" s="486" t="s">
        <v>165</v>
      </c>
      <c r="B84" s="487">
        <v>214030</v>
      </c>
      <c r="C84" s="488">
        <v>10347</v>
      </c>
      <c r="D84" s="488">
        <v>10847</v>
      </c>
      <c r="E84" s="488">
        <v>10823</v>
      </c>
      <c r="F84" s="488">
        <v>24</v>
      </c>
      <c r="G84" s="489"/>
      <c r="H84" s="489"/>
      <c r="I84" s="489"/>
      <c r="J84" s="489"/>
      <c r="K84" s="489"/>
    </row>
    <row r="85" spans="1:11" ht="12.75" thickBot="1">
      <c r="A85" s="486" t="s">
        <v>2095</v>
      </c>
      <c r="B85" s="487">
        <v>214030</v>
      </c>
      <c r="C85" s="488">
        <v>29946</v>
      </c>
      <c r="D85" s="488">
        <v>25652</v>
      </c>
      <c r="E85" s="488">
        <v>25662</v>
      </c>
      <c r="F85" s="488">
        <v>20</v>
      </c>
      <c r="G85" s="489"/>
      <c r="H85" s="489"/>
      <c r="I85" s="489"/>
      <c r="J85" s="489"/>
      <c r="K85" s="489"/>
    </row>
    <row r="86" spans="1:11" ht="15" customHeight="1" thickBot="1" thickTop="1">
      <c r="A86" s="1483" t="s">
        <v>166</v>
      </c>
      <c r="B86" s="1484"/>
      <c r="C86" s="494">
        <f>SUM(C78:C85)</f>
        <v>259415</v>
      </c>
      <c r="D86" s="494">
        <f>SUM(D78:D85)</f>
        <v>277691</v>
      </c>
      <c r="E86" s="494">
        <f>SUM(E78:E85)</f>
        <v>277569</v>
      </c>
      <c r="F86" s="495">
        <f>SUM(F78:F85)</f>
        <v>206</v>
      </c>
      <c r="G86" s="489"/>
      <c r="H86" s="489"/>
      <c r="I86" s="489"/>
      <c r="J86" s="489"/>
      <c r="K86" s="489"/>
    </row>
    <row r="87" spans="1:11" ht="12.75" thickTop="1">
      <c r="A87" s="486" t="s">
        <v>167</v>
      </c>
      <c r="B87" s="487">
        <v>214020</v>
      </c>
      <c r="C87" s="488">
        <v>20519</v>
      </c>
      <c r="D87" s="488">
        <v>20692</v>
      </c>
      <c r="E87" s="488">
        <v>20683</v>
      </c>
      <c r="F87" s="488">
        <v>9</v>
      </c>
      <c r="G87" s="489"/>
      <c r="H87" s="489"/>
      <c r="I87" s="489"/>
      <c r="J87" s="489"/>
      <c r="K87" s="489"/>
    </row>
    <row r="88" spans="1:11" ht="12">
      <c r="A88" s="486" t="s">
        <v>168</v>
      </c>
      <c r="B88" s="487">
        <v>214020</v>
      </c>
      <c r="C88" s="488">
        <v>16474</v>
      </c>
      <c r="D88" s="488">
        <v>20249</v>
      </c>
      <c r="E88" s="488">
        <v>20247</v>
      </c>
      <c r="F88" s="488">
        <v>29</v>
      </c>
      <c r="G88" s="489"/>
      <c r="H88" s="489"/>
      <c r="I88" s="489"/>
      <c r="J88" s="489"/>
      <c r="K88" s="489"/>
    </row>
    <row r="89" spans="1:11" ht="12">
      <c r="A89" s="486" t="s">
        <v>169</v>
      </c>
      <c r="B89" s="487">
        <v>214020</v>
      </c>
      <c r="C89" s="488">
        <v>18950</v>
      </c>
      <c r="D89" s="488">
        <v>19137</v>
      </c>
      <c r="E89" s="488">
        <v>19133</v>
      </c>
      <c r="F89" s="488">
        <v>0</v>
      </c>
      <c r="G89" s="489"/>
      <c r="H89" s="489"/>
      <c r="I89" s="489"/>
      <c r="J89" s="489"/>
      <c r="K89" s="489"/>
    </row>
    <row r="90" spans="1:11" ht="12">
      <c r="A90" s="486" t="s">
        <v>170</v>
      </c>
      <c r="B90" s="487">
        <v>214020</v>
      </c>
      <c r="C90" s="488">
        <v>3691</v>
      </c>
      <c r="D90" s="488">
        <v>3435</v>
      </c>
      <c r="E90" s="488">
        <v>3383</v>
      </c>
      <c r="F90" s="488">
        <v>52</v>
      </c>
      <c r="G90" s="489"/>
      <c r="H90" s="489"/>
      <c r="I90" s="489"/>
      <c r="J90" s="489"/>
      <c r="K90" s="489"/>
    </row>
    <row r="91" spans="1:11" ht="12">
      <c r="A91" s="486" t="s">
        <v>171</v>
      </c>
      <c r="B91" s="487">
        <v>214020</v>
      </c>
      <c r="C91" s="488">
        <v>49576</v>
      </c>
      <c r="D91" s="488">
        <v>51797</v>
      </c>
      <c r="E91" s="488">
        <v>59840</v>
      </c>
      <c r="F91" s="488">
        <v>19556</v>
      </c>
      <c r="G91" s="489"/>
      <c r="H91" s="489"/>
      <c r="I91" s="489"/>
      <c r="J91" s="489"/>
      <c r="K91" s="489"/>
    </row>
    <row r="92" spans="1:11" ht="12.75" thickBot="1">
      <c r="A92" s="486" t="s">
        <v>172</v>
      </c>
      <c r="B92" s="487">
        <v>214020</v>
      </c>
      <c r="C92" s="488">
        <v>11539</v>
      </c>
      <c r="D92" s="488">
        <v>14999</v>
      </c>
      <c r="E92" s="488">
        <v>15161</v>
      </c>
      <c r="F92" s="488">
        <v>19</v>
      </c>
      <c r="G92" s="489"/>
      <c r="H92" s="489"/>
      <c r="I92" s="489"/>
      <c r="J92" s="489"/>
      <c r="K92" s="489"/>
    </row>
    <row r="93" spans="1:11" ht="14.25" customHeight="1" thickBot="1" thickTop="1">
      <c r="A93" s="1483" t="s">
        <v>173</v>
      </c>
      <c r="B93" s="1484"/>
      <c r="C93" s="494">
        <f>SUM(C87:C92)</f>
        <v>120749</v>
      </c>
      <c r="D93" s="494">
        <f>SUM(D87:D92)</f>
        <v>130309</v>
      </c>
      <c r="E93" s="494">
        <f>SUM(E87:E92)</f>
        <v>138447</v>
      </c>
      <c r="F93" s="495">
        <f>SUM(F87:F92)</f>
        <v>19665</v>
      </c>
      <c r="G93" s="489"/>
      <c r="H93" s="489"/>
      <c r="I93" s="489"/>
      <c r="J93" s="489"/>
      <c r="K93" s="489"/>
    </row>
    <row r="94" spans="1:11" ht="13.5" thickBot="1" thickTop="1">
      <c r="A94" s="486" t="s">
        <v>174</v>
      </c>
      <c r="B94" s="487">
        <v>214020</v>
      </c>
      <c r="C94" s="488">
        <v>32376</v>
      </c>
      <c r="D94" s="488">
        <v>38000</v>
      </c>
      <c r="E94" s="488">
        <v>35332</v>
      </c>
      <c r="F94" s="488">
        <v>3940</v>
      </c>
      <c r="G94" s="489"/>
      <c r="H94" s="489"/>
      <c r="I94" s="489"/>
      <c r="J94" s="489"/>
      <c r="K94" s="489"/>
    </row>
    <row r="95" spans="1:11" ht="14.25" customHeight="1" thickBot="1" thickTop="1">
      <c r="A95" s="1483" t="s">
        <v>1040</v>
      </c>
      <c r="B95" s="1484"/>
      <c r="C95" s="494">
        <f>SUM(C93:C94)</f>
        <v>153125</v>
      </c>
      <c r="D95" s="494">
        <f>SUM(D93:D94)</f>
        <v>168309</v>
      </c>
      <c r="E95" s="494">
        <f>SUM(E93:E94)</f>
        <v>173779</v>
      </c>
      <c r="F95" s="495">
        <f>SUM(F93:F94)</f>
        <v>23605</v>
      </c>
      <c r="G95" s="489"/>
      <c r="H95" s="489"/>
      <c r="I95" s="489"/>
      <c r="J95" s="489"/>
      <c r="K95" s="489"/>
    </row>
    <row r="96" spans="1:11" ht="13.5" thickBot="1" thickTop="1">
      <c r="A96" s="486" t="s">
        <v>175</v>
      </c>
      <c r="B96" s="487">
        <v>214210</v>
      </c>
      <c r="C96" s="488">
        <v>4658</v>
      </c>
      <c r="D96" s="488">
        <v>4931</v>
      </c>
      <c r="E96" s="488">
        <v>4842</v>
      </c>
      <c r="F96" s="488">
        <v>89</v>
      </c>
      <c r="G96" s="489"/>
      <c r="H96" s="489"/>
      <c r="I96" s="489"/>
      <c r="J96" s="489"/>
      <c r="K96" s="489"/>
    </row>
    <row r="97" spans="1:11" ht="15" customHeight="1" thickBot="1" thickTop="1">
      <c r="A97" s="1483" t="s">
        <v>176</v>
      </c>
      <c r="B97" s="1484"/>
      <c r="C97" s="494">
        <f>SUM(C95:C96)</f>
        <v>157783</v>
      </c>
      <c r="D97" s="494">
        <f>SUM(D95:D96)</f>
        <v>173240</v>
      </c>
      <c r="E97" s="494">
        <f>SUM(E95:E96)</f>
        <v>178621</v>
      </c>
      <c r="F97" s="495">
        <f>SUM(F95:F96)</f>
        <v>23694</v>
      </c>
      <c r="G97" s="489"/>
      <c r="H97" s="489"/>
      <c r="I97" s="489"/>
      <c r="J97" s="489"/>
      <c r="K97" s="489"/>
    </row>
    <row r="98" spans="1:11" ht="14.25" customHeight="1" thickTop="1">
      <c r="A98" s="486" t="s">
        <v>177</v>
      </c>
      <c r="B98" s="487">
        <v>214020</v>
      </c>
      <c r="C98" s="488">
        <v>4703</v>
      </c>
      <c r="D98" s="488">
        <v>4703</v>
      </c>
      <c r="E98" s="488">
        <v>4698</v>
      </c>
      <c r="F98" s="488">
        <v>0</v>
      </c>
      <c r="G98" s="489"/>
      <c r="H98" s="489"/>
      <c r="I98" s="489"/>
      <c r="J98" s="489"/>
      <c r="K98" s="489"/>
    </row>
    <row r="99" spans="1:11" ht="14.25" customHeight="1" thickBot="1">
      <c r="A99" s="486" t="s">
        <v>178</v>
      </c>
      <c r="B99" s="487">
        <v>214040</v>
      </c>
      <c r="C99" s="488">
        <v>47365</v>
      </c>
      <c r="D99" s="488">
        <v>43515</v>
      </c>
      <c r="E99" s="488">
        <v>49759</v>
      </c>
      <c r="F99" s="488">
        <v>154</v>
      </c>
      <c r="G99" s="489"/>
      <c r="H99" s="489"/>
      <c r="I99" s="489"/>
      <c r="J99" s="489"/>
      <c r="K99" s="489"/>
    </row>
    <row r="100" spans="1:11" ht="15" customHeight="1" thickBot="1" thickTop="1">
      <c r="A100" s="1483" t="s">
        <v>179</v>
      </c>
      <c r="B100" s="1484"/>
      <c r="C100" s="494">
        <f>SUM(C77,C86,C97,C98,C99)</f>
        <v>1337786</v>
      </c>
      <c r="D100" s="494">
        <f>SUM(D77,D86,D97,D98,D99)</f>
        <v>1606657</v>
      </c>
      <c r="E100" s="494">
        <f>SUM(E77,E86,E97,E98,E99)</f>
        <v>1746647</v>
      </c>
      <c r="F100" s="495">
        <f>SUM(F77,F86,F97,F98,F99)</f>
        <v>25383</v>
      </c>
      <c r="G100" s="489"/>
      <c r="H100" s="489"/>
      <c r="I100" s="489"/>
      <c r="J100" s="489"/>
      <c r="K100" s="489"/>
    </row>
    <row r="101" spans="1:11" ht="14.25" customHeight="1" thickTop="1">
      <c r="A101" s="486" t="s">
        <v>180</v>
      </c>
      <c r="B101" s="487">
        <v>214020</v>
      </c>
      <c r="C101" s="488">
        <v>3335</v>
      </c>
      <c r="D101" s="488">
        <v>3335</v>
      </c>
      <c r="E101" s="488">
        <v>3315</v>
      </c>
      <c r="F101" s="488">
        <v>20</v>
      </c>
      <c r="G101" s="489"/>
      <c r="H101" s="489"/>
      <c r="I101" s="489"/>
      <c r="J101" s="489"/>
      <c r="K101" s="489"/>
    </row>
    <row r="102" spans="1:11" ht="12">
      <c r="A102" s="487" t="s">
        <v>181</v>
      </c>
      <c r="B102" s="487">
        <v>214010</v>
      </c>
      <c r="C102" s="490">
        <v>0</v>
      </c>
      <c r="D102" s="490">
        <v>46708</v>
      </c>
      <c r="E102" s="490">
        <v>48951</v>
      </c>
      <c r="F102" s="490">
        <v>500</v>
      </c>
      <c r="G102" s="489"/>
      <c r="H102" s="489"/>
      <c r="I102" s="489"/>
      <c r="J102" s="489"/>
      <c r="K102" s="489"/>
    </row>
    <row r="103" spans="1:11" ht="12">
      <c r="A103" s="487" t="s">
        <v>181</v>
      </c>
      <c r="B103" s="487">
        <v>214040</v>
      </c>
      <c r="C103" s="490">
        <v>9183</v>
      </c>
      <c r="D103" s="490">
        <v>5311</v>
      </c>
      <c r="E103" s="490">
        <v>6481</v>
      </c>
      <c r="F103" s="490">
        <v>0</v>
      </c>
      <c r="G103" s="489"/>
      <c r="H103" s="489"/>
      <c r="I103" s="489"/>
      <c r="J103" s="489"/>
      <c r="K103" s="489"/>
    </row>
    <row r="104" spans="1:11" ht="14.25" customHeight="1">
      <c r="A104" s="1481" t="s">
        <v>182</v>
      </c>
      <c r="B104" s="1482"/>
      <c r="C104" s="488">
        <f>SUM(C102:C103)</f>
        <v>9183</v>
      </c>
      <c r="D104" s="488">
        <f>SUM(D102:D103)</f>
        <v>52019</v>
      </c>
      <c r="E104" s="488">
        <f>SUM(E102:E103)</f>
        <v>55432</v>
      </c>
      <c r="F104" s="488">
        <f>SUM(F102:F103)</f>
        <v>500</v>
      </c>
      <c r="G104" s="489"/>
      <c r="H104" s="489"/>
      <c r="I104" s="489"/>
      <c r="J104" s="489"/>
      <c r="K104" s="489"/>
    </row>
    <row r="105" spans="1:11" ht="14.25" customHeight="1" thickBot="1">
      <c r="A105" s="496" t="s">
        <v>183</v>
      </c>
      <c r="B105" s="497">
        <v>214040</v>
      </c>
      <c r="C105" s="498">
        <v>0</v>
      </c>
      <c r="D105" s="498">
        <v>8000</v>
      </c>
      <c r="E105" s="498">
        <v>8000</v>
      </c>
      <c r="F105" s="498">
        <v>0</v>
      </c>
      <c r="G105" s="489"/>
      <c r="H105" s="489"/>
      <c r="I105" s="489"/>
      <c r="J105" s="489"/>
      <c r="K105" s="489"/>
    </row>
    <row r="106" spans="1:11" ht="15" customHeight="1" thickBot="1" thickTop="1">
      <c r="A106" s="1483" t="s">
        <v>184</v>
      </c>
      <c r="B106" s="1484"/>
      <c r="C106" s="494">
        <f>SUM(C101,C104,C105)</f>
        <v>12518</v>
      </c>
      <c r="D106" s="494">
        <f>SUM(D101,D104,D105)</f>
        <v>63354</v>
      </c>
      <c r="E106" s="494">
        <f>SUM(E101,E104,E105)</f>
        <v>66747</v>
      </c>
      <c r="F106" s="495">
        <f>SUM(F101,F104,F105)</f>
        <v>520</v>
      </c>
      <c r="G106" s="489"/>
      <c r="H106" s="489"/>
      <c r="I106" s="489"/>
      <c r="J106" s="489"/>
      <c r="K106" s="489"/>
    </row>
    <row r="107" spans="1:11" s="525" customFormat="1" ht="15.75" customHeight="1" thickBot="1" thickTop="1">
      <c r="A107" s="1479" t="s">
        <v>185</v>
      </c>
      <c r="B107" s="1480"/>
      <c r="C107" s="534">
        <f>SUM(C34,C100,C106)</f>
        <v>6593327</v>
      </c>
      <c r="D107" s="534">
        <f>SUM(D34,D100,D106)</f>
        <v>7674448</v>
      </c>
      <c r="E107" s="534">
        <f>SUM(E34,E100,E106)</f>
        <v>7353971</v>
      </c>
      <c r="F107" s="535">
        <f>SUM(F34,F100,F106)</f>
        <v>1161080</v>
      </c>
      <c r="G107" s="536"/>
      <c r="H107" s="536"/>
      <c r="I107" s="536"/>
      <c r="J107" s="536"/>
      <c r="K107" s="536"/>
    </row>
    <row r="108" spans="1:11" ht="15" customHeight="1" thickBot="1" thickTop="1">
      <c r="A108" s="1481" t="s">
        <v>186</v>
      </c>
      <c r="B108" s="1482"/>
      <c r="C108" s="488">
        <v>0</v>
      </c>
      <c r="D108" s="488">
        <v>17500</v>
      </c>
      <c r="E108" s="488">
        <v>17497</v>
      </c>
      <c r="F108" s="488">
        <v>0</v>
      </c>
      <c r="G108" s="489"/>
      <c r="H108" s="489"/>
      <c r="I108" s="489"/>
      <c r="J108" s="489"/>
      <c r="K108" s="489"/>
    </row>
    <row r="109" spans="1:11" s="525" customFormat="1" ht="15.75" customHeight="1" thickBot="1" thickTop="1">
      <c r="A109" s="1479" t="s">
        <v>187</v>
      </c>
      <c r="B109" s="1480"/>
      <c r="C109" s="534">
        <f>SUM(C107:C108)</f>
        <v>6593327</v>
      </c>
      <c r="D109" s="534">
        <f>SUM(D107:D108)</f>
        <v>7691948</v>
      </c>
      <c r="E109" s="534">
        <f>SUM(E107:E108)</f>
        <v>7371468</v>
      </c>
      <c r="F109" s="535">
        <f>SUM(F107:F108)</f>
        <v>1161080</v>
      </c>
      <c r="G109" s="536"/>
      <c r="H109" s="536"/>
      <c r="I109" s="536"/>
      <c r="J109" s="536"/>
      <c r="K109" s="536"/>
    </row>
    <row r="110" ht="12.75" thickTop="1"/>
    <row r="112" spans="1:6" ht="12">
      <c r="A112" s="527" t="s">
        <v>1198</v>
      </c>
      <c r="B112" s="527" t="s">
        <v>1199</v>
      </c>
      <c r="F112" s="484" t="s">
        <v>2551</v>
      </c>
    </row>
  </sheetData>
  <mergeCells count="31">
    <mergeCell ref="A3:F3"/>
    <mergeCell ref="A12:B12"/>
    <mergeCell ref="A19:B19"/>
    <mergeCell ref="A28:B28"/>
    <mergeCell ref="A33:B33"/>
    <mergeCell ref="A34:B34"/>
    <mergeCell ref="A37:B37"/>
    <mergeCell ref="A40:B40"/>
    <mergeCell ref="A43:B43"/>
    <mergeCell ref="A46:B46"/>
    <mergeCell ref="A49:B49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7:B77"/>
    <mergeCell ref="A86:B86"/>
    <mergeCell ref="A93:B93"/>
    <mergeCell ref="A95:B95"/>
    <mergeCell ref="A107:B107"/>
    <mergeCell ref="A108:B108"/>
    <mergeCell ref="A109:B109"/>
    <mergeCell ref="A97:B97"/>
    <mergeCell ref="A100:B100"/>
    <mergeCell ref="A104:B104"/>
    <mergeCell ref="A106:B106"/>
  </mergeCells>
  <printOptions horizontalCentered="1"/>
  <pageMargins left="0.984251968503937" right="0.5905511811023623" top="0.984251968503937" bottom="0.7874015748031497" header="0.7086614173228347" footer="0.5118110236220472"/>
  <pageSetup fitToHeight="2" fitToWidth="1" horizontalDpi="600" verticalDpi="600" orientation="portrait" paperSize="9" scale="84" r:id="rId1"/>
  <headerFooter alignWithMargins="0">
    <oddHeader>&amp;L&amp;12  &amp;"Arial CE,Tučné" Kapitola: 314 - Ministerstvo vnitra&amp;C&amp;"Arial CE,Tučné"&amp;12
&amp;R&amp;"Arial CE,Tučné"&amp;12   Tabulka č. 13/1&amp;"Arial CE,Obyčejné"
&amp;11List:&amp;P/&amp;N</oddHeader>
    <oddFooter xml:space="preserve">&amp;C&amp;12
&amp;11&amp;P+98&amp;R&amp;12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2"/>
  <sheetViews>
    <sheetView workbookViewId="0" topLeftCell="A2273">
      <selection activeCell="B2376" sqref="B2376"/>
    </sheetView>
  </sheetViews>
  <sheetFormatPr defaultColWidth="9.00390625" defaultRowHeight="12.75"/>
  <cols>
    <col min="1" max="1" width="12.375" style="179" customWidth="1"/>
    <col min="2" max="2" width="85.625" style="179" customWidth="1"/>
    <col min="3" max="3" width="33.25390625" style="179" customWidth="1"/>
    <col min="4" max="5" width="10.75390625" style="179" customWidth="1"/>
    <col min="6" max="6" width="14.375" style="179" customWidth="1"/>
    <col min="7" max="7" width="13.25390625" style="179" customWidth="1"/>
    <col min="8" max="16384" width="9.125" style="179" customWidth="1"/>
  </cols>
  <sheetData>
    <row r="1" spans="1:6" s="543" customFormat="1" ht="16.5" customHeight="1">
      <c r="A1" s="1495" t="s">
        <v>188</v>
      </c>
      <c r="B1" s="1495"/>
      <c r="C1" s="1495"/>
      <c r="D1" s="1495"/>
      <c r="E1" s="1495"/>
      <c r="F1" s="1495"/>
    </row>
    <row r="2" spans="1:7" s="537" customFormat="1" ht="16.5" customHeight="1" thickBot="1">
      <c r="A2" s="541"/>
      <c r="B2" s="541"/>
      <c r="C2" s="541"/>
      <c r="D2" s="541"/>
      <c r="E2" s="541"/>
      <c r="F2" s="541"/>
      <c r="G2" s="542" t="s">
        <v>1037</v>
      </c>
    </row>
    <row r="3" spans="1:7" s="543" customFormat="1" ht="17.25" customHeight="1" thickBot="1">
      <c r="A3" s="544" t="s">
        <v>189</v>
      </c>
      <c r="B3" s="544" t="s">
        <v>190</v>
      </c>
      <c r="C3" s="544" t="s">
        <v>191</v>
      </c>
      <c r="D3" s="544" t="s">
        <v>1038</v>
      </c>
      <c r="E3" s="544" t="s">
        <v>1039</v>
      </c>
      <c r="F3" s="545" t="s">
        <v>1203</v>
      </c>
      <c r="G3" s="545" t="s">
        <v>1204</v>
      </c>
    </row>
    <row r="4" spans="1:11" ht="12">
      <c r="A4" s="499">
        <v>1142337001</v>
      </c>
      <c r="B4" s="538" t="s">
        <v>192</v>
      </c>
      <c r="C4" s="500" t="s">
        <v>152</v>
      </c>
      <c r="D4" s="501">
        <v>0</v>
      </c>
      <c r="E4" s="501">
        <v>30000</v>
      </c>
      <c r="F4" s="501">
        <v>30000</v>
      </c>
      <c r="G4" s="502">
        <v>0</v>
      </c>
      <c r="H4" s="503"/>
      <c r="I4" s="503"/>
      <c r="J4" s="503"/>
      <c r="K4" s="503"/>
    </row>
    <row r="5" spans="1:11" ht="12">
      <c r="A5" s="504">
        <v>1142337002</v>
      </c>
      <c r="B5" s="539" t="s">
        <v>192</v>
      </c>
      <c r="C5" s="505" t="s">
        <v>115</v>
      </c>
      <c r="D5" s="506">
        <v>0</v>
      </c>
      <c r="E5" s="506">
        <v>5000</v>
      </c>
      <c r="F5" s="506">
        <v>5000</v>
      </c>
      <c r="G5" s="507">
        <v>0</v>
      </c>
      <c r="H5" s="503"/>
      <c r="I5" s="503"/>
      <c r="J5" s="503"/>
      <c r="K5" s="503"/>
    </row>
    <row r="6" spans="1:11" ht="12">
      <c r="A6" s="504">
        <v>1142337003</v>
      </c>
      <c r="B6" s="539" t="s">
        <v>192</v>
      </c>
      <c r="C6" s="505" t="s">
        <v>154</v>
      </c>
      <c r="D6" s="506">
        <v>0</v>
      </c>
      <c r="E6" s="506">
        <v>15002</v>
      </c>
      <c r="F6" s="506">
        <v>15000</v>
      </c>
      <c r="G6" s="507">
        <v>2</v>
      </c>
      <c r="H6" s="503"/>
      <c r="I6" s="503"/>
      <c r="J6" s="503"/>
      <c r="K6" s="503"/>
    </row>
    <row r="7" spans="1:11" ht="12">
      <c r="A7" s="504">
        <v>1142337004</v>
      </c>
      <c r="B7" s="539" t="s">
        <v>193</v>
      </c>
      <c r="C7" s="505" t="s">
        <v>119</v>
      </c>
      <c r="D7" s="506">
        <v>0</v>
      </c>
      <c r="E7" s="506">
        <v>15000</v>
      </c>
      <c r="F7" s="506">
        <v>15000</v>
      </c>
      <c r="G7" s="507">
        <v>0</v>
      </c>
      <c r="H7" s="503"/>
      <c r="I7" s="503"/>
      <c r="J7" s="503"/>
      <c r="K7" s="503"/>
    </row>
    <row r="8" spans="1:11" ht="12">
      <c r="A8" s="504">
        <v>1142337005</v>
      </c>
      <c r="B8" s="539" t="s">
        <v>192</v>
      </c>
      <c r="C8" s="505" t="s">
        <v>148</v>
      </c>
      <c r="D8" s="506">
        <v>0</v>
      </c>
      <c r="E8" s="506">
        <v>15000</v>
      </c>
      <c r="F8" s="506">
        <v>15000</v>
      </c>
      <c r="G8" s="507">
        <v>0</v>
      </c>
      <c r="H8" s="503"/>
      <c r="I8" s="503"/>
      <c r="J8" s="503"/>
      <c r="K8" s="503"/>
    </row>
    <row r="9" spans="1:11" ht="12">
      <c r="A9" s="504">
        <v>1142337006</v>
      </c>
      <c r="B9" s="539" t="s">
        <v>192</v>
      </c>
      <c r="C9" s="505" t="s">
        <v>117</v>
      </c>
      <c r="D9" s="506">
        <v>0</v>
      </c>
      <c r="E9" s="506">
        <v>15000</v>
      </c>
      <c r="F9" s="506">
        <v>15000</v>
      </c>
      <c r="G9" s="507">
        <v>0</v>
      </c>
      <c r="H9" s="503"/>
      <c r="I9" s="503"/>
      <c r="J9" s="503"/>
      <c r="K9" s="503"/>
    </row>
    <row r="10" spans="1:11" ht="12">
      <c r="A10" s="504">
        <v>1142337007</v>
      </c>
      <c r="B10" s="539" t="s">
        <v>194</v>
      </c>
      <c r="C10" s="505" t="s">
        <v>156</v>
      </c>
      <c r="D10" s="506">
        <v>0</v>
      </c>
      <c r="E10" s="506">
        <v>10000</v>
      </c>
      <c r="F10" s="506">
        <v>10000</v>
      </c>
      <c r="G10" s="507">
        <v>0</v>
      </c>
      <c r="H10" s="503"/>
      <c r="I10" s="503"/>
      <c r="J10" s="503"/>
      <c r="K10" s="503"/>
    </row>
    <row r="11" spans="1:11" ht="12">
      <c r="A11" s="504">
        <v>1142337008</v>
      </c>
      <c r="B11" s="539" t="s">
        <v>192</v>
      </c>
      <c r="C11" s="505" t="s">
        <v>146</v>
      </c>
      <c r="D11" s="506">
        <v>0</v>
      </c>
      <c r="E11" s="506">
        <v>15000</v>
      </c>
      <c r="F11" s="506">
        <v>14998</v>
      </c>
      <c r="G11" s="507">
        <v>2</v>
      </c>
      <c r="H11" s="503"/>
      <c r="I11" s="503"/>
      <c r="J11" s="503"/>
      <c r="K11" s="503"/>
    </row>
    <row r="12" spans="1:11" ht="12">
      <c r="A12" s="504">
        <v>1142337009</v>
      </c>
      <c r="B12" s="539" t="s">
        <v>195</v>
      </c>
      <c r="C12" s="505" t="s">
        <v>747</v>
      </c>
      <c r="D12" s="506">
        <v>0</v>
      </c>
      <c r="E12" s="506">
        <v>14998</v>
      </c>
      <c r="F12" s="506">
        <v>14917</v>
      </c>
      <c r="G12" s="507">
        <v>80</v>
      </c>
      <c r="H12" s="503"/>
      <c r="I12" s="503"/>
      <c r="J12" s="503"/>
      <c r="K12" s="503"/>
    </row>
    <row r="13" spans="1:11" ht="12">
      <c r="A13" s="504">
        <v>1142337010</v>
      </c>
      <c r="B13" s="539" t="s">
        <v>192</v>
      </c>
      <c r="C13" s="505" t="s">
        <v>109</v>
      </c>
      <c r="D13" s="506">
        <v>0</v>
      </c>
      <c r="E13" s="506">
        <v>5000</v>
      </c>
      <c r="F13" s="506">
        <v>5000</v>
      </c>
      <c r="G13" s="507">
        <v>0</v>
      </c>
      <c r="H13" s="503"/>
      <c r="I13" s="503"/>
      <c r="J13" s="503"/>
      <c r="K13" s="503"/>
    </row>
    <row r="14" spans="1:11" ht="12">
      <c r="A14" s="504">
        <v>1142337011</v>
      </c>
      <c r="B14" s="539" t="s">
        <v>192</v>
      </c>
      <c r="C14" s="505" t="s">
        <v>111</v>
      </c>
      <c r="D14" s="506">
        <v>0</v>
      </c>
      <c r="E14" s="506">
        <v>10000</v>
      </c>
      <c r="F14" s="506">
        <v>10000</v>
      </c>
      <c r="G14" s="507">
        <v>0</v>
      </c>
      <c r="H14" s="503"/>
      <c r="I14" s="503"/>
      <c r="J14" s="503"/>
      <c r="K14" s="503"/>
    </row>
    <row r="15" spans="1:11" ht="12">
      <c r="A15" s="504">
        <v>1142337012</v>
      </c>
      <c r="B15" s="539" t="s">
        <v>196</v>
      </c>
      <c r="C15" s="505" t="s">
        <v>150</v>
      </c>
      <c r="D15" s="506">
        <v>0</v>
      </c>
      <c r="E15" s="506">
        <v>15000</v>
      </c>
      <c r="F15" s="506">
        <v>15000</v>
      </c>
      <c r="G15" s="507">
        <v>0</v>
      </c>
      <c r="H15" s="503"/>
      <c r="I15" s="503"/>
      <c r="J15" s="503"/>
      <c r="K15" s="503"/>
    </row>
    <row r="16" spans="1:11" ht="12">
      <c r="A16" s="504">
        <v>1142337013</v>
      </c>
      <c r="B16" s="539" t="s">
        <v>195</v>
      </c>
      <c r="C16" s="505" t="s">
        <v>745</v>
      </c>
      <c r="D16" s="506">
        <v>0</v>
      </c>
      <c r="E16" s="506">
        <v>10000</v>
      </c>
      <c r="F16" s="506">
        <v>10000</v>
      </c>
      <c r="G16" s="507">
        <v>0</v>
      </c>
      <c r="H16" s="503"/>
      <c r="I16" s="503"/>
      <c r="J16" s="503"/>
      <c r="K16" s="503"/>
    </row>
    <row r="17" spans="1:11" ht="12">
      <c r="A17" s="504">
        <v>1142337014</v>
      </c>
      <c r="B17" s="539" t="s">
        <v>192</v>
      </c>
      <c r="C17" s="505" t="s">
        <v>113</v>
      </c>
      <c r="D17" s="506">
        <v>0</v>
      </c>
      <c r="E17" s="506">
        <v>20000</v>
      </c>
      <c r="F17" s="506">
        <v>20000</v>
      </c>
      <c r="G17" s="507">
        <v>0</v>
      </c>
      <c r="H17" s="503"/>
      <c r="I17" s="503"/>
      <c r="J17" s="503"/>
      <c r="K17" s="503"/>
    </row>
    <row r="18" spans="1:11" ht="12.75" thickBot="1">
      <c r="A18" s="508">
        <v>1142337015</v>
      </c>
      <c r="B18" s="540" t="s">
        <v>197</v>
      </c>
      <c r="C18" s="509" t="s">
        <v>390</v>
      </c>
      <c r="D18" s="510">
        <v>200000</v>
      </c>
      <c r="E18" s="510">
        <v>5000</v>
      </c>
      <c r="F18" s="510">
        <v>5000</v>
      </c>
      <c r="G18" s="511">
        <v>0</v>
      </c>
      <c r="H18" s="503"/>
      <c r="I18" s="503"/>
      <c r="J18" s="503"/>
      <c r="K18" s="503"/>
    </row>
    <row r="19" spans="1:11" ht="12.75" thickBot="1">
      <c r="A19" s="1496" t="s">
        <v>198</v>
      </c>
      <c r="B19" s="1497"/>
      <c r="C19" s="1497"/>
      <c r="D19" s="512">
        <f>SUM(D4:D18)</f>
        <v>200000</v>
      </c>
      <c r="E19" s="512">
        <f>SUM(E4:E18)</f>
        <v>200000</v>
      </c>
      <c r="F19" s="512">
        <f>SUM(F4:F18)</f>
        <v>199915</v>
      </c>
      <c r="G19" s="512">
        <f>SUM(G4:G18)</f>
        <v>84</v>
      </c>
      <c r="H19" s="503"/>
      <c r="I19" s="503"/>
      <c r="J19" s="503"/>
      <c r="K19" s="503"/>
    </row>
    <row r="20" spans="1:11" ht="12">
      <c r="A20" s="499">
        <v>2140114031</v>
      </c>
      <c r="B20" s="538" t="s">
        <v>199</v>
      </c>
      <c r="C20" s="500" t="s">
        <v>1217</v>
      </c>
      <c r="D20" s="501">
        <v>0</v>
      </c>
      <c r="E20" s="501">
        <v>3485</v>
      </c>
      <c r="F20" s="501">
        <v>3482</v>
      </c>
      <c r="G20" s="502">
        <v>3</v>
      </c>
      <c r="H20" s="503"/>
      <c r="I20" s="503"/>
      <c r="J20" s="503"/>
      <c r="K20" s="503"/>
    </row>
    <row r="21" spans="1:11" ht="12">
      <c r="A21" s="504">
        <v>2140114051</v>
      </c>
      <c r="B21" s="539" t="s">
        <v>200</v>
      </c>
      <c r="C21" s="505" t="s">
        <v>1217</v>
      </c>
      <c r="D21" s="506">
        <v>0</v>
      </c>
      <c r="E21" s="506">
        <v>1700</v>
      </c>
      <c r="F21" s="506">
        <v>1700</v>
      </c>
      <c r="G21" s="507">
        <v>0</v>
      </c>
      <c r="H21" s="503"/>
      <c r="I21" s="503"/>
      <c r="J21" s="503"/>
      <c r="K21" s="503"/>
    </row>
    <row r="22" spans="1:11" ht="12">
      <c r="A22" s="504">
        <v>2140114072</v>
      </c>
      <c r="B22" s="539" t="s">
        <v>201</v>
      </c>
      <c r="C22" s="505" t="s">
        <v>1217</v>
      </c>
      <c r="D22" s="506">
        <v>0</v>
      </c>
      <c r="E22" s="506">
        <v>0</v>
      </c>
      <c r="F22" s="506">
        <v>369</v>
      </c>
      <c r="G22" s="507">
        <v>0</v>
      </c>
      <c r="H22" s="503"/>
      <c r="I22" s="503"/>
      <c r="J22" s="503"/>
      <c r="K22" s="503"/>
    </row>
    <row r="23" spans="1:11" ht="12">
      <c r="A23" s="504">
        <v>2140114073</v>
      </c>
      <c r="B23" s="539" t="s">
        <v>202</v>
      </c>
      <c r="C23" s="505" t="s">
        <v>1217</v>
      </c>
      <c r="D23" s="506">
        <v>0</v>
      </c>
      <c r="E23" s="506">
        <v>3228</v>
      </c>
      <c r="F23" s="506">
        <v>3227</v>
      </c>
      <c r="G23" s="507">
        <v>1</v>
      </c>
      <c r="H23" s="503"/>
      <c r="I23" s="503"/>
      <c r="J23" s="503"/>
      <c r="K23" s="503"/>
    </row>
    <row r="24" spans="1:11" ht="12">
      <c r="A24" s="504">
        <v>2140115005</v>
      </c>
      <c r="B24" s="539" t="s">
        <v>203</v>
      </c>
      <c r="C24" s="505" t="s">
        <v>1217</v>
      </c>
      <c r="D24" s="506">
        <v>0</v>
      </c>
      <c r="E24" s="506">
        <v>294</v>
      </c>
      <c r="F24" s="506">
        <v>294</v>
      </c>
      <c r="G24" s="507">
        <v>0</v>
      </c>
      <c r="H24" s="503"/>
      <c r="I24" s="503"/>
      <c r="J24" s="503"/>
      <c r="K24" s="503"/>
    </row>
    <row r="25" spans="1:11" ht="12">
      <c r="A25" s="504">
        <v>2140116001</v>
      </c>
      <c r="B25" s="539" t="s">
        <v>204</v>
      </c>
      <c r="C25" s="505" t="s">
        <v>1217</v>
      </c>
      <c r="D25" s="506">
        <v>0</v>
      </c>
      <c r="E25" s="506">
        <v>3315</v>
      </c>
      <c r="F25" s="506">
        <v>3314</v>
      </c>
      <c r="G25" s="507">
        <v>1</v>
      </c>
      <c r="H25" s="503"/>
      <c r="I25" s="503"/>
      <c r="J25" s="503"/>
      <c r="K25" s="503"/>
    </row>
    <row r="26" spans="1:11" ht="12">
      <c r="A26" s="504">
        <v>2140117001</v>
      </c>
      <c r="B26" s="539" t="s">
        <v>204</v>
      </c>
      <c r="C26" s="505" t="s">
        <v>1217</v>
      </c>
      <c r="D26" s="506">
        <v>8246</v>
      </c>
      <c r="E26" s="506">
        <v>3644</v>
      </c>
      <c r="F26" s="506">
        <v>3031</v>
      </c>
      <c r="G26" s="507">
        <v>922</v>
      </c>
      <c r="H26" s="503"/>
      <c r="I26" s="503"/>
      <c r="J26" s="503"/>
      <c r="K26" s="503"/>
    </row>
    <row r="27" spans="1:11" ht="12">
      <c r="A27" s="504">
        <v>2140117002</v>
      </c>
      <c r="B27" s="539" t="s">
        <v>205</v>
      </c>
      <c r="C27" s="505" t="s">
        <v>1217</v>
      </c>
      <c r="D27" s="506">
        <v>626</v>
      </c>
      <c r="E27" s="506">
        <v>1126</v>
      </c>
      <c r="F27" s="506">
        <v>938</v>
      </c>
      <c r="G27" s="507">
        <v>188</v>
      </c>
      <c r="H27" s="503"/>
      <c r="I27" s="503"/>
      <c r="J27" s="503"/>
      <c r="K27" s="503"/>
    </row>
    <row r="28" spans="1:11" ht="12">
      <c r="A28" s="504">
        <v>2140117003</v>
      </c>
      <c r="B28" s="539" t="s">
        <v>206</v>
      </c>
      <c r="C28" s="505" t="s">
        <v>1217</v>
      </c>
      <c r="D28" s="506">
        <v>10140</v>
      </c>
      <c r="E28" s="506">
        <v>7844</v>
      </c>
      <c r="F28" s="506">
        <v>8842</v>
      </c>
      <c r="G28" s="507">
        <v>459</v>
      </c>
      <c r="H28" s="503"/>
      <c r="I28" s="503"/>
      <c r="J28" s="503"/>
      <c r="K28" s="503"/>
    </row>
    <row r="29" spans="1:11" ht="12">
      <c r="A29" s="504">
        <v>2140117004</v>
      </c>
      <c r="B29" s="539" t="s">
        <v>207</v>
      </c>
      <c r="C29" s="505" t="s">
        <v>1217</v>
      </c>
      <c r="D29" s="506">
        <v>6160</v>
      </c>
      <c r="E29" s="506">
        <v>4047</v>
      </c>
      <c r="F29" s="506">
        <v>2348</v>
      </c>
      <c r="G29" s="507">
        <v>1699</v>
      </c>
      <c r="H29" s="503"/>
      <c r="I29" s="503"/>
      <c r="J29" s="503"/>
      <c r="K29" s="503"/>
    </row>
    <row r="30" spans="1:11" ht="12">
      <c r="A30" s="504">
        <v>2140117005</v>
      </c>
      <c r="B30" s="539" t="s">
        <v>208</v>
      </c>
      <c r="C30" s="505" t="s">
        <v>1217</v>
      </c>
      <c r="D30" s="506">
        <v>2000</v>
      </c>
      <c r="E30" s="506">
        <v>1400</v>
      </c>
      <c r="F30" s="506">
        <v>809</v>
      </c>
      <c r="G30" s="507">
        <v>591</v>
      </c>
      <c r="H30" s="503"/>
      <c r="I30" s="503"/>
      <c r="J30" s="503"/>
      <c r="K30" s="503"/>
    </row>
    <row r="31" spans="1:11" ht="12">
      <c r="A31" s="504">
        <v>2140117006</v>
      </c>
      <c r="B31" s="539" t="s">
        <v>209</v>
      </c>
      <c r="C31" s="505" t="s">
        <v>1217</v>
      </c>
      <c r="D31" s="506">
        <v>2000</v>
      </c>
      <c r="E31" s="506">
        <v>0</v>
      </c>
      <c r="F31" s="506">
        <v>0</v>
      </c>
      <c r="G31" s="507">
        <v>0</v>
      </c>
      <c r="H31" s="503"/>
      <c r="I31" s="503"/>
      <c r="J31" s="503"/>
      <c r="K31" s="503"/>
    </row>
    <row r="32" spans="1:11" ht="12">
      <c r="A32" s="504">
        <v>2140120005</v>
      </c>
      <c r="B32" s="539" t="s">
        <v>210</v>
      </c>
      <c r="C32" s="505" t="s">
        <v>1217</v>
      </c>
      <c r="D32" s="506">
        <v>17037</v>
      </c>
      <c r="E32" s="506">
        <v>0</v>
      </c>
      <c r="F32" s="506">
        <v>0</v>
      </c>
      <c r="G32" s="507">
        <v>0</v>
      </c>
      <c r="H32" s="503"/>
      <c r="I32" s="503"/>
      <c r="J32" s="503"/>
      <c r="K32" s="503"/>
    </row>
    <row r="33" spans="1:11" ht="12">
      <c r="A33" s="504">
        <v>2140126002</v>
      </c>
      <c r="B33" s="539" t="s">
        <v>211</v>
      </c>
      <c r="C33" s="505" t="s">
        <v>1217</v>
      </c>
      <c r="D33" s="506">
        <v>4150</v>
      </c>
      <c r="E33" s="506">
        <v>0</v>
      </c>
      <c r="F33" s="506">
        <v>0</v>
      </c>
      <c r="G33" s="507">
        <v>0</v>
      </c>
      <c r="H33" s="503"/>
      <c r="I33" s="503"/>
      <c r="J33" s="503"/>
      <c r="K33" s="503"/>
    </row>
    <row r="34" spans="1:11" ht="12">
      <c r="A34" s="504">
        <v>2140126004</v>
      </c>
      <c r="B34" s="539" t="s">
        <v>212</v>
      </c>
      <c r="C34" s="505" t="s">
        <v>1217</v>
      </c>
      <c r="D34" s="506">
        <v>500</v>
      </c>
      <c r="E34" s="506">
        <v>0</v>
      </c>
      <c r="F34" s="506">
        <v>0</v>
      </c>
      <c r="G34" s="507">
        <v>0</v>
      </c>
      <c r="H34" s="503"/>
      <c r="I34" s="503"/>
      <c r="J34" s="503"/>
      <c r="K34" s="503"/>
    </row>
    <row r="35" spans="1:11" ht="12">
      <c r="A35" s="504">
        <v>2140126009</v>
      </c>
      <c r="B35" s="539" t="s">
        <v>213</v>
      </c>
      <c r="C35" s="505" t="s">
        <v>181</v>
      </c>
      <c r="D35" s="506">
        <v>0</v>
      </c>
      <c r="E35" s="506">
        <v>697</v>
      </c>
      <c r="F35" s="506">
        <v>697</v>
      </c>
      <c r="G35" s="507">
        <v>0</v>
      </c>
      <c r="H35" s="503"/>
      <c r="I35" s="503"/>
      <c r="J35" s="503"/>
      <c r="K35" s="503"/>
    </row>
    <row r="36" spans="1:11" ht="12">
      <c r="A36" s="504">
        <v>2140126011</v>
      </c>
      <c r="B36" s="539" t="s">
        <v>214</v>
      </c>
      <c r="C36" s="505" t="s">
        <v>181</v>
      </c>
      <c r="D36" s="506">
        <v>0</v>
      </c>
      <c r="E36" s="506">
        <v>4572</v>
      </c>
      <c r="F36" s="506">
        <v>4572</v>
      </c>
      <c r="G36" s="507">
        <v>0</v>
      </c>
      <c r="H36" s="503"/>
      <c r="I36" s="503"/>
      <c r="J36" s="503"/>
      <c r="K36" s="503"/>
    </row>
    <row r="37" spans="1:11" ht="12">
      <c r="A37" s="504">
        <v>2140126012</v>
      </c>
      <c r="B37" s="539" t="s">
        <v>215</v>
      </c>
      <c r="C37" s="505" t="s">
        <v>1217</v>
      </c>
      <c r="D37" s="506">
        <v>0</v>
      </c>
      <c r="E37" s="506">
        <v>540</v>
      </c>
      <c r="F37" s="506">
        <v>539</v>
      </c>
      <c r="G37" s="507">
        <v>1</v>
      </c>
      <c r="H37" s="503"/>
      <c r="I37" s="503"/>
      <c r="J37" s="503"/>
      <c r="K37" s="503"/>
    </row>
    <row r="38" spans="1:11" ht="12">
      <c r="A38" s="504">
        <v>2140127002</v>
      </c>
      <c r="B38" s="539" t="s">
        <v>216</v>
      </c>
      <c r="C38" s="505" t="s">
        <v>1217</v>
      </c>
      <c r="D38" s="506">
        <v>700</v>
      </c>
      <c r="E38" s="506">
        <v>0</v>
      </c>
      <c r="F38" s="506">
        <v>0</v>
      </c>
      <c r="G38" s="507">
        <v>0</v>
      </c>
      <c r="H38" s="503"/>
      <c r="I38" s="503"/>
      <c r="J38" s="503"/>
      <c r="K38" s="503"/>
    </row>
    <row r="39" spans="1:11" ht="12">
      <c r="A39" s="504">
        <v>2140127003</v>
      </c>
      <c r="B39" s="539" t="s">
        <v>217</v>
      </c>
      <c r="C39" s="505" t="s">
        <v>1217</v>
      </c>
      <c r="D39" s="506">
        <v>163</v>
      </c>
      <c r="E39" s="506">
        <v>0</v>
      </c>
      <c r="F39" s="506">
        <v>0</v>
      </c>
      <c r="G39" s="507">
        <v>0</v>
      </c>
      <c r="H39" s="503"/>
      <c r="I39" s="503"/>
      <c r="J39" s="503"/>
      <c r="K39" s="503"/>
    </row>
    <row r="40" spans="1:11" ht="12">
      <c r="A40" s="504">
        <v>2140127004</v>
      </c>
      <c r="B40" s="539" t="s">
        <v>218</v>
      </c>
      <c r="C40" s="505" t="s">
        <v>1217</v>
      </c>
      <c r="D40" s="506">
        <v>200</v>
      </c>
      <c r="E40" s="506">
        <v>0</v>
      </c>
      <c r="F40" s="506">
        <v>0</v>
      </c>
      <c r="G40" s="507">
        <v>0</v>
      </c>
      <c r="H40" s="503"/>
      <c r="I40" s="503"/>
      <c r="J40" s="503"/>
      <c r="K40" s="503"/>
    </row>
    <row r="41" spans="1:11" ht="12">
      <c r="A41" s="504">
        <v>2140127005</v>
      </c>
      <c r="B41" s="539" t="s">
        <v>219</v>
      </c>
      <c r="C41" s="505" t="s">
        <v>1217</v>
      </c>
      <c r="D41" s="506">
        <v>250</v>
      </c>
      <c r="E41" s="506">
        <v>0</v>
      </c>
      <c r="F41" s="506">
        <v>0</v>
      </c>
      <c r="G41" s="507">
        <v>0</v>
      </c>
      <c r="H41" s="503"/>
      <c r="I41" s="503"/>
      <c r="J41" s="503"/>
      <c r="K41" s="503"/>
    </row>
    <row r="42" spans="1:11" ht="12">
      <c r="A42" s="504">
        <v>2140127006</v>
      </c>
      <c r="B42" s="539" t="s">
        <v>220</v>
      </c>
      <c r="C42" s="505" t="s">
        <v>1217</v>
      </c>
      <c r="D42" s="506">
        <v>1000</v>
      </c>
      <c r="E42" s="506">
        <v>0</v>
      </c>
      <c r="F42" s="506">
        <v>0</v>
      </c>
      <c r="G42" s="507">
        <v>0</v>
      </c>
      <c r="H42" s="503"/>
      <c r="I42" s="503"/>
      <c r="J42" s="503"/>
      <c r="K42" s="503"/>
    </row>
    <row r="43" spans="1:11" ht="12">
      <c r="A43" s="504">
        <v>2140127007</v>
      </c>
      <c r="B43" s="539" t="s">
        <v>221</v>
      </c>
      <c r="C43" s="505" t="s">
        <v>1217</v>
      </c>
      <c r="D43" s="506">
        <v>32714</v>
      </c>
      <c r="E43" s="506">
        <v>5167</v>
      </c>
      <c r="F43" s="506">
        <v>5166</v>
      </c>
      <c r="G43" s="507">
        <v>1</v>
      </c>
      <c r="H43" s="503"/>
      <c r="I43" s="503"/>
      <c r="J43" s="503"/>
      <c r="K43" s="503"/>
    </row>
    <row r="44" spans="1:11" ht="12">
      <c r="A44" s="504">
        <v>2140127008</v>
      </c>
      <c r="B44" s="539" t="s">
        <v>215</v>
      </c>
      <c r="C44" s="505" t="s">
        <v>181</v>
      </c>
      <c r="D44" s="506">
        <v>0</v>
      </c>
      <c r="E44" s="506">
        <v>18661</v>
      </c>
      <c r="F44" s="506">
        <v>18661</v>
      </c>
      <c r="G44" s="507">
        <v>0</v>
      </c>
      <c r="H44" s="503"/>
      <c r="I44" s="503"/>
      <c r="J44" s="503"/>
      <c r="K44" s="503"/>
    </row>
    <row r="45" spans="1:11" ht="12">
      <c r="A45" s="504">
        <v>2140127009</v>
      </c>
      <c r="B45" s="539" t="s">
        <v>210</v>
      </c>
      <c r="C45" s="505" t="s">
        <v>181</v>
      </c>
      <c r="D45" s="506">
        <v>0</v>
      </c>
      <c r="E45" s="506">
        <v>15204</v>
      </c>
      <c r="F45" s="506">
        <v>17954</v>
      </c>
      <c r="G45" s="507">
        <v>0</v>
      </c>
      <c r="H45" s="503"/>
      <c r="I45" s="503"/>
      <c r="J45" s="503"/>
      <c r="K45" s="503"/>
    </row>
    <row r="46" spans="1:11" ht="12">
      <c r="A46" s="504">
        <v>2140137001</v>
      </c>
      <c r="B46" s="539" t="s">
        <v>222</v>
      </c>
      <c r="C46" s="505" t="s">
        <v>1217</v>
      </c>
      <c r="D46" s="506">
        <v>300</v>
      </c>
      <c r="E46" s="506">
        <v>0</v>
      </c>
      <c r="F46" s="506">
        <v>0</v>
      </c>
      <c r="G46" s="507">
        <v>0</v>
      </c>
      <c r="H46" s="503"/>
      <c r="I46" s="503"/>
      <c r="J46" s="503"/>
      <c r="K46" s="503"/>
    </row>
    <row r="47" spans="1:11" ht="12">
      <c r="A47" s="504">
        <v>2140137002</v>
      </c>
      <c r="B47" s="539" t="s">
        <v>223</v>
      </c>
      <c r="C47" s="505" t="s">
        <v>181</v>
      </c>
      <c r="D47" s="506">
        <v>0</v>
      </c>
      <c r="E47" s="506">
        <v>5075</v>
      </c>
      <c r="F47" s="506">
        <v>5071</v>
      </c>
      <c r="G47" s="507">
        <v>0</v>
      </c>
      <c r="H47" s="503"/>
      <c r="I47" s="503"/>
      <c r="J47" s="503"/>
      <c r="K47" s="503"/>
    </row>
    <row r="48" spans="1:11" ht="12">
      <c r="A48" s="504">
        <v>2140137003</v>
      </c>
      <c r="B48" s="539" t="s">
        <v>877</v>
      </c>
      <c r="C48" s="505" t="s">
        <v>181</v>
      </c>
      <c r="D48" s="506">
        <v>0</v>
      </c>
      <c r="E48" s="506">
        <v>1622</v>
      </c>
      <c r="F48" s="506">
        <v>1622</v>
      </c>
      <c r="G48" s="507">
        <v>0</v>
      </c>
      <c r="H48" s="503"/>
      <c r="I48" s="503"/>
      <c r="J48" s="503"/>
      <c r="K48" s="503"/>
    </row>
    <row r="49" spans="1:11" ht="12">
      <c r="A49" s="504">
        <v>2140137002</v>
      </c>
      <c r="B49" s="539" t="s">
        <v>223</v>
      </c>
      <c r="C49" s="505" t="s">
        <v>1217</v>
      </c>
      <c r="D49" s="506">
        <v>3200</v>
      </c>
      <c r="E49" s="506">
        <v>0</v>
      </c>
      <c r="F49" s="506">
        <v>0</v>
      </c>
      <c r="G49" s="507">
        <v>0</v>
      </c>
      <c r="H49" s="503"/>
      <c r="I49" s="503"/>
      <c r="J49" s="503"/>
      <c r="K49" s="503"/>
    </row>
    <row r="50" spans="1:11" ht="12">
      <c r="A50" s="504">
        <v>2140137003</v>
      </c>
      <c r="B50" s="539" t="s">
        <v>877</v>
      </c>
      <c r="C50" s="505" t="s">
        <v>1217</v>
      </c>
      <c r="D50" s="506">
        <v>1500</v>
      </c>
      <c r="E50" s="506">
        <v>0</v>
      </c>
      <c r="F50" s="506">
        <v>0</v>
      </c>
      <c r="G50" s="507">
        <v>0</v>
      </c>
      <c r="H50" s="503"/>
      <c r="I50" s="503"/>
      <c r="J50" s="503"/>
      <c r="K50" s="503"/>
    </row>
    <row r="51" spans="1:11" ht="12">
      <c r="A51" s="504">
        <v>2140137004</v>
      </c>
      <c r="B51" s="539" t="s">
        <v>878</v>
      </c>
      <c r="C51" s="505" t="s">
        <v>1217</v>
      </c>
      <c r="D51" s="506">
        <v>500</v>
      </c>
      <c r="E51" s="506">
        <v>0</v>
      </c>
      <c r="F51" s="506">
        <v>0</v>
      </c>
      <c r="G51" s="507">
        <v>0</v>
      </c>
      <c r="H51" s="503"/>
      <c r="I51" s="503"/>
      <c r="J51" s="503"/>
      <c r="K51" s="503"/>
    </row>
    <row r="52" spans="1:11" ht="12">
      <c r="A52" s="504">
        <v>2140137005</v>
      </c>
      <c r="B52" s="539" t="s">
        <v>879</v>
      </c>
      <c r="C52" s="505" t="s">
        <v>1217</v>
      </c>
      <c r="D52" s="506">
        <v>6740</v>
      </c>
      <c r="E52" s="506">
        <v>929</v>
      </c>
      <c r="F52" s="506">
        <v>924</v>
      </c>
      <c r="G52" s="507">
        <v>4</v>
      </c>
      <c r="H52" s="503"/>
      <c r="I52" s="503"/>
      <c r="J52" s="503"/>
      <c r="K52" s="503"/>
    </row>
    <row r="53" spans="1:11" ht="12">
      <c r="A53" s="504">
        <v>2140137006</v>
      </c>
      <c r="B53" s="539" t="s">
        <v>878</v>
      </c>
      <c r="C53" s="505" t="s">
        <v>181</v>
      </c>
      <c r="D53" s="506">
        <v>0</v>
      </c>
      <c r="E53" s="506">
        <v>500</v>
      </c>
      <c r="F53" s="506">
        <v>0</v>
      </c>
      <c r="G53" s="507">
        <v>500</v>
      </c>
      <c r="H53" s="503"/>
      <c r="I53" s="503"/>
      <c r="J53" s="503"/>
      <c r="K53" s="503"/>
    </row>
    <row r="54" spans="1:11" ht="12">
      <c r="A54" s="504">
        <v>2140137007</v>
      </c>
      <c r="B54" s="539" t="s">
        <v>222</v>
      </c>
      <c r="C54" s="505" t="s">
        <v>181</v>
      </c>
      <c r="D54" s="506">
        <v>0</v>
      </c>
      <c r="E54" s="506">
        <v>377</v>
      </c>
      <c r="F54" s="506">
        <v>374</v>
      </c>
      <c r="G54" s="507">
        <v>0</v>
      </c>
      <c r="H54" s="503"/>
      <c r="I54" s="503"/>
      <c r="J54" s="503"/>
      <c r="K54" s="503"/>
    </row>
    <row r="55" spans="1:11" ht="12">
      <c r="A55" s="504">
        <v>2140147001</v>
      </c>
      <c r="B55" s="539" t="s">
        <v>880</v>
      </c>
      <c r="C55" s="505" t="s">
        <v>1217</v>
      </c>
      <c r="D55" s="506">
        <v>0</v>
      </c>
      <c r="E55" s="506">
        <v>1400</v>
      </c>
      <c r="F55" s="506">
        <v>1395</v>
      </c>
      <c r="G55" s="507">
        <v>5</v>
      </c>
      <c r="H55" s="503"/>
      <c r="I55" s="503"/>
      <c r="J55" s="503"/>
      <c r="K55" s="503"/>
    </row>
    <row r="56" spans="1:11" ht="12">
      <c r="A56" s="504">
        <v>2140147002</v>
      </c>
      <c r="B56" s="539" t="s">
        <v>881</v>
      </c>
      <c r="C56" s="505" t="s">
        <v>1217</v>
      </c>
      <c r="D56" s="506">
        <v>0</v>
      </c>
      <c r="E56" s="506">
        <v>140</v>
      </c>
      <c r="F56" s="506">
        <v>119</v>
      </c>
      <c r="G56" s="507">
        <v>21</v>
      </c>
      <c r="H56" s="503"/>
      <c r="I56" s="503"/>
      <c r="J56" s="503"/>
      <c r="K56" s="503"/>
    </row>
    <row r="57" spans="1:11" ht="12">
      <c r="A57" s="504">
        <v>2140147003</v>
      </c>
      <c r="B57" s="539" t="s">
        <v>882</v>
      </c>
      <c r="C57" s="505" t="s">
        <v>1217</v>
      </c>
      <c r="D57" s="506">
        <v>0</v>
      </c>
      <c r="E57" s="506">
        <v>61</v>
      </c>
      <c r="F57" s="506">
        <v>0</v>
      </c>
      <c r="G57" s="507">
        <v>61</v>
      </c>
      <c r="H57" s="503"/>
      <c r="I57" s="503"/>
      <c r="J57" s="503"/>
      <c r="K57" s="503"/>
    </row>
    <row r="58" spans="1:11" ht="12">
      <c r="A58" s="504">
        <v>2140147004</v>
      </c>
      <c r="B58" s="539" t="s">
        <v>883</v>
      </c>
      <c r="C58" s="505" t="s">
        <v>1217</v>
      </c>
      <c r="D58" s="506">
        <v>0</v>
      </c>
      <c r="E58" s="506">
        <v>60</v>
      </c>
      <c r="F58" s="506">
        <v>0</v>
      </c>
      <c r="G58" s="507">
        <v>60</v>
      </c>
      <c r="H58" s="503"/>
      <c r="I58" s="503"/>
      <c r="J58" s="503"/>
      <c r="K58" s="503"/>
    </row>
    <row r="59" spans="1:11" ht="12">
      <c r="A59" s="504">
        <v>2140147005</v>
      </c>
      <c r="B59" s="539" t="s">
        <v>884</v>
      </c>
      <c r="C59" s="505" t="s">
        <v>1217</v>
      </c>
      <c r="D59" s="506">
        <v>0</v>
      </c>
      <c r="E59" s="506">
        <v>104</v>
      </c>
      <c r="F59" s="506">
        <v>82</v>
      </c>
      <c r="G59" s="507">
        <v>22</v>
      </c>
      <c r="H59" s="503"/>
      <c r="I59" s="503"/>
      <c r="J59" s="503"/>
      <c r="K59" s="503"/>
    </row>
    <row r="60" spans="1:11" ht="12">
      <c r="A60" s="504">
        <v>2140157001</v>
      </c>
      <c r="B60" s="539" t="s">
        <v>885</v>
      </c>
      <c r="C60" s="505" t="s">
        <v>1217</v>
      </c>
      <c r="D60" s="506">
        <v>0</v>
      </c>
      <c r="E60" s="506">
        <v>2081</v>
      </c>
      <c r="F60" s="506">
        <v>1653</v>
      </c>
      <c r="G60" s="507">
        <v>428</v>
      </c>
      <c r="H60" s="503"/>
      <c r="I60" s="503"/>
      <c r="J60" s="503"/>
      <c r="K60" s="503"/>
    </row>
    <row r="61" spans="1:11" ht="12.75" thickBot="1">
      <c r="A61" s="508">
        <v>2140157002</v>
      </c>
      <c r="B61" s="540" t="s">
        <v>886</v>
      </c>
      <c r="C61" s="509" t="s">
        <v>1217</v>
      </c>
      <c r="D61" s="510">
        <v>0</v>
      </c>
      <c r="E61" s="510">
        <v>65</v>
      </c>
      <c r="F61" s="510">
        <v>50</v>
      </c>
      <c r="G61" s="511">
        <v>15</v>
      </c>
      <c r="H61" s="503"/>
      <c r="I61" s="503"/>
      <c r="J61" s="503"/>
      <c r="K61" s="503"/>
    </row>
    <row r="62" spans="1:11" ht="12.75" thickBot="1">
      <c r="A62" s="1489" t="s">
        <v>887</v>
      </c>
      <c r="B62" s="1490"/>
      <c r="C62" s="1490"/>
      <c r="D62" s="512">
        <f>SUM(D20:D61)</f>
        <v>98126</v>
      </c>
      <c r="E62" s="512">
        <f>SUM(E20:E61)</f>
        <v>87338</v>
      </c>
      <c r="F62" s="512">
        <f>SUM(F20:F61)</f>
        <v>87233</v>
      </c>
      <c r="G62" s="512">
        <f>SUM(G20:G61)</f>
        <v>4982</v>
      </c>
      <c r="H62" s="503"/>
      <c r="I62" s="503"/>
      <c r="J62" s="503"/>
      <c r="K62" s="503"/>
    </row>
    <row r="63" spans="1:11" ht="12">
      <c r="A63" s="499">
        <v>2140217001</v>
      </c>
      <c r="B63" s="538" t="s">
        <v>888</v>
      </c>
      <c r="C63" s="500" t="s">
        <v>1041</v>
      </c>
      <c r="D63" s="501">
        <v>900</v>
      </c>
      <c r="E63" s="501">
        <v>1500</v>
      </c>
      <c r="F63" s="501">
        <v>1499</v>
      </c>
      <c r="G63" s="502">
        <v>1</v>
      </c>
      <c r="H63" s="503"/>
      <c r="I63" s="503"/>
      <c r="J63" s="503"/>
      <c r="K63" s="503"/>
    </row>
    <row r="64" spans="1:11" ht="12">
      <c r="A64" s="504">
        <v>2140217002</v>
      </c>
      <c r="B64" s="539" t="s">
        <v>1921</v>
      </c>
      <c r="C64" s="505" t="s">
        <v>1041</v>
      </c>
      <c r="D64" s="506">
        <v>1110</v>
      </c>
      <c r="E64" s="506">
        <v>1593</v>
      </c>
      <c r="F64" s="506">
        <v>1579</v>
      </c>
      <c r="G64" s="507">
        <v>14</v>
      </c>
      <c r="H64" s="503"/>
      <c r="I64" s="503"/>
      <c r="J64" s="503"/>
      <c r="K64" s="503"/>
    </row>
    <row r="65" spans="1:11" ht="12">
      <c r="A65" s="504">
        <v>2140217003</v>
      </c>
      <c r="B65" s="539" t="s">
        <v>1922</v>
      </c>
      <c r="C65" s="505" t="s">
        <v>1041</v>
      </c>
      <c r="D65" s="506">
        <v>526</v>
      </c>
      <c r="E65" s="506">
        <v>341</v>
      </c>
      <c r="F65" s="506">
        <v>341</v>
      </c>
      <c r="G65" s="507">
        <v>0</v>
      </c>
      <c r="H65" s="503"/>
      <c r="I65" s="503"/>
      <c r="J65" s="503"/>
      <c r="K65" s="503"/>
    </row>
    <row r="66" spans="1:11" ht="12">
      <c r="A66" s="504">
        <v>2140217004</v>
      </c>
      <c r="B66" s="539" t="s">
        <v>1923</v>
      </c>
      <c r="C66" s="505" t="s">
        <v>1041</v>
      </c>
      <c r="D66" s="506">
        <v>400</v>
      </c>
      <c r="E66" s="506">
        <v>557</v>
      </c>
      <c r="F66" s="506">
        <v>460</v>
      </c>
      <c r="G66" s="507">
        <v>97</v>
      </c>
      <c r="H66" s="503"/>
      <c r="I66" s="503"/>
      <c r="J66" s="503"/>
      <c r="K66" s="503"/>
    </row>
    <row r="67" spans="1:11" ht="12">
      <c r="A67" s="504">
        <v>2140217005</v>
      </c>
      <c r="B67" s="539" t="s">
        <v>1924</v>
      </c>
      <c r="C67" s="505" t="s">
        <v>1041</v>
      </c>
      <c r="D67" s="506">
        <v>470</v>
      </c>
      <c r="E67" s="506">
        <v>490</v>
      </c>
      <c r="F67" s="506">
        <v>484</v>
      </c>
      <c r="G67" s="507">
        <v>6</v>
      </c>
      <c r="H67" s="503"/>
      <c r="I67" s="503"/>
      <c r="J67" s="503"/>
      <c r="K67" s="503"/>
    </row>
    <row r="68" spans="1:11" ht="12">
      <c r="A68" s="504">
        <v>2140217006</v>
      </c>
      <c r="B68" s="539" t="s">
        <v>1925</v>
      </c>
      <c r="C68" s="505" t="s">
        <v>1041</v>
      </c>
      <c r="D68" s="506">
        <v>20</v>
      </c>
      <c r="E68" s="506">
        <v>0</v>
      </c>
      <c r="F68" s="506">
        <v>0</v>
      </c>
      <c r="G68" s="507">
        <v>0</v>
      </c>
      <c r="H68" s="503"/>
      <c r="I68" s="503"/>
      <c r="J68" s="503"/>
      <c r="K68" s="503"/>
    </row>
    <row r="69" spans="1:11" ht="12">
      <c r="A69" s="504">
        <v>2140217007</v>
      </c>
      <c r="B69" s="539" t="s">
        <v>1926</v>
      </c>
      <c r="C69" s="505" t="s">
        <v>1927</v>
      </c>
      <c r="D69" s="506">
        <v>250</v>
      </c>
      <c r="E69" s="506">
        <v>137</v>
      </c>
      <c r="F69" s="506">
        <v>137</v>
      </c>
      <c r="G69" s="507">
        <v>0</v>
      </c>
      <c r="H69" s="503"/>
      <c r="I69" s="503"/>
      <c r="J69" s="503"/>
      <c r="K69" s="503"/>
    </row>
    <row r="70" spans="1:11" ht="12">
      <c r="A70" s="504">
        <v>2140217008</v>
      </c>
      <c r="B70" s="539" t="s">
        <v>1928</v>
      </c>
      <c r="C70" s="505" t="s">
        <v>1927</v>
      </c>
      <c r="D70" s="506">
        <v>300</v>
      </c>
      <c r="E70" s="506">
        <v>462</v>
      </c>
      <c r="F70" s="506">
        <v>461</v>
      </c>
      <c r="G70" s="507">
        <v>1</v>
      </c>
      <c r="H70" s="503"/>
      <c r="I70" s="503"/>
      <c r="J70" s="503"/>
      <c r="K70" s="503"/>
    </row>
    <row r="71" spans="1:11" ht="12">
      <c r="A71" s="504">
        <v>2140217009</v>
      </c>
      <c r="B71" s="539" t="s">
        <v>224</v>
      </c>
      <c r="C71" s="505" t="s">
        <v>1927</v>
      </c>
      <c r="D71" s="506">
        <v>184</v>
      </c>
      <c r="E71" s="506">
        <v>24</v>
      </c>
      <c r="F71" s="506">
        <v>24</v>
      </c>
      <c r="G71" s="507">
        <v>0</v>
      </c>
      <c r="H71" s="503"/>
      <c r="I71" s="503"/>
      <c r="J71" s="503"/>
      <c r="K71" s="503"/>
    </row>
    <row r="72" spans="1:11" ht="12">
      <c r="A72" s="504">
        <v>2140217010</v>
      </c>
      <c r="B72" s="539" t="s">
        <v>225</v>
      </c>
      <c r="C72" s="505" t="s">
        <v>1927</v>
      </c>
      <c r="D72" s="506">
        <v>1911</v>
      </c>
      <c r="E72" s="506">
        <v>1764</v>
      </c>
      <c r="F72" s="506">
        <v>1763</v>
      </c>
      <c r="G72" s="507">
        <v>1</v>
      </c>
      <c r="H72" s="503"/>
      <c r="I72" s="503"/>
      <c r="J72" s="503"/>
      <c r="K72" s="503"/>
    </row>
    <row r="73" spans="1:11" ht="12">
      <c r="A73" s="504">
        <v>2140217011</v>
      </c>
      <c r="B73" s="539" t="s">
        <v>226</v>
      </c>
      <c r="C73" s="505" t="s">
        <v>1927</v>
      </c>
      <c r="D73" s="506">
        <v>155</v>
      </c>
      <c r="E73" s="506">
        <v>478</v>
      </c>
      <c r="F73" s="506">
        <v>477</v>
      </c>
      <c r="G73" s="507">
        <v>1</v>
      </c>
      <c r="H73" s="503"/>
      <c r="I73" s="503"/>
      <c r="J73" s="503"/>
      <c r="K73" s="503"/>
    </row>
    <row r="74" spans="1:11" ht="12">
      <c r="A74" s="504">
        <v>2140217012</v>
      </c>
      <c r="B74" s="539" t="s">
        <v>227</v>
      </c>
      <c r="C74" s="505" t="s">
        <v>1927</v>
      </c>
      <c r="D74" s="506">
        <v>1540</v>
      </c>
      <c r="E74" s="506">
        <v>1452</v>
      </c>
      <c r="F74" s="506">
        <v>1452</v>
      </c>
      <c r="G74" s="507">
        <v>0</v>
      </c>
      <c r="H74" s="503"/>
      <c r="I74" s="503"/>
      <c r="J74" s="503"/>
      <c r="K74" s="503"/>
    </row>
    <row r="75" spans="1:11" ht="12">
      <c r="A75" s="504">
        <v>2140217013</v>
      </c>
      <c r="B75" s="539" t="s">
        <v>228</v>
      </c>
      <c r="C75" s="505" t="s">
        <v>1927</v>
      </c>
      <c r="D75" s="506">
        <v>1434</v>
      </c>
      <c r="E75" s="506">
        <v>1525</v>
      </c>
      <c r="F75" s="506">
        <v>1525</v>
      </c>
      <c r="G75" s="507">
        <v>0</v>
      </c>
      <c r="H75" s="503"/>
      <c r="I75" s="503"/>
      <c r="J75" s="503"/>
      <c r="K75" s="503"/>
    </row>
    <row r="76" spans="1:11" ht="12">
      <c r="A76" s="504">
        <v>2140217014</v>
      </c>
      <c r="B76" s="539" t="s">
        <v>1922</v>
      </c>
      <c r="C76" s="505" t="s">
        <v>1927</v>
      </c>
      <c r="D76" s="506">
        <v>500</v>
      </c>
      <c r="E76" s="506">
        <v>507</v>
      </c>
      <c r="F76" s="506">
        <v>506</v>
      </c>
      <c r="G76" s="507">
        <v>1</v>
      </c>
      <c r="H76" s="503"/>
      <c r="I76" s="503"/>
      <c r="J76" s="503"/>
      <c r="K76" s="503"/>
    </row>
    <row r="77" spans="1:11" ht="12">
      <c r="A77" s="504">
        <v>2140217015</v>
      </c>
      <c r="B77" s="539" t="s">
        <v>229</v>
      </c>
      <c r="C77" s="505" t="s">
        <v>230</v>
      </c>
      <c r="D77" s="506">
        <v>1000</v>
      </c>
      <c r="E77" s="506">
        <v>1165</v>
      </c>
      <c r="F77" s="506">
        <v>1165</v>
      </c>
      <c r="G77" s="507">
        <v>0</v>
      </c>
      <c r="H77" s="503"/>
      <c r="I77" s="503"/>
      <c r="J77" s="503"/>
      <c r="K77" s="503"/>
    </row>
    <row r="78" spans="1:11" ht="12">
      <c r="A78" s="504">
        <v>2140217016</v>
      </c>
      <c r="B78" s="539" t="s">
        <v>231</v>
      </c>
      <c r="C78" s="505" t="s">
        <v>230</v>
      </c>
      <c r="D78" s="506">
        <v>385</v>
      </c>
      <c r="E78" s="506">
        <v>311</v>
      </c>
      <c r="F78" s="506">
        <v>311</v>
      </c>
      <c r="G78" s="507">
        <v>0</v>
      </c>
      <c r="H78" s="503"/>
      <c r="I78" s="503"/>
      <c r="J78" s="503"/>
      <c r="K78" s="503"/>
    </row>
    <row r="79" spans="1:11" ht="12">
      <c r="A79" s="504">
        <v>2140217017</v>
      </c>
      <c r="B79" s="539" t="s">
        <v>232</v>
      </c>
      <c r="C79" s="505" t="s">
        <v>230</v>
      </c>
      <c r="D79" s="506">
        <v>435</v>
      </c>
      <c r="E79" s="506">
        <v>304</v>
      </c>
      <c r="F79" s="506">
        <v>293</v>
      </c>
      <c r="G79" s="507">
        <v>11</v>
      </c>
      <c r="H79" s="503"/>
      <c r="I79" s="503"/>
      <c r="J79" s="503"/>
      <c r="K79" s="503"/>
    </row>
    <row r="80" spans="1:11" ht="12">
      <c r="A80" s="504">
        <v>2140217018</v>
      </c>
      <c r="B80" s="539" t="s">
        <v>233</v>
      </c>
      <c r="C80" s="505" t="s">
        <v>230</v>
      </c>
      <c r="D80" s="506">
        <v>650</v>
      </c>
      <c r="E80" s="506">
        <v>555</v>
      </c>
      <c r="F80" s="506">
        <v>566</v>
      </c>
      <c r="G80" s="507">
        <v>16</v>
      </c>
      <c r="H80" s="503"/>
      <c r="I80" s="503"/>
      <c r="J80" s="503"/>
      <c r="K80" s="503"/>
    </row>
    <row r="81" spans="1:11" ht="12">
      <c r="A81" s="504">
        <v>2140217019</v>
      </c>
      <c r="B81" s="539" t="s">
        <v>1323</v>
      </c>
      <c r="C81" s="505" t="s">
        <v>230</v>
      </c>
      <c r="D81" s="506">
        <v>586</v>
      </c>
      <c r="E81" s="506">
        <v>494</v>
      </c>
      <c r="F81" s="506">
        <v>493</v>
      </c>
      <c r="G81" s="507">
        <v>1</v>
      </c>
      <c r="H81" s="503"/>
      <c r="I81" s="503"/>
      <c r="J81" s="503"/>
      <c r="K81" s="503"/>
    </row>
    <row r="82" spans="1:11" ht="12">
      <c r="A82" s="504">
        <v>2140217020</v>
      </c>
      <c r="B82" s="539" t="s">
        <v>1324</v>
      </c>
      <c r="C82" s="505" t="s">
        <v>1325</v>
      </c>
      <c r="D82" s="506">
        <v>220</v>
      </c>
      <c r="E82" s="506">
        <v>166</v>
      </c>
      <c r="F82" s="506">
        <v>166</v>
      </c>
      <c r="G82" s="507">
        <v>0</v>
      </c>
      <c r="H82" s="503"/>
      <c r="I82" s="503"/>
      <c r="J82" s="503"/>
      <c r="K82" s="503"/>
    </row>
    <row r="83" spans="1:11" ht="12">
      <c r="A83" s="504">
        <v>2140217021</v>
      </c>
      <c r="B83" s="539" t="s">
        <v>1326</v>
      </c>
      <c r="C83" s="505" t="s">
        <v>1325</v>
      </c>
      <c r="D83" s="506">
        <v>190</v>
      </c>
      <c r="E83" s="506">
        <v>148</v>
      </c>
      <c r="F83" s="506">
        <v>148</v>
      </c>
      <c r="G83" s="507">
        <v>0</v>
      </c>
      <c r="H83" s="503"/>
      <c r="I83" s="503"/>
      <c r="J83" s="503"/>
      <c r="K83" s="503"/>
    </row>
    <row r="84" spans="1:11" ht="12">
      <c r="A84" s="504">
        <v>2140217022</v>
      </c>
      <c r="B84" s="539" t="s">
        <v>1327</v>
      </c>
      <c r="C84" s="505" t="s">
        <v>1325</v>
      </c>
      <c r="D84" s="506">
        <v>554</v>
      </c>
      <c r="E84" s="506">
        <v>503</v>
      </c>
      <c r="F84" s="506">
        <v>503</v>
      </c>
      <c r="G84" s="507">
        <v>0</v>
      </c>
      <c r="H84" s="503"/>
      <c r="I84" s="503"/>
      <c r="J84" s="503"/>
      <c r="K84" s="503"/>
    </row>
    <row r="85" spans="1:11" ht="12">
      <c r="A85" s="504">
        <v>2140217023</v>
      </c>
      <c r="B85" s="539" t="s">
        <v>1328</v>
      </c>
      <c r="C85" s="505" t="s">
        <v>1325</v>
      </c>
      <c r="D85" s="506">
        <v>536</v>
      </c>
      <c r="E85" s="506">
        <v>856</v>
      </c>
      <c r="F85" s="506">
        <v>855</v>
      </c>
      <c r="G85" s="507">
        <v>0</v>
      </c>
      <c r="H85" s="503"/>
      <c r="I85" s="503"/>
      <c r="J85" s="503"/>
      <c r="K85" s="503"/>
    </row>
    <row r="86" spans="1:11" ht="12">
      <c r="A86" s="504">
        <v>2140217024</v>
      </c>
      <c r="B86" s="539" t="s">
        <v>1922</v>
      </c>
      <c r="C86" s="505" t="s">
        <v>172</v>
      </c>
      <c r="D86" s="506">
        <v>225</v>
      </c>
      <c r="E86" s="506">
        <v>271</v>
      </c>
      <c r="F86" s="506">
        <v>271</v>
      </c>
      <c r="G86" s="507">
        <v>0</v>
      </c>
      <c r="H86" s="503"/>
      <c r="I86" s="503"/>
      <c r="J86" s="503"/>
      <c r="K86" s="503"/>
    </row>
    <row r="87" spans="1:11" ht="12">
      <c r="A87" s="504">
        <v>2140217025</v>
      </c>
      <c r="B87" s="539" t="s">
        <v>1329</v>
      </c>
      <c r="C87" s="505" t="s">
        <v>172</v>
      </c>
      <c r="D87" s="506">
        <v>263</v>
      </c>
      <c r="E87" s="506">
        <v>163</v>
      </c>
      <c r="F87" s="506">
        <v>163</v>
      </c>
      <c r="G87" s="507">
        <v>0</v>
      </c>
      <c r="H87" s="503"/>
      <c r="I87" s="503"/>
      <c r="J87" s="503"/>
      <c r="K87" s="503"/>
    </row>
    <row r="88" spans="1:11" ht="12">
      <c r="A88" s="504">
        <v>2140217026</v>
      </c>
      <c r="B88" s="539" t="s">
        <v>1330</v>
      </c>
      <c r="C88" s="505" t="s">
        <v>172</v>
      </c>
      <c r="D88" s="506">
        <v>156</v>
      </c>
      <c r="E88" s="506">
        <v>156</v>
      </c>
      <c r="F88" s="506">
        <v>156</v>
      </c>
      <c r="G88" s="507">
        <v>0</v>
      </c>
      <c r="H88" s="503"/>
      <c r="I88" s="503"/>
      <c r="J88" s="503"/>
      <c r="K88" s="503"/>
    </row>
    <row r="89" spans="1:11" ht="12">
      <c r="A89" s="504">
        <v>2140217027</v>
      </c>
      <c r="B89" s="539" t="s">
        <v>1331</v>
      </c>
      <c r="C89" s="505" t="s">
        <v>1332</v>
      </c>
      <c r="D89" s="506">
        <v>200</v>
      </c>
      <c r="E89" s="506">
        <v>0</v>
      </c>
      <c r="F89" s="506">
        <v>0</v>
      </c>
      <c r="G89" s="507">
        <v>0</v>
      </c>
      <c r="H89" s="503"/>
      <c r="I89" s="503"/>
      <c r="J89" s="503"/>
      <c r="K89" s="503"/>
    </row>
    <row r="90" spans="1:11" ht="12">
      <c r="A90" s="504">
        <v>2140217028</v>
      </c>
      <c r="B90" s="539" t="s">
        <v>1333</v>
      </c>
      <c r="C90" s="505" t="s">
        <v>1332</v>
      </c>
      <c r="D90" s="506">
        <v>430</v>
      </c>
      <c r="E90" s="506">
        <v>0</v>
      </c>
      <c r="F90" s="506">
        <v>0</v>
      </c>
      <c r="G90" s="507">
        <v>0</v>
      </c>
      <c r="H90" s="503"/>
      <c r="I90" s="503"/>
      <c r="J90" s="503"/>
      <c r="K90" s="503"/>
    </row>
    <row r="91" spans="1:11" ht="12">
      <c r="A91" s="504">
        <v>2140217029</v>
      </c>
      <c r="B91" s="539" t="s">
        <v>1334</v>
      </c>
      <c r="C91" s="505" t="s">
        <v>1332</v>
      </c>
      <c r="D91" s="506">
        <v>840</v>
      </c>
      <c r="E91" s="506">
        <v>772</v>
      </c>
      <c r="F91" s="506">
        <v>771</v>
      </c>
      <c r="G91" s="507">
        <v>1</v>
      </c>
      <c r="H91" s="503"/>
      <c r="I91" s="503"/>
      <c r="J91" s="503"/>
      <c r="K91" s="503"/>
    </row>
    <row r="92" spans="1:11" ht="12">
      <c r="A92" s="504">
        <v>2140217030</v>
      </c>
      <c r="B92" s="539" t="s">
        <v>1335</v>
      </c>
      <c r="C92" s="505" t="s">
        <v>1332</v>
      </c>
      <c r="D92" s="506">
        <v>120</v>
      </c>
      <c r="E92" s="506">
        <v>951</v>
      </c>
      <c r="F92" s="506">
        <v>951</v>
      </c>
      <c r="G92" s="507">
        <v>0</v>
      </c>
      <c r="H92" s="503"/>
      <c r="I92" s="503"/>
      <c r="J92" s="503"/>
      <c r="K92" s="503"/>
    </row>
    <row r="93" spans="1:11" ht="12">
      <c r="A93" s="504">
        <v>2140217031</v>
      </c>
      <c r="B93" s="539" t="s">
        <v>1336</v>
      </c>
      <c r="C93" s="505" t="s">
        <v>1332</v>
      </c>
      <c r="D93" s="506">
        <v>215</v>
      </c>
      <c r="E93" s="506">
        <v>149</v>
      </c>
      <c r="F93" s="506">
        <v>149</v>
      </c>
      <c r="G93" s="507">
        <v>0</v>
      </c>
      <c r="H93" s="503"/>
      <c r="I93" s="503"/>
      <c r="J93" s="503"/>
      <c r="K93" s="503"/>
    </row>
    <row r="94" spans="1:11" ht="12">
      <c r="A94" s="504">
        <v>2140217032</v>
      </c>
      <c r="B94" s="539" t="s">
        <v>1337</v>
      </c>
      <c r="C94" s="505" t="s">
        <v>1332</v>
      </c>
      <c r="D94" s="506">
        <v>720</v>
      </c>
      <c r="E94" s="506">
        <v>720</v>
      </c>
      <c r="F94" s="506">
        <v>720</v>
      </c>
      <c r="G94" s="507">
        <v>0</v>
      </c>
      <c r="H94" s="503"/>
      <c r="I94" s="503"/>
      <c r="J94" s="503"/>
      <c r="K94" s="503"/>
    </row>
    <row r="95" spans="1:11" ht="12">
      <c r="A95" s="504">
        <v>2140217033</v>
      </c>
      <c r="B95" s="539" t="s">
        <v>1338</v>
      </c>
      <c r="C95" s="505" t="s">
        <v>1332</v>
      </c>
      <c r="D95" s="506">
        <v>1980</v>
      </c>
      <c r="E95" s="506">
        <v>1987</v>
      </c>
      <c r="F95" s="506">
        <v>1986</v>
      </c>
      <c r="G95" s="507">
        <v>1</v>
      </c>
      <c r="H95" s="503"/>
      <c r="I95" s="503"/>
      <c r="J95" s="503"/>
      <c r="K95" s="503"/>
    </row>
    <row r="96" spans="1:11" ht="12">
      <c r="A96" s="504">
        <v>2140217034</v>
      </c>
      <c r="B96" s="539" t="s">
        <v>1339</v>
      </c>
      <c r="C96" s="505" t="s">
        <v>1332</v>
      </c>
      <c r="D96" s="506">
        <v>20</v>
      </c>
      <c r="E96" s="506">
        <v>171</v>
      </c>
      <c r="F96" s="506">
        <v>170</v>
      </c>
      <c r="G96" s="507">
        <v>1</v>
      </c>
      <c r="H96" s="503"/>
      <c r="I96" s="503"/>
      <c r="J96" s="503"/>
      <c r="K96" s="503"/>
    </row>
    <row r="97" spans="1:11" ht="12">
      <c r="A97" s="504">
        <v>2140217035</v>
      </c>
      <c r="B97" s="539" t="s">
        <v>1324</v>
      </c>
      <c r="C97" s="505" t="s">
        <v>1332</v>
      </c>
      <c r="D97" s="506">
        <v>800</v>
      </c>
      <c r="E97" s="506">
        <v>830</v>
      </c>
      <c r="F97" s="506">
        <v>828</v>
      </c>
      <c r="G97" s="507">
        <v>2</v>
      </c>
      <c r="H97" s="503"/>
      <c r="I97" s="503"/>
      <c r="J97" s="503"/>
      <c r="K97" s="503"/>
    </row>
    <row r="98" spans="1:11" ht="12">
      <c r="A98" s="504">
        <v>2140217036</v>
      </c>
      <c r="B98" s="539" t="s">
        <v>1922</v>
      </c>
      <c r="C98" s="505" t="s">
        <v>1332</v>
      </c>
      <c r="D98" s="506">
        <v>600</v>
      </c>
      <c r="E98" s="506">
        <v>530</v>
      </c>
      <c r="F98" s="506">
        <v>528</v>
      </c>
      <c r="G98" s="507">
        <v>2</v>
      </c>
      <c r="H98" s="503"/>
      <c r="I98" s="503"/>
      <c r="J98" s="503"/>
      <c r="K98" s="503"/>
    </row>
    <row r="99" spans="1:11" ht="12">
      <c r="A99" s="504">
        <v>2140217037</v>
      </c>
      <c r="B99" s="539" t="s">
        <v>1340</v>
      </c>
      <c r="C99" s="505" t="s">
        <v>1332</v>
      </c>
      <c r="D99" s="506">
        <v>30</v>
      </c>
      <c r="E99" s="506">
        <v>70</v>
      </c>
      <c r="F99" s="506">
        <v>60</v>
      </c>
      <c r="G99" s="507">
        <v>10</v>
      </c>
      <c r="H99" s="503"/>
      <c r="I99" s="503"/>
      <c r="J99" s="503"/>
      <c r="K99" s="503"/>
    </row>
    <row r="100" spans="1:11" ht="12">
      <c r="A100" s="504">
        <v>2140217038</v>
      </c>
      <c r="B100" s="539" t="s">
        <v>1923</v>
      </c>
      <c r="C100" s="505" t="s">
        <v>1332</v>
      </c>
      <c r="D100" s="506">
        <v>1500</v>
      </c>
      <c r="E100" s="506">
        <v>1351</v>
      </c>
      <c r="F100" s="506">
        <v>1330</v>
      </c>
      <c r="G100" s="507">
        <v>21</v>
      </c>
      <c r="H100" s="503"/>
      <c r="I100" s="503"/>
      <c r="J100" s="503"/>
      <c r="K100" s="503"/>
    </row>
    <row r="101" spans="1:11" ht="12">
      <c r="A101" s="504">
        <v>2140217039</v>
      </c>
      <c r="B101" s="539" t="s">
        <v>1341</v>
      </c>
      <c r="C101" s="505" t="s">
        <v>1342</v>
      </c>
      <c r="D101" s="506">
        <v>150</v>
      </c>
      <c r="E101" s="506">
        <v>583</v>
      </c>
      <c r="F101" s="506">
        <v>583</v>
      </c>
      <c r="G101" s="507">
        <v>0</v>
      </c>
      <c r="H101" s="503"/>
      <c r="I101" s="503"/>
      <c r="J101" s="503"/>
      <c r="K101" s="503"/>
    </row>
    <row r="102" spans="1:11" ht="12">
      <c r="A102" s="504">
        <v>2140217040</v>
      </c>
      <c r="B102" s="539" t="s">
        <v>1343</v>
      </c>
      <c r="C102" s="505" t="s">
        <v>1342</v>
      </c>
      <c r="D102" s="506">
        <v>130</v>
      </c>
      <c r="E102" s="506">
        <v>282</v>
      </c>
      <c r="F102" s="506">
        <v>281</v>
      </c>
      <c r="G102" s="507">
        <v>1</v>
      </c>
      <c r="H102" s="503"/>
      <c r="I102" s="503"/>
      <c r="J102" s="503"/>
      <c r="K102" s="503"/>
    </row>
    <row r="103" spans="1:11" ht="12">
      <c r="A103" s="504">
        <v>2140217041</v>
      </c>
      <c r="B103" s="539" t="s">
        <v>1344</v>
      </c>
      <c r="C103" s="505" t="s">
        <v>1342</v>
      </c>
      <c r="D103" s="506">
        <v>130</v>
      </c>
      <c r="E103" s="506">
        <v>198</v>
      </c>
      <c r="F103" s="506">
        <v>198</v>
      </c>
      <c r="G103" s="507">
        <v>0</v>
      </c>
      <c r="H103" s="503"/>
      <c r="I103" s="503"/>
      <c r="J103" s="503"/>
      <c r="K103" s="503"/>
    </row>
    <row r="104" spans="1:11" ht="12">
      <c r="A104" s="504">
        <v>2140217042</v>
      </c>
      <c r="B104" s="539" t="s">
        <v>1345</v>
      </c>
      <c r="C104" s="505" t="s">
        <v>1342</v>
      </c>
      <c r="D104" s="506">
        <v>520</v>
      </c>
      <c r="E104" s="506">
        <v>45</v>
      </c>
      <c r="F104" s="506">
        <v>45</v>
      </c>
      <c r="G104" s="507">
        <v>0</v>
      </c>
      <c r="H104" s="503"/>
      <c r="I104" s="503"/>
      <c r="J104" s="503"/>
      <c r="K104" s="503"/>
    </row>
    <row r="105" spans="1:11" ht="12">
      <c r="A105" s="504">
        <v>2140217043</v>
      </c>
      <c r="B105" s="539" t="s">
        <v>1346</v>
      </c>
      <c r="C105" s="505" t="s">
        <v>1342</v>
      </c>
      <c r="D105" s="506">
        <v>160</v>
      </c>
      <c r="E105" s="506">
        <v>0</v>
      </c>
      <c r="F105" s="506">
        <v>0</v>
      </c>
      <c r="G105" s="507">
        <v>0</v>
      </c>
      <c r="H105" s="503"/>
      <c r="I105" s="503"/>
      <c r="J105" s="503"/>
      <c r="K105" s="503"/>
    </row>
    <row r="106" spans="1:11" ht="12">
      <c r="A106" s="504">
        <v>2140217044</v>
      </c>
      <c r="B106" s="539" t="s">
        <v>1347</v>
      </c>
      <c r="C106" s="505" t="s">
        <v>1342</v>
      </c>
      <c r="D106" s="506">
        <v>120</v>
      </c>
      <c r="E106" s="506">
        <v>72</v>
      </c>
      <c r="F106" s="506">
        <v>72</v>
      </c>
      <c r="G106" s="507">
        <v>0</v>
      </c>
      <c r="H106" s="503"/>
      <c r="I106" s="503"/>
      <c r="J106" s="503"/>
      <c r="K106" s="503"/>
    </row>
    <row r="107" spans="1:11" ht="12">
      <c r="A107" s="504">
        <v>2140217045</v>
      </c>
      <c r="B107" s="539" t="s">
        <v>1348</v>
      </c>
      <c r="C107" s="505" t="s">
        <v>1342</v>
      </c>
      <c r="D107" s="506">
        <v>100</v>
      </c>
      <c r="E107" s="506">
        <v>0</v>
      </c>
      <c r="F107" s="506">
        <v>0</v>
      </c>
      <c r="G107" s="507">
        <v>0</v>
      </c>
      <c r="H107" s="503"/>
      <c r="I107" s="503"/>
      <c r="J107" s="503"/>
      <c r="K107" s="503"/>
    </row>
    <row r="108" spans="1:11" ht="12">
      <c r="A108" s="504">
        <v>2140217046</v>
      </c>
      <c r="B108" s="539" t="s">
        <v>1349</v>
      </c>
      <c r="C108" s="505" t="s">
        <v>1342</v>
      </c>
      <c r="D108" s="506">
        <v>120</v>
      </c>
      <c r="E108" s="506">
        <v>0</v>
      </c>
      <c r="F108" s="506">
        <v>0</v>
      </c>
      <c r="G108" s="507">
        <v>0</v>
      </c>
      <c r="H108" s="503"/>
      <c r="I108" s="503"/>
      <c r="J108" s="503"/>
      <c r="K108" s="503"/>
    </row>
    <row r="109" spans="1:11" ht="12">
      <c r="A109" s="504">
        <v>2140217047</v>
      </c>
      <c r="B109" s="539" t="s">
        <v>1350</v>
      </c>
      <c r="C109" s="505" t="s">
        <v>1342</v>
      </c>
      <c r="D109" s="506">
        <v>80</v>
      </c>
      <c r="E109" s="506">
        <v>50</v>
      </c>
      <c r="F109" s="506">
        <v>50</v>
      </c>
      <c r="G109" s="507">
        <v>0</v>
      </c>
      <c r="H109" s="503"/>
      <c r="I109" s="503"/>
      <c r="J109" s="503"/>
      <c r="K109" s="503"/>
    </row>
    <row r="110" spans="1:11" ht="12">
      <c r="A110" s="504">
        <v>2140217048</v>
      </c>
      <c r="B110" s="539" t="s">
        <v>1351</v>
      </c>
      <c r="C110" s="505" t="s">
        <v>1342</v>
      </c>
      <c r="D110" s="506">
        <v>185</v>
      </c>
      <c r="E110" s="506">
        <v>70</v>
      </c>
      <c r="F110" s="506">
        <v>45</v>
      </c>
      <c r="G110" s="507">
        <v>25</v>
      </c>
      <c r="H110" s="503"/>
      <c r="I110" s="503"/>
      <c r="J110" s="503"/>
      <c r="K110" s="503"/>
    </row>
    <row r="111" spans="1:11" ht="12">
      <c r="A111" s="504">
        <v>2140217049</v>
      </c>
      <c r="B111" s="539" t="s">
        <v>1352</v>
      </c>
      <c r="C111" s="505" t="s">
        <v>1342</v>
      </c>
      <c r="D111" s="506">
        <v>116</v>
      </c>
      <c r="E111" s="506">
        <v>78</v>
      </c>
      <c r="F111" s="506">
        <v>73</v>
      </c>
      <c r="G111" s="507">
        <v>5</v>
      </c>
      <c r="H111" s="503"/>
      <c r="I111" s="503"/>
      <c r="J111" s="503"/>
      <c r="K111" s="503"/>
    </row>
    <row r="112" spans="1:11" ht="12">
      <c r="A112" s="504">
        <v>2140217050</v>
      </c>
      <c r="B112" s="539" t="s">
        <v>1353</v>
      </c>
      <c r="C112" s="505" t="s">
        <v>1342</v>
      </c>
      <c r="D112" s="506">
        <v>20</v>
      </c>
      <c r="E112" s="506">
        <v>18</v>
      </c>
      <c r="F112" s="506">
        <v>17</v>
      </c>
      <c r="G112" s="507">
        <v>1</v>
      </c>
      <c r="H112" s="503"/>
      <c r="I112" s="503"/>
      <c r="J112" s="503"/>
      <c r="K112" s="503"/>
    </row>
    <row r="113" spans="1:11" ht="12">
      <c r="A113" s="504">
        <v>2140217051</v>
      </c>
      <c r="B113" s="539" t="s">
        <v>1354</v>
      </c>
      <c r="C113" s="505" t="s">
        <v>177</v>
      </c>
      <c r="D113" s="506">
        <v>1000</v>
      </c>
      <c r="E113" s="506">
        <v>1000</v>
      </c>
      <c r="F113" s="506">
        <v>1000</v>
      </c>
      <c r="G113" s="507">
        <v>0</v>
      </c>
      <c r="H113" s="503"/>
      <c r="I113" s="503"/>
      <c r="J113" s="503"/>
      <c r="K113" s="503"/>
    </row>
    <row r="114" spans="1:11" ht="12">
      <c r="A114" s="504">
        <v>2140217052</v>
      </c>
      <c r="B114" s="539" t="s">
        <v>1355</v>
      </c>
      <c r="C114" s="505" t="s">
        <v>177</v>
      </c>
      <c r="D114" s="506">
        <v>155</v>
      </c>
      <c r="E114" s="506">
        <v>129</v>
      </c>
      <c r="F114" s="506">
        <v>129</v>
      </c>
      <c r="G114" s="507">
        <v>0</v>
      </c>
      <c r="H114" s="503"/>
      <c r="I114" s="503"/>
      <c r="J114" s="503"/>
      <c r="K114" s="503"/>
    </row>
    <row r="115" spans="1:11" ht="12">
      <c r="A115" s="504">
        <v>2140217053</v>
      </c>
      <c r="B115" s="539" t="s">
        <v>1923</v>
      </c>
      <c r="C115" s="505" t="s">
        <v>177</v>
      </c>
      <c r="D115" s="506">
        <v>45</v>
      </c>
      <c r="E115" s="506">
        <v>48</v>
      </c>
      <c r="F115" s="506">
        <v>48</v>
      </c>
      <c r="G115" s="507">
        <v>0</v>
      </c>
      <c r="H115" s="503"/>
      <c r="I115" s="503"/>
      <c r="J115" s="503"/>
      <c r="K115" s="503"/>
    </row>
    <row r="116" spans="1:11" ht="12">
      <c r="A116" s="504">
        <v>2140217054</v>
      </c>
      <c r="B116" s="539" t="s">
        <v>1356</v>
      </c>
      <c r="C116" s="505" t="s">
        <v>177</v>
      </c>
      <c r="D116" s="506">
        <v>140</v>
      </c>
      <c r="E116" s="506">
        <v>90</v>
      </c>
      <c r="F116" s="506">
        <v>88</v>
      </c>
      <c r="G116" s="507">
        <v>0</v>
      </c>
      <c r="H116" s="503"/>
      <c r="I116" s="503"/>
      <c r="J116" s="503"/>
      <c r="K116" s="503"/>
    </row>
    <row r="117" spans="1:11" ht="12">
      <c r="A117" s="504">
        <v>2140217055</v>
      </c>
      <c r="B117" s="539" t="s">
        <v>1922</v>
      </c>
      <c r="C117" s="505" t="s">
        <v>1357</v>
      </c>
      <c r="D117" s="506">
        <v>132</v>
      </c>
      <c r="E117" s="506">
        <v>225</v>
      </c>
      <c r="F117" s="506">
        <v>224</v>
      </c>
      <c r="G117" s="507">
        <v>0</v>
      </c>
      <c r="H117" s="503"/>
      <c r="I117" s="503"/>
      <c r="J117" s="503"/>
      <c r="K117" s="503"/>
    </row>
    <row r="118" spans="1:11" ht="12">
      <c r="A118" s="504">
        <v>2140217056</v>
      </c>
      <c r="B118" s="539" t="s">
        <v>228</v>
      </c>
      <c r="C118" s="505" t="s">
        <v>1357</v>
      </c>
      <c r="D118" s="506">
        <v>394</v>
      </c>
      <c r="E118" s="506">
        <v>421</v>
      </c>
      <c r="F118" s="506">
        <v>420</v>
      </c>
      <c r="G118" s="507">
        <v>0</v>
      </c>
      <c r="H118" s="503"/>
      <c r="I118" s="503"/>
      <c r="J118" s="503"/>
      <c r="K118" s="503"/>
    </row>
    <row r="119" spans="1:11" ht="12">
      <c r="A119" s="504">
        <v>2140217057</v>
      </c>
      <c r="B119" s="539" t="s">
        <v>1358</v>
      </c>
      <c r="C119" s="505" t="s">
        <v>177</v>
      </c>
      <c r="D119" s="506">
        <v>140</v>
      </c>
      <c r="E119" s="506">
        <v>140</v>
      </c>
      <c r="F119" s="506">
        <v>139</v>
      </c>
      <c r="G119" s="507">
        <v>0</v>
      </c>
      <c r="H119" s="503"/>
      <c r="I119" s="503"/>
      <c r="J119" s="503"/>
      <c r="K119" s="503"/>
    </row>
    <row r="120" spans="1:11" ht="12">
      <c r="A120" s="504">
        <v>2140217058</v>
      </c>
      <c r="B120" s="539" t="s">
        <v>1359</v>
      </c>
      <c r="C120" s="505" t="s">
        <v>177</v>
      </c>
      <c r="D120" s="506">
        <v>85</v>
      </c>
      <c r="E120" s="506">
        <v>85</v>
      </c>
      <c r="F120" s="506">
        <v>84</v>
      </c>
      <c r="G120" s="507">
        <v>0</v>
      </c>
      <c r="H120" s="503"/>
      <c r="I120" s="503"/>
      <c r="J120" s="503"/>
      <c r="K120" s="503"/>
    </row>
    <row r="121" spans="1:11" ht="12">
      <c r="A121" s="504">
        <v>2140217059</v>
      </c>
      <c r="B121" s="539" t="s">
        <v>1360</v>
      </c>
      <c r="C121" s="505" t="s">
        <v>177</v>
      </c>
      <c r="D121" s="506">
        <v>70</v>
      </c>
      <c r="E121" s="506">
        <v>70</v>
      </c>
      <c r="F121" s="506">
        <v>70</v>
      </c>
      <c r="G121" s="507">
        <v>0</v>
      </c>
      <c r="H121" s="503"/>
      <c r="I121" s="503"/>
      <c r="J121" s="503"/>
      <c r="K121" s="503"/>
    </row>
    <row r="122" spans="1:11" ht="12">
      <c r="A122" s="504">
        <v>2140217060</v>
      </c>
      <c r="B122" s="539" t="s">
        <v>1361</v>
      </c>
      <c r="C122" s="505" t="s">
        <v>1342</v>
      </c>
      <c r="D122" s="506">
        <v>0</v>
      </c>
      <c r="E122" s="506">
        <v>200</v>
      </c>
      <c r="F122" s="506">
        <v>199</v>
      </c>
      <c r="G122" s="507">
        <v>1</v>
      </c>
      <c r="H122" s="503"/>
      <c r="I122" s="503"/>
      <c r="J122" s="503"/>
      <c r="K122" s="503"/>
    </row>
    <row r="123" spans="1:11" ht="12">
      <c r="A123" s="504">
        <v>2140217061</v>
      </c>
      <c r="B123" s="539" t="s">
        <v>1362</v>
      </c>
      <c r="C123" s="505" t="s">
        <v>1342</v>
      </c>
      <c r="D123" s="506">
        <v>0</v>
      </c>
      <c r="E123" s="506">
        <v>65</v>
      </c>
      <c r="F123" s="506">
        <v>64</v>
      </c>
      <c r="G123" s="507">
        <v>1</v>
      </c>
      <c r="H123" s="503"/>
      <c r="I123" s="503"/>
      <c r="J123" s="503"/>
      <c r="K123" s="503"/>
    </row>
    <row r="124" spans="1:11" ht="12">
      <c r="A124" s="504">
        <v>2140217062</v>
      </c>
      <c r="B124" s="539" t="s">
        <v>1363</v>
      </c>
      <c r="C124" s="505" t="s">
        <v>172</v>
      </c>
      <c r="D124" s="506">
        <v>0</v>
      </c>
      <c r="E124" s="506">
        <v>93</v>
      </c>
      <c r="F124" s="506">
        <v>92</v>
      </c>
      <c r="G124" s="507">
        <v>1</v>
      </c>
      <c r="H124" s="503"/>
      <c r="I124" s="503"/>
      <c r="J124" s="503"/>
      <c r="K124" s="503"/>
    </row>
    <row r="125" spans="1:11" ht="12">
      <c r="A125" s="504">
        <v>2140217063</v>
      </c>
      <c r="B125" s="539" t="s">
        <v>1364</v>
      </c>
      <c r="C125" s="505" t="s">
        <v>172</v>
      </c>
      <c r="D125" s="506">
        <v>0</v>
      </c>
      <c r="E125" s="506">
        <v>288</v>
      </c>
      <c r="F125" s="506">
        <v>288</v>
      </c>
      <c r="G125" s="507">
        <v>0</v>
      </c>
      <c r="H125" s="503"/>
      <c r="I125" s="503"/>
      <c r="J125" s="503"/>
      <c r="K125" s="503"/>
    </row>
    <row r="126" spans="1:11" ht="12">
      <c r="A126" s="504">
        <v>2140217064</v>
      </c>
      <c r="B126" s="539" t="s">
        <v>1365</v>
      </c>
      <c r="C126" s="505" t="s">
        <v>230</v>
      </c>
      <c r="D126" s="506">
        <v>0</v>
      </c>
      <c r="E126" s="506">
        <v>32</v>
      </c>
      <c r="F126" s="506">
        <v>32</v>
      </c>
      <c r="G126" s="507">
        <v>0</v>
      </c>
      <c r="H126" s="503"/>
      <c r="I126" s="503"/>
      <c r="J126" s="503"/>
      <c r="K126" s="503"/>
    </row>
    <row r="127" spans="1:11" ht="12">
      <c r="A127" s="504">
        <v>2140217065</v>
      </c>
      <c r="B127" s="539" t="s">
        <v>1366</v>
      </c>
      <c r="C127" s="505" t="s">
        <v>1342</v>
      </c>
      <c r="D127" s="506">
        <v>0</v>
      </c>
      <c r="E127" s="506">
        <v>41</v>
      </c>
      <c r="F127" s="506">
        <v>40</v>
      </c>
      <c r="G127" s="507">
        <v>1</v>
      </c>
      <c r="H127" s="503"/>
      <c r="I127" s="503"/>
      <c r="J127" s="503"/>
      <c r="K127" s="503"/>
    </row>
    <row r="128" spans="1:11" ht="12">
      <c r="A128" s="504">
        <v>2140217066</v>
      </c>
      <c r="B128" s="539" t="s">
        <v>1367</v>
      </c>
      <c r="C128" s="505" t="s">
        <v>172</v>
      </c>
      <c r="D128" s="506">
        <v>0</v>
      </c>
      <c r="E128" s="506">
        <v>150</v>
      </c>
      <c r="F128" s="506">
        <v>150</v>
      </c>
      <c r="G128" s="507">
        <v>0</v>
      </c>
      <c r="H128" s="503"/>
      <c r="I128" s="503"/>
      <c r="J128" s="503"/>
      <c r="K128" s="503"/>
    </row>
    <row r="129" spans="1:11" ht="12">
      <c r="A129" s="504">
        <v>2140217067</v>
      </c>
      <c r="B129" s="539" t="s">
        <v>1368</v>
      </c>
      <c r="C129" s="505" t="s">
        <v>172</v>
      </c>
      <c r="D129" s="506">
        <v>0</v>
      </c>
      <c r="E129" s="506">
        <v>619</v>
      </c>
      <c r="F129" s="506">
        <v>612</v>
      </c>
      <c r="G129" s="507">
        <v>7</v>
      </c>
      <c r="H129" s="503"/>
      <c r="I129" s="503"/>
      <c r="J129" s="503"/>
      <c r="K129" s="503"/>
    </row>
    <row r="130" spans="1:11" ht="12">
      <c r="A130" s="504">
        <v>2140217068</v>
      </c>
      <c r="B130" s="539" t="s">
        <v>1369</v>
      </c>
      <c r="C130" s="505" t="s">
        <v>172</v>
      </c>
      <c r="D130" s="506">
        <v>0</v>
      </c>
      <c r="E130" s="506">
        <v>133</v>
      </c>
      <c r="F130" s="506">
        <v>133</v>
      </c>
      <c r="G130" s="507">
        <v>0</v>
      </c>
      <c r="H130" s="503"/>
      <c r="I130" s="503"/>
      <c r="J130" s="503"/>
      <c r="K130" s="503"/>
    </row>
    <row r="131" spans="1:11" ht="12">
      <c r="A131" s="504">
        <v>2140217069</v>
      </c>
      <c r="B131" s="539" t="s">
        <v>1370</v>
      </c>
      <c r="C131" s="505" t="s">
        <v>172</v>
      </c>
      <c r="D131" s="506">
        <v>0</v>
      </c>
      <c r="E131" s="506">
        <v>599</v>
      </c>
      <c r="F131" s="506">
        <v>599</v>
      </c>
      <c r="G131" s="507">
        <v>0</v>
      </c>
      <c r="H131" s="503"/>
      <c r="I131" s="503"/>
      <c r="J131" s="503"/>
      <c r="K131" s="503"/>
    </row>
    <row r="132" spans="1:11" ht="12">
      <c r="A132" s="504">
        <v>2140224028</v>
      </c>
      <c r="B132" s="539" t="s">
        <v>2258</v>
      </c>
      <c r="C132" s="505" t="s">
        <v>172</v>
      </c>
      <c r="D132" s="506">
        <v>0</v>
      </c>
      <c r="E132" s="506">
        <v>4843</v>
      </c>
      <c r="F132" s="506">
        <v>4842</v>
      </c>
      <c r="G132" s="507">
        <v>1</v>
      </c>
      <c r="H132" s="503"/>
      <c r="I132" s="503"/>
      <c r="J132" s="503"/>
      <c r="K132" s="503"/>
    </row>
    <row r="133" spans="1:11" ht="12">
      <c r="A133" s="504">
        <v>2140224029</v>
      </c>
      <c r="B133" s="539" t="s">
        <v>2259</v>
      </c>
      <c r="C133" s="505" t="s">
        <v>172</v>
      </c>
      <c r="D133" s="506">
        <v>0</v>
      </c>
      <c r="E133" s="506">
        <v>1334</v>
      </c>
      <c r="F133" s="506">
        <v>1332</v>
      </c>
      <c r="G133" s="507">
        <v>2</v>
      </c>
      <c r="H133" s="503"/>
      <c r="I133" s="503"/>
      <c r="J133" s="503"/>
      <c r="K133" s="503"/>
    </row>
    <row r="134" spans="1:11" ht="12">
      <c r="A134" s="504">
        <v>2140225007</v>
      </c>
      <c r="B134" s="539" t="s">
        <v>2260</v>
      </c>
      <c r="C134" s="505" t="s">
        <v>1927</v>
      </c>
      <c r="D134" s="506">
        <v>4550</v>
      </c>
      <c r="E134" s="506">
        <v>4503</v>
      </c>
      <c r="F134" s="506">
        <v>4502</v>
      </c>
      <c r="G134" s="507">
        <v>1</v>
      </c>
      <c r="H134" s="503"/>
      <c r="I134" s="503"/>
      <c r="J134" s="503"/>
      <c r="K134" s="503"/>
    </row>
    <row r="135" spans="1:11" ht="12">
      <c r="A135" s="504">
        <v>2140225093</v>
      </c>
      <c r="B135" s="539" t="s">
        <v>2261</v>
      </c>
      <c r="C135" s="505" t="s">
        <v>1325</v>
      </c>
      <c r="D135" s="506">
        <v>6298</v>
      </c>
      <c r="E135" s="506">
        <v>6298</v>
      </c>
      <c r="F135" s="506">
        <v>6298</v>
      </c>
      <c r="G135" s="507">
        <v>0</v>
      </c>
      <c r="H135" s="503"/>
      <c r="I135" s="503"/>
      <c r="J135" s="503"/>
      <c r="K135" s="503"/>
    </row>
    <row r="136" spans="1:11" ht="12">
      <c r="A136" s="504">
        <v>2140225094</v>
      </c>
      <c r="B136" s="539" t="s">
        <v>2262</v>
      </c>
      <c r="C136" s="505" t="s">
        <v>172</v>
      </c>
      <c r="D136" s="506">
        <v>830</v>
      </c>
      <c r="E136" s="506">
        <v>560</v>
      </c>
      <c r="F136" s="506">
        <v>733</v>
      </c>
      <c r="G136" s="507">
        <v>0</v>
      </c>
      <c r="H136" s="503"/>
      <c r="I136" s="503"/>
      <c r="J136" s="503"/>
      <c r="K136" s="503"/>
    </row>
    <row r="137" spans="1:11" ht="12">
      <c r="A137" s="504">
        <v>2140225100</v>
      </c>
      <c r="B137" s="539" t="s">
        <v>2263</v>
      </c>
      <c r="C137" s="505" t="s">
        <v>1041</v>
      </c>
      <c r="D137" s="506">
        <v>0</v>
      </c>
      <c r="E137" s="506">
        <v>304</v>
      </c>
      <c r="F137" s="506">
        <v>1572</v>
      </c>
      <c r="G137" s="507">
        <v>4</v>
      </c>
      <c r="H137" s="503"/>
      <c r="I137" s="503"/>
      <c r="J137" s="503"/>
      <c r="K137" s="503"/>
    </row>
    <row r="138" spans="1:11" ht="12">
      <c r="A138" s="504">
        <v>2140226035</v>
      </c>
      <c r="B138" s="539" t="s">
        <v>2264</v>
      </c>
      <c r="C138" s="505" t="s">
        <v>1332</v>
      </c>
      <c r="D138" s="506">
        <v>17620</v>
      </c>
      <c r="E138" s="506">
        <v>20050</v>
      </c>
      <c r="F138" s="506">
        <v>28136</v>
      </c>
      <c r="G138" s="507">
        <v>19513</v>
      </c>
      <c r="H138" s="503"/>
      <c r="I138" s="503"/>
      <c r="J138" s="503"/>
      <c r="K138" s="503"/>
    </row>
    <row r="139" spans="1:11" ht="12">
      <c r="A139" s="504">
        <v>2140227001</v>
      </c>
      <c r="B139" s="539" t="s">
        <v>2265</v>
      </c>
      <c r="C139" s="505" t="s">
        <v>1041</v>
      </c>
      <c r="D139" s="506">
        <v>350</v>
      </c>
      <c r="E139" s="506">
        <v>130</v>
      </c>
      <c r="F139" s="506">
        <v>130</v>
      </c>
      <c r="G139" s="507">
        <v>0</v>
      </c>
      <c r="H139" s="503"/>
      <c r="I139" s="503"/>
      <c r="J139" s="503"/>
      <c r="K139" s="503"/>
    </row>
    <row r="140" spans="1:11" ht="12">
      <c r="A140" s="504">
        <v>2140227002</v>
      </c>
      <c r="B140" s="539" t="s">
        <v>2266</v>
      </c>
      <c r="C140" s="505" t="s">
        <v>1041</v>
      </c>
      <c r="D140" s="506">
        <v>550</v>
      </c>
      <c r="E140" s="506">
        <v>482</v>
      </c>
      <c r="F140" s="506">
        <v>482</v>
      </c>
      <c r="G140" s="507">
        <v>0</v>
      </c>
      <c r="H140" s="503"/>
      <c r="I140" s="503"/>
      <c r="J140" s="503"/>
      <c r="K140" s="503"/>
    </row>
    <row r="141" spans="1:11" ht="12">
      <c r="A141" s="504">
        <v>2140227003</v>
      </c>
      <c r="B141" s="539" t="s">
        <v>2267</v>
      </c>
      <c r="C141" s="505" t="s">
        <v>1041</v>
      </c>
      <c r="D141" s="506">
        <v>1350</v>
      </c>
      <c r="E141" s="506">
        <v>1273</v>
      </c>
      <c r="F141" s="506">
        <v>1272</v>
      </c>
      <c r="G141" s="507">
        <v>1</v>
      </c>
      <c r="H141" s="503"/>
      <c r="I141" s="503"/>
      <c r="J141" s="503"/>
      <c r="K141" s="503"/>
    </row>
    <row r="142" spans="1:11" ht="12">
      <c r="A142" s="504">
        <v>2140227004</v>
      </c>
      <c r="B142" s="539" t="s">
        <v>2268</v>
      </c>
      <c r="C142" s="505" t="s">
        <v>1041</v>
      </c>
      <c r="D142" s="506">
        <v>1500</v>
      </c>
      <c r="E142" s="506">
        <v>0</v>
      </c>
      <c r="F142" s="506">
        <v>0</v>
      </c>
      <c r="G142" s="507">
        <v>0</v>
      </c>
      <c r="H142" s="503"/>
      <c r="I142" s="503"/>
      <c r="J142" s="503"/>
      <c r="K142" s="503"/>
    </row>
    <row r="143" spans="1:11" ht="12">
      <c r="A143" s="504">
        <v>2140227005</v>
      </c>
      <c r="B143" s="539" t="s">
        <v>2269</v>
      </c>
      <c r="C143" s="505" t="s">
        <v>1041</v>
      </c>
      <c r="D143" s="506">
        <v>2800</v>
      </c>
      <c r="E143" s="506">
        <v>0</v>
      </c>
      <c r="F143" s="506">
        <v>0</v>
      </c>
      <c r="G143" s="507">
        <v>0</v>
      </c>
      <c r="H143" s="503"/>
      <c r="I143" s="503"/>
      <c r="J143" s="503"/>
      <c r="K143" s="503"/>
    </row>
    <row r="144" spans="1:11" ht="12">
      <c r="A144" s="504">
        <v>2140227006</v>
      </c>
      <c r="B144" s="539" t="s">
        <v>2270</v>
      </c>
      <c r="C144" s="505" t="s">
        <v>1041</v>
      </c>
      <c r="D144" s="506">
        <v>400</v>
      </c>
      <c r="E144" s="506">
        <v>297</v>
      </c>
      <c r="F144" s="506">
        <v>296</v>
      </c>
      <c r="G144" s="507">
        <v>1</v>
      </c>
      <c r="H144" s="503"/>
      <c r="I144" s="503"/>
      <c r="J144" s="503"/>
      <c r="K144" s="503"/>
    </row>
    <row r="145" spans="1:11" ht="12">
      <c r="A145" s="504">
        <v>2140227007</v>
      </c>
      <c r="B145" s="539" t="s">
        <v>2271</v>
      </c>
      <c r="C145" s="505" t="s">
        <v>1041</v>
      </c>
      <c r="D145" s="506">
        <v>1000</v>
      </c>
      <c r="E145" s="506">
        <v>0</v>
      </c>
      <c r="F145" s="506">
        <v>0</v>
      </c>
      <c r="G145" s="507">
        <v>0</v>
      </c>
      <c r="H145" s="503"/>
      <c r="I145" s="503"/>
      <c r="J145" s="503"/>
      <c r="K145" s="503"/>
    </row>
    <row r="146" spans="1:11" ht="12">
      <c r="A146" s="504">
        <v>2140227008</v>
      </c>
      <c r="B146" s="539" t="s">
        <v>2272</v>
      </c>
      <c r="C146" s="505" t="s">
        <v>1041</v>
      </c>
      <c r="D146" s="506">
        <v>1000</v>
      </c>
      <c r="E146" s="506">
        <v>2679</v>
      </c>
      <c r="F146" s="506">
        <v>2678</v>
      </c>
      <c r="G146" s="507">
        <v>1</v>
      </c>
      <c r="H146" s="503"/>
      <c r="I146" s="503"/>
      <c r="J146" s="503"/>
      <c r="K146" s="503"/>
    </row>
    <row r="147" spans="1:11" ht="12">
      <c r="A147" s="504">
        <v>2140227009</v>
      </c>
      <c r="B147" s="539" t="s">
        <v>2273</v>
      </c>
      <c r="C147" s="505" t="s">
        <v>1041</v>
      </c>
      <c r="D147" s="506">
        <v>9500</v>
      </c>
      <c r="E147" s="506">
        <v>9618</v>
      </c>
      <c r="F147" s="506">
        <v>9617</v>
      </c>
      <c r="G147" s="507">
        <v>1</v>
      </c>
      <c r="H147" s="503"/>
      <c r="I147" s="503"/>
      <c r="J147" s="503"/>
      <c r="K147" s="503"/>
    </row>
    <row r="148" spans="1:11" ht="12">
      <c r="A148" s="504">
        <v>2140227010</v>
      </c>
      <c r="B148" s="539" t="s">
        <v>2274</v>
      </c>
      <c r="C148" s="505" t="s">
        <v>1041</v>
      </c>
      <c r="D148" s="506">
        <v>4500</v>
      </c>
      <c r="E148" s="506">
        <v>4300</v>
      </c>
      <c r="F148" s="506">
        <v>4248</v>
      </c>
      <c r="G148" s="507">
        <v>52</v>
      </c>
      <c r="H148" s="503"/>
      <c r="I148" s="503"/>
      <c r="J148" s="503"/>
      <c r="K148" s="503"/>
    </row>
    <row r="149" spans="1:11" ht="12">
      <c r="A149" s="504">
        <v>2140227012</v>
      </c>
      <c r="B149" s="539" t="s">
        <v>2275</v>
      </c>
      <c r="C149" s="505" t="s">
        <v>1927</v>
      </c>
      <c r="D149" s="506">
        <v>450</v>
      </c>
      <c r="E149" s="506">
        <v>643</v>
      </c>
      <c r="F149" s="506">
        <v>642</v>
      </c>
      <c r="G149" s="507">
        <v>1</v>
      </c>
      <c r="H149" s="503"/>
      <c r="I149" s="503"/>
      <c r="J149" s="503"/>
      <c r="K149" s="503"/>
    </row>
    <row r="150" spans="1:11" ht="12">
      <c r="A150" s="504">
        <v>2140227013</v>
      </c>
      <c r="B150" s="539" t="s">
        <v>2276</v>
      </c>
      <c r="C150" s="505" t="s">
        <v>1927</v>
      </c>
      <c r="D150" s="506">
        <v>150</v>
      </c>
      <c r="E150" s="506">
        <v>128</v>
      </c>
      <c r="F150" s="506">
        <v>127</v>
      </c>
      <c r="G150" s="507">
        <v>1</v>
      </c>
      <c r="H150" s="503"/>
      <c r="I150" s="503"/>
      <c r="J150" s="503"/>
      <c r="K150" s="503"/>
    </row>
    <row r="151" spans="1:11" ht="12">
      <c r="A151" s="504">
        <v>2140227014</v>
      </c>
      <c r="B151" s="539" t="s">
        <v>2277</v>
      </c>
      <c r="C151" s="505" t="s">
        <v>1927</v>
      </c>
      <c r="D151" s="506">
        <v>1600</v>
      </c>
      <c r="E151" s="506">
        <v>0</v>
      </c>
      <c r="F151" s="506">
        <v>0</v>
      </c>
      <c r="G151" s="507">
        <v>0</v>
      </c>
      <c r="H151" s="503"/>
      <c r="I151" s="503"/>
      <c r="J151" s="503"/>
      <c r="K151" s="503"/>
    </row>
    <row r="152" spans="1:11" ht="12">
      <c r="A152" s="504">
        <v>2140227015</v>
      </c>
      <c r="B152" s="539" t="s">
        <v>2274</v>
      </c>
      <c r="C152" s="505" t="s">
        <v>1927</v>
      </c>
      <c r="D152" s="506">
        <v>1305</v>
      </c>
      <c r="E152" s="506">
        <v>1314</v>
      </c>
      <c r="F152" s="506">
        <v>1314</v>
      </c>
      <c r="G152" s="507">
        <v>0</v>
      </c>
      <c r="H152" s="503"/>
      <c r="I152" s="503"/>
      <c r="J152" s="503"/>
      <c r="K152" s="503"/>
    </row>
    <row r="153" spans="1:11" ht="12">
      <c r="A153" s="504">
        <v>2140227016</v>
      </c>
      <c r="B153" s="539" t="s">
        <v>2273</v>
      </c>
      <c r="C153" s="505" t="s">
        <v>1927</v>
      </c>
      <c r="D153" s="506">
        <v>4640</v>
      </c>
      <c r="E153" s="506">
        <v>5987</v>
      </c>
      <c r="F153" s="506">
        <v>5986</v>
      </c>
      <c r="G153" s="507">
        <v>1</v>
      </c>
      <c r="H153" s="503"/>
      <c r="I153" s="503"/>
      <c r="J153" s="503"/>
      <c r="K153" s="503"/>
    </row>
    <row r="154" spans="1:11" ht="12">
      <c r="A154" s="504">
        <v>2140227017</v>
      </c>
      <c r="B154" s="539" t="s">
        <v>879</v>
      </c>
      <c r="C154" s="505" t="s">
        <v>230</v>
      </c>
      <c r="D154" s="506">
        <v>1670</v>
      </c>
      <c r="E154" s="506">
        <v>4670</v>
      </c>
      <c r="F154" s="506">
        <v>4670</v>
      </c>
      <c r="G154" s="507">
        <v>0</v>
      </c>
      <c r="H154" s="503"/>
      <c r="I154" s="503"/>
      <c r="J154" s="503"/>
      <c r="K154" s="503"/>
    </row>
    <row r="155" spans="1:11" ht="12">
      <c r="A155" s="504">
        <v>2140227018</v>
      </c>
      <c r="B155" s="539" t="s">
        <v>2278</v>
      </c>
      <c r="C155" s="505" t="s">
        <v>230</v>
      </c>
      <c r="D155" s="506">
        <v>7248</v>
      </c>
      <c r="E155" s="506">
        <v>7200</v>
      </c>
      <c r="F155" s="506">
        <v>7200</v>
      </c>
      <c r="G155" s="507">
        <v>0</v>
      </c>
      <c r="H155" s="503"/>
      <c r="I155" s="503"/>
      <c r="J155" s="503"/>
      <c r="K155" s="503"/>
    </row>
    <row r="156" spans="1:11" ht="12">
      <c r="A156" s="504">
        <v>2140227019</v>
      </c>
      <c r="B156" s="539" t="s">
        <v>2279</v>
      </c>
      <c r="C156" s="505" t="s">
        <v>230</v>
      </c>
      <c r="D156" s="506">
        <v>4500</v>
      </c>
      <c r="E156" s="506">
        <v>5518</v>
      </c>
      <c r="F156" s="506">
        <v>5517</v>
      </c>
      <c r="G156" s="507">
        <v>1</v>
      </c>
      <c r="H156" s="503"/>
      <c r="I156" s="503"/>
      <c r="J156" s="503"/>
      <c r="K156" s="503"/>
    </row>
    <row r="157" spans="1:11" ht="12">
      <c r="A157" s="504">
        <v>2140227020</v>
      </c>
      <c r="B157" s="539" t="s">
        <v>2280</v>
      </c>
      <c r="C157" s="505" t="s">
        <v>1325</v>
      </c>
      <c r="D157" s="506">
        <v>4400</v>
      </c>
      <c r="E157" s="506">
        <v>3359</v>
      </c>
      <c r="F157" s="506">
        <v>3358</v>
      </c>
      <c r="G157" s="507">
        <v>0</v>
      </c>
      <c r="H157" s="503"/>
      <c r="I157" s="503"/>
      <c r="J157" s="503"/>
      <c r="K157" s="503"/>
    </row>
    <row r="158" spans="1:11" ht="12">
      <c r="A158" s="504">
        <v>2140227021</v>
      </c>
      <c r="B158" s="539" t="s">
        <v>2281</v>
      </c>
      <c r="C158" s="505" t="s">
        <v>1325</v>
      </c>
      <c r="D158" s="506">
        <v>800</v>
      </c>
      <c r="E158" s="506">
        <v>800</v>
      </c>
      <c r="F158" s="506">
        <v>800</v>
      </c>
      <c r="G158" s="507">
        <v>0</v>
      </c>
      <c r="H158" s="503"/>
      <c r="I158" s="503"/>
      <c r="J158" s="503"/>
      <c r="K158" s="503"/>
    </row>
    <row r="159" spans="1:11" ht="12">
      <c r="A159" s="504">
        <v>2140227022</v>
      </c>
      <c r="B159" s="539" t="s">
        <v>2282</v>
      </c>
      <c r="C159" s="505" t="s">
        <v>1325</v>
      </c>
      <c r="D159" s="506">
        <v>4816</v>
      </c>
      <c r="E159" s="506">
        <v>5334</v>
      </c>
      <c r="F159" s="506">
        <v>5334</v>
      </c>
      <c r="G159" s="507">
        <v>0</v>
      </c>
      <c r="H159" s="503"/>
      <c r="I159" s="503"/>
      <c r="J159" s="503"/>
      <c r="K159" s="503"/>
    </row>
    <row r="160" spans="1:11" ht="12">
      <c r="A160" s="504">
        <v>2140227023</v>
      </c>
      <c r="B160" s="539" t="s">
        <v>2274</v>
      </c>
      <c r="C160" s="505" t="s">
        <v>1325</v>
      </c>
      <c r="D160" s="506">
        <v>460</v>
      </c>
      <c r="E160" s="506">
        <v>473</v>
      </c>
      <c r="F160" s="506">
        <v>472</v>
      </c>
      <c r="G160" s="507">
        <v>0</v>
      </c>
      <c r="H160" s="503"/>
      <c r="I160" s="503"/>
      <c r="J160" s="503"/>
      <c r="K160" s="503"/>
    </row>
    <row r="161" spans="1:11" ht="12">
      <c r="A161" s="504">
        <v>2140227024</v>
      </c>
      <c r="B161" s="539" t="s">
        <v>2273</v>
      </c>
      <c r="C161" s="505" t="s">
        <v>1325</v>
      </c>
      <c r="D161" s="506">
        <v>676</v>
      </c>
      <c r="E161" s="506">
        <v>550</v>
      </c>
      <c r="F161" s="506">
        <v>550</v>
      </c>
      <c r="G161" s="507">
        <v>0</v>
      </c>
      <c r="H161" s="503"/>
      <c r="I161" s="503"/>
      <c r="J161" s="503"/>
      <c r="K161" s="503"/>
    </row>
    <row r="162" spans="1:11" ht="12">
      <c r="A162" s="504">
        <v>2140227025</v>
      </c>
      <c r="B162" s="539" t="s">
        <v>2283</v>
      </c>
      <c r="C162" s="505" t="s">
        <v>172</v>
      </c>
      <c r="D162" s="506">
        <v>500</v>
      </c>
      <c r="E162" s="506">
        <v>439</v>
      </c>
      <c r="F162" s="506">
        <v>439</v>
      </c>
      <c r="G162" s="507">
        <v>0</v>
      </c>
      <c r="H162" s="503"/>
      <c r="I162" s="503"/>
      <c r="J162" s="503"/>
      <c r="K162" s="503"/>
    </row>
    <row r="163" spans="1:11" ht="12">
      <c r="A163" s="504">
        <v>2140227026</v>
      </c>
      <c r="B163" s="539" t="s">
        <v>2284</v>
      </c>
      <c r="C163" s="505" t="s">
        <v>172</v>
      </c>
      <c r="D163" s="506">
        <v>290</v>
      </c>
      <c r="E163" s="506">
        <v>0</v>
      </c>
      <c r="F163" s="506">
        <v>0</v>
      </c>
      <c r="G163" s="507">
        <v>0</v>
      </c>
      <c r="H163" s="503"/>
      <c r="I163" s="503"/>
      <c r="J163" s="503"/>
      <c r="K163" s="503"/>
    </row>
    <row r="164" spans="1:11" ht="12">
      <c r="A164" s="504">
        <v>2140227027</v>
      </c>
      <c r="B164" s="539" t="s">
        <v>2285</v>
      </c>
      <c r="C164" s="505" t="s">
        <v>172</v>
      </c>
      <c r="D164" s="506">
        <v>6220</v>
      </c>
      <c r="E164" s="506">
        <v>0</v>
      </c>
      <c r="F164" s="506">
        <v>0</v>
      </c>
      <c r="G164" s="507">
        <v>0</v>
      </c>
      <c r="H164" s="503"/>
      <c r="I164" s="503"/>
      <c r="J164" s="503"/>
      <c r="K164" s="503"/>
    </row>
    <row r="165" spans="1:11" ht="12">
      <c r="A165" s="504">
        <v>2140227028</v>
      </c>
      <c r="B165" s="539" t="s">
        <v>2273</v>
      </c>
      <c r="C165" s="505" t="s">
        <v>172</v>
      </c>
      <c r="D165" s="506">
        <v>825</v>
      </c>
      <c r="E165" s="506">
        <v>3180</v>
      </c>
      <c r="F165" s="506">
        <v>3180</v>
      </c>
      <c r="G165" s="507">
        <v>0</v>
      </c>
      <c r="H165" s="503"/>
      <c r="I165" s="503"/>
      <c r="J165" s="503"/>
      <c r="K165" s="503"/>
    </row>
    <row r="166" spans="1:11" ht="12">
      <c r="A166" s="504">
        <v>2140227029</v>
      </c>
      <c r="B166" s="539" t="s">
        <v>2274</v>
      </c>
      <c r="C166" s="505" t="s">
        <v>172</v>
      </c>
      <c r="D166" s="506">
        <v>330</v>
      </c>
      <c r="E166" s="506">
        <v>230</v>
      </c>
      <c r="F166" s="506">
        <v>231</v>
      </c>
      <c r="G166" s="507">
        <v>7</v>
      </c>
      <c r="H166" s="503"/>
      <c r="I166" s="503"/>
      <c r="J166" s="503"/>
      <c r="K166" s="503"/>
    </row>
    <row r="167" spans="1:11" ht="12">
      <c r="A167" s="504">
        <v>2140227030</v>
      </c>
      <c r="B167" s="539" t="s">
        <v>2286</v>
      </c>
      <c r="C167" s="505" t="s">
        <v>1332</v>
      </c>
      <c r="D167" s="506">
        <v>300</v>
      </c>
      <c r="E167" s="506">
        <v>224</v>
      </c>
      <c r="F167" s="506">
        <v>224</v>
      </c>
      <c r="G167" s="507">
        <v>0</v>
      </c>
      <c r="H167" s="503"/>
      <c r="I167" s="503"/>
      <c r="J167" s="503"/>
      <c r="K167" s="503"/>
    </row>
    <row r="168" spans="1:11" ht="12">
      <c r="A168" s="504">
        <v>2140227031</v>
      </c>
      <c r="B168" s="539" t="s">
        <v>2287</v>
      </c>
      <c r="C168" s="505" t="s">
        <v>1332</v>
      </c>
      <c r="D168" s="506">
        <v>4000</v>
      </c>
      <c r="E168" s="506">
        <v>4281</v>
      </c>
      <c r="F168" s="506">
        <v>4281</v>
      </c>
      <c r="G168" s="507">
        <v>0</v>
      </c>
      <c r="H168" s="503"/>
      <c r="I168" s="503"/>
      <c r="J168" s="503"/>
      <c r="K168" s="503"/>
    </row>
    <row r="169" spans="1:11" ht="12">
      <c r="A169" s="504">
        <v>2140227032</v>
      </c>
      <c r="B169" s="539" t="s">
        <v>2288</v>
      </c>
      <c r="C169" s="505" t="s">
        <v>1332</v>
      </c>
      <c r="D169" s="506">
        <v>800</v>
      </c>
      <c r="E169" s="506">
        <v>774</v>
      </c>
      <c r="F169" s="506">
        <v>774</v>
      </c>
      <c r="G169" s="507">
        <v>0</v>
      </c>
      <c r="H169" s="503"/>
      <c r="I169" s="503"/>
      <c r="J169" s="503"/>
      <c r="K169" s="503"/>
    </row>
    <row r="170" spans="1:11" ht="12">
      <c r="A170" s="504">
        <v>2140227033</v>
      </c>
      <c r="B170" s="539" t="s">
        <v>2289</v>
      </c>
      <c r="C170" s="505" t="s">
        <v>1332</v>
      </c>
      <c r="D170" s="506">
        <v>2300</v>
      </c>
      <c r="E170" s="506">
        <v>0</v>
      </c>
      <c r="F170" s="506">
        <v>0</v>
      </c>
      <c r="G170" s="507">
        <v>0</v>
      </c>
      <c r="H170" s="503"/>
      <c r="I170" s="503"/>
      <c r="J170" s="503"/>
      <c r="K170" s="503"/>
    </row>
    <row r="171" spans="1:11" ht="12">
      <c r="A171" s="504">
        <v>2140227034</v>
      </c>
      <c r="B171" s="539" t="s">
        <v>2290</v>
      </c>
      <c r="C171" s="505" t="s">
        <v>1332</v>
      </c>
      <c r="D171" s="506">
        <v>250</v>
      </c>
      <c r="E171" s="506">
        <v>0</v>
      </c>
      <c r="F171" s="506">
        <v>0</v>
      </c>
      <c r="G171" s="507">
        <v>0</v>
      </c>
      <c r="H171" s="503"/>
      <c r="I171" s="503"/>
      <c r="J171" s="503"/>
      <c r="K171" s="503"/>
    </row>
    <row r="172" spans="1:11" ht="12">
      <c r="A172" s="504">
        <v>2140227035</v>
      </c>
      <c r="B172" s="539" t="s">
        <v>2291</v>
      </c>
      <c r="C172" s="505" t="s">
        <v>1332</v>
      </c>
      <c r="D172" s="506">
        <v>1400</v>
      </c>
      <c r="E172" s="506">
        <v>1144</v>
      </c>
      <c r="F172" s="506">
        <v>1144</v>
      </c>
      <c r="G172" s="507">
        <v>0</v>
      </c>
      <c r="H172" s="503"/>
      <c r="I172" s="503"/>
      <c r="J172" s="503"/>
      <c r="K172" s="503"/>
    </row>
    <row r="173" spans="1:11" ht="12">
      <c r="A173" s="504">
        <v>2140227036</v>
      </c>
      <c r="B173" s="539" t="s">
        <v>2274</v>
      </c>
      <c r="C173" s="505" t="s">
        <v>1332</v>
      </c>
      <c r="D173" s="506">
        <v>1460</v>
      </c>
      <c r="E173" s="506">
        <v>1355</v>
      </c>
      <c r="F173" s="506">
        <v>1352</v>
      </c>
      <c r="G173" s="507">
        <v>3</v>
      </c>
      <c r="H173" s="503"/>
      <c r="I173" s="503"/>
      <c r="J173" s="503"/>
      <c r="K173" s="503"/>
    </row>
    <row r="174" spans="1:11" ht="12">
      <c r="A174" s="504">
        <v>2140227037</v>
      </c>
      <c r="B174" s="539" t="s">
        <v>2273</v>
      </c>
      <c r="C174" s="505" t="s">
        <v>1332</v>
      </c>
      <c r="D174" s="506">
        <v>10091</v>
      </c>
      <c r="E174" s="506">
        <v>9952</v>
      </c>
      <c r="F174" s="506">
        <v>9952</v>
      </c>
      <c r="G174" s="507">
        <v>0</v>
      </c>
      <c r="H174" s="503"/>
      <c r="I174" s="503"/>
      <c r="J174" s="503"/>
      <c r="K174" s="503"/>
    </row>
    <row r="175" spans="1:11" ht="12">
      <c r="A175" s="504">
        <v>2140227038</v>
      </c>
      <c r="B175" s="539" t="s">
        <v>2292</v>
      </c>
      <c r="C175" s="505" t="s">
        <v>1342</v>
      </c>
      <c r="D175" s="506">
        <v>100</v>
      </c>
      <c r="E175" s="506">
        <v>148</v>
      </c>
      <c r="F175" s="506">
        <v>148</v>
      </c>
      <c r="G175" s="507">
        <v>0</v>
      </c>
      <c r="H175" s="503"/>
      <c r="I175" s="503"/>
      <c r="J175" s="503"/>
      <c r="K175" s="503"/>
    </row>
    <row r="176" spans="1:11" ht="12">
      <c r="A176" s="504">
        <v>2140227039</v>
      </c>
      <c r="B176" s="539" t="s">
        <v>2293</v>
      </c>
      <c r="C176" s="505" t="s">
        <v>1342</v>
      </c>
      <c r="D176" s="506">
        <v>80</v>
      </c>
      <c r="E176" s="506">
        <v>74</v>
      </c>
      <c r="F176" s="506">
        <v>74</v>
      </c>
      <c r="G176" s="507">
        <v>0</v>
      </c>
      <c r="H176" s="503"/>
      <c r="I176" s="503"/>
      <c r="J176" s="503"/>
      <c r="K176" s="503"/>
    </row>
    <row r="177" spans="1:11" ht="12">
      <c r="A177" s="504">
        <v>2140227040</v>
      </c>
      <c r="B177" s="539" t="s">
        <v>2294</v>
      </c>
      <c r="C177" s="505" t="s">
        <v>1342</v>
      </c>
      <c r="D177" s="506">
        <v>300</v>
      </c>
      <c r="E177" s="506">
        <v>233</v>
      </c>
      <c r="F177" s="506">
        <v>232</v>
      </c>
      <c r="G177" s="507">
        <v>1</v>
      </c>
      <c r="H177" s="503"/>
      <c r="I177" s="503"/>
      <c r="J177" s="503"/>
      <c r="K177" s="503"/>
    </row>
    <row r="178" spans="1:11" ht="12">
      <c r="A178" s="504">
        <v>2140227041</v>
      </c>
      <c r="B178" s="539" t="s">
        <v>2295</v>
      </c>
      <c r="C178" s="505" t="s">
        <v>1342</v>
      </c>
      <c r="D178" s="506">
        <v>975</v>
      </c>
      <c r="E178" s="506">
        <v>913</v>
      </c>
      <c r="F178" s="506">
        <v>913</v>
      </c>
      <c r="G178" s="507">
        <v>0</v>
      </c>
      <c r="H178" s="503"/>
      <c r="I178" s="503"/>
      <c r="J178" s="503"/>
      <c r="K178" s="503"/>
    </row>
    <row r="179" spans="1:11" ht="12">
      <c r="A179" s="504">
        <v>2140227042</v>
      </c>
      <c r="B179" s="539" t="s">
        <v>2274</v>
      </c>
      <c r="C179" s="505" t="s">
        <v>1342</v>
      </c>
      <c r="D179" s="506">
        <v>405</v>
      </c>
      <c r="E179" s="506">
        <v>305</v>
      </c>
      <c r="F179" s="506">
        <v>293</v>
      </c>
      <c r="G179" s="507">
        <v>12</v>
      </c>
      <c r="H179" s="503"/>
      <c r="I179" s="503"/>
      <c r="J179" s="503"/>
      <c r="K179" s="503"/>
    </row>
    <row r="180" spans="1:11" ht="12">
      <c r="A180" s="504">
        <v>2140227043</v>
      </c>
      <c r="B180" s="539" t="s">
        <v>2296</v>
      </c>
      <c r="C180" s="505" t="s">
        <v>177</v>
      </c>
      <c r="D180" s="506">
        <v>1700</v>
      </c>
      <c r="E180" s="506">
        <v>1700</v>
      </c>
      <c r="F180" s="506">
        <v>1700</v>
      </c>
      <c r="G180" s="507">
        <v>0</v>
      </c>
      <c r="H180" s="503"/>
      <c r="I180" s="503"/>
      <c r="J180" s="503"/>
      <c r="K180" s="503"/>
    </row>
    <row r="181" spans="1:11" ht="12">
      <c r="A181" s="504">
        <v>2140227044</v>
      </c>
      <c r="B181" s="539" t="s">
        <v>2274</v>
      </c>
      <c r="C181" s="505" t="s">
        <v>177</v>
      </c>
      <c r="D181" s="506">
        <v>270</v>
      </c>
      <c r="E181" s="506">
        <v>270</v>
      </c>
      <c r="F181" s="506">
        <v>270</v>
      </c>
      <c r="G181" s="507">
        <v>0</v>
      </c>
      <c r="H181" s="503"/>
      <c r="I181" s="503"/>
      <c r="J181" s="503"/>
      <c r="K181" s="503"/>
    </row>
    <row r="182" spans="1:11" ht="12">
      <c r="A182" s="504">
        <v>2140227045</v>
      </c>
      <c r="B182" s="539" t="s">
        <v>2273</v>
      </c>
      <c r="C182" s="505" t="s">
        <v>177</v>
      </c>
      <c r="D182" s="506">
        <v>1098</v>
      </c>
      <c r="E182" s="506">
        <v>1171</v>
      </c>
      <c r="F182" s="506">
        <v>1170</v>
      </c>
      <c r="G182" s="507">
        <v>0</v>
      </c>
      <c r="H182" s="503"/>
      <c r="I182" s="503"/>
      <c r="J182" s="503"/>
      <c r="K182" s="503"/>
    </row>
    <row r="183" spans="1:11" ht="12">
      <c r="A183" s="504">
        <v>2140227047</v>
      </c>
      <c r="B183" s="539" t="s">
        <v>2297</v>
      </c>
      <c r="C183" s="505" t="s">
        <v>1041</v>
      </c>
      <c r="D183" s="506">
        <v>0</v>
      </c>
      <c r="E183" s="506">
        <v>1981</v>
      </c>
      <c r="F183" s="506">
        <v>1981</v>
      </c>
      <c r="G183" s="507">
        <v>0</v>
      </c>
      <c r="H183" s="503"/>
      <c r="I183" s="503"/>
      <c r="J183" s="503"/>
      <c r="K183" s="503"/>
    </row>
    <row r="184" spans="1:11" ht="12">
      <c r="A184" s="504">
        <v>2140227048</v>
      </c>
      <c r="B184" s="539" t="s">
        <v>2298</v>
      </c>
      <c r="C184" s="505" t="s">
        <v>1041</v>
      </c>
      <c r="D184" s="506">
        <v>0</v>
      </c>
      <c r="E184" s="506">
        <v>3858</v>
      </c>
      <c r="F184" s="506">
        <v>3857</v>
      </c>
      <c r="G184" s="507">
        <v>1</v>
      </c>
      <c r="H184" s="503"/>
      <c r="I184" s="503"/>
      <c r="J184" s="503"/>
      <c r="K184" s="503"/>
    </row>
    <row r="185" spans="1:11" ht="12">
      <c r="A185" s="504">
        <v>2140227049</v>
      </c>
      <c r="B185" s="539" t="s">
        <v>2299</v>
      </c>
      <c r="C185" s="505" t="s">
        <v>1927</v>
      </c>
      <c r="D185" s="506">
        <v>0</v>
      </c>
      <c r="E185" s="506">
        <v>243</v>
      </c>
      <c r="F185" s="506">
        <v>243</v>
      </c>
      <c r="G185" s="507">
        <v>0</v>
      </c>
      <c r="H185" s="503"/>
      <c r="I185" s="503"/>
      <c r="J185" s="503"/>
      <c r="K185" s="503"/>
    </row>
    <row r="186" spans="1:11" ht="12">
      <c r="A186" s="504">
        <v>2140227050</v>
      </c>
      <c r="B186" s="539" t="s">
        <v>2300</v>
      </c>
      <c r="C186" s="505" t="s">
        <v>1332</v>
      </c>
      <c r="D186" s="506">
        <v>0</v>
      </c>
      <c r="E186" s="506">
        <v>137</v>
      </c>
      <c r="F186" s="506">
        <v>136</v>
      </c>
      <c r="G186" s="507">
        <v>1</v>
      </c>
      <c r="H186" s="503"/>
      <c r="I186" s="503"/>
      <c r="J186" s="503"/>
      <c r="K186" s="503"/>
    </row>
    <row r="187" spans="1:11" ht="12">
      <c r="A187" s="504">
        <v>2140227051</v>
      </c>
      <c r="B187" s="539" t="s">
        <v>2301</v>
      </c>
      <c r="C187" s="505" t="s">
        <v>1325</v>
      </c>
      <c r="D187" s="506">
        <v>0</v>
      </c>
      <c r="E187" s="506">
        <v>650</v>
      </c>
      <c r="F187" s="506">
        <v>649</v>
      </c>
      <c r="G187" s="507">
        <v>0</v>
      </c>
      <c r="H187" s="503"/>
      <c r="I187" s="503"/>
      <c r="J187" s="503"/>
      <c r="K187" s="503"/>
    </row>
    <row r="188" spans="1:11" ht="12">
      <c r="A188" s="504">
        <v>2140227052</v>
      </c>
      <c r="B188" s="539" t="s">
        <v>2302</v>
      </c>
      <c r="C188" s="505" t="s">
        <v>1342</v>
      </c>
      <c r="D188" s="506">
        <v>0</v>
      </c>
      <c r="E188" s="506">
        <v>60</v>
      </c>
      <c r="F188" s="506">
        <v>56</v>
      </c>
      <c r="G188" s="507">
        <v>4</v>
      </c>
      <c r="H188" s="503"/>
      <c r="I188" s="503"/>
      <c r="J188" s="503"/>
      <c r="K188" s="503"/>
    </row>
    <row r="189" spans="1:11" ht="12">
      <c r="A189" s="504">
        <v>2140227053</v>
      </c>
      <c r="B189" s="539" t="s">
        <v>2303</v>
      </c>
      <c r="C189" s="505" t="s">
        <v>1041</v>
      </c>
      <c r="D189" s="506">
        <v>0</v>
      </c>
      <c r="E189" s="506">
        <v>708</v>
      </c>
      <c r="F189" s="506">
        <v>708</v>
      </c>
      <c r="G189" s="507">
        <v>0</v>
      </c>
      <c r="H189" s="503"/>
      <c r="I189" s="503"/>
      <c r="J189" s="503"/>
      <c r="K189" s="503"/>
    </row>
    <row r="190" spans="1:11" ht="12">
      <c r="A190" s="504">
        <v>2140227054</v>
      </c>
      <c r="B190" s="539" t="s">
        <v>2304</v>
      </c>
      <c r="C190" s="505" t="s">
        <v>172</v>
      </c>
      <c r="D190" s="506">
        <v>0</v>
      </c>
      <c r="E190" s="506">
        <v>96</v>
      </c>
      <c r="F190" s="506">
        <v>95</v>
      </c>
      <c r="G190" s="507">
        <v>1</v>
      </c>
      <c r="H190" s="503"/>
      <c r="I190" s="503"/>
      <c r="J190" s="503"/>
      <c r="K190" s="503"/>
    </row>
    <row r="191" spans="1:11" ht="12">
      <c r="A191" s="504">
        <v>2140237001</v>
      </c>
      <c r="B191" s="539" t="s">
        <v>2305</v>
      </c>
      <c r="C191" s="505" t="s">
        <v>2306</v>
      </c>
      <c r="D191" s="506">
        <v>2200</v>
      </c>
      <c r="E191" s="506">
        <v>1859</v>
      </c>
      <c r="F191" s="506">
        <v>1859</v>
      </c>
      <c r="G191" s="507">
        <v>0</v>
      </c>
      <c r="H191" s="503"/>
      <c r="I191" s="503"/>
      <c r="J191" s="503"/>
      <c r="K191" s="503"/>
    </row>
    <row r="192" spans="1:11" ht="12">
      <c r="A192" s="504">
        <v>2140237002</v>
      </c>
      <c r="B192" s="539" t="s">
        <v>2307</v>
      </c>
      <c r="C192" s="505" t="s">
        <v>2306</v>
      </c>
      <c r="D192" s="506">
        <v>1135</v>
      </c>
      <c r="E192" s="506">
        <v>572</v>
      </c>
      <c r="F192" s="506">
        <v>571</v>
      </c>
      <c r="G192" s="507">
        <v>1</v>
      </c>
      <c r="H192" s="503"/>
      <c r="I192" s="503"/>
      <c r="J192" s="503"/>
      <c r="K192" s="503"/>
    </row>
    <row r="193" spans="1:11" ht="12">
      <c r="A193" s="504">
        <v>2140237003</v>
      </c>
      <c r="B193" s="539" t="s">
        <v>2308</v>
      </c>
      <c r="C193" s="505" t="s">
        <v>2306</v>
      </c>
      <c r="D193" s="506">
        <v>0</v>
      </c>
      <c r="E193" s="506">
        <v>563</v>
      </c>
      <c r="F193" s="506">
        <v>544</v>
      </c>
      <c r="G193" s="507">
        <v>19</v>
      </c>
      <c r="H193" s="503"/>
      <c r="I193" s="503"/>
      <c r="J193" s="503"/>
      <c r="K193" s="503"/>
    </row>
    <row r="194" spans="1:11" ht="12">
      <c r="A194" s="504">
        <v>2140237004</v>
      </c>
      <c r="B194" s="539" t="s">
        <v>781</v>
      </c>
      <c r="C194" s="505" t="s">
        <v>2306</v>
      </c>
      <c r="D194" s="506">
        <v>0</v>
      </c>
      <c r="E194" s="506">
        <v>341</v>
      </c>
      <c r="F194" s="506">
        <v>341</v>
      </c>
      <c r="G194" s="507">
        <v>0</v>
      </c>
      <c r="H194" s="503"/>
      <c r="I194" s="503"/>
      <c r="J194" s="503"/>
      <c r="K194" s="503"/>
    </row>
    <row r="195" spans="1:11" ht="12">
      <c r="A195" s="504">
        <v>2140247001</v>
      </c>
      <c r="B195" s="539" t="s">
        <v>782</v>
      </c>
      <c r="C195" s="505" t="s">
        <v>1357</v>
      </c>
      <c r="D195" s="506">
        <v>5049</v>
      </c>
      <c r="E195" s="506">
        <v>5049</v>
      </c>
      <c r="F195" s="506">
        <v>5049</v>
      </c>
      <c r="G195" s="507">
        <v>0</v>
      </c>
      <c r="H195" s="503"/>
      <c r="I195" s="503"/>
      <c r="J195" s="503"/>
      <c r="K195" s="503"/>
    </row>
    <row r="196" spans="1:11" ht="12">
      <c r="A196" s="504">
        <v>2140247002</v>
      </c>
      <c r="B196" s="539" t="s">
        <v>2273</v>
      </c>
      <c r="C196" s="505" t="s">
        <v>1357</v>
      </c>
      <c r="D196" s="506">
        <v>3400</v>
      </c>
      <c r="E196" s="506">
        <v>3003</v>
      </c>
      <c r="F196" s="506">
        <v>3003</v>
      </c>
      <c r="G196" s="507">
        <v>0</v>
      </c>
      <c r="H196" s="503"/>
      <c r="I196" s="503"/>
      <c r="J196" s="503"/>
      <c r="K196" s="503"/>
    </row>
    <row r="197" spans="1:11" ht="12">
      <c r="A197" s="504">
        <v>2140247003</v>
      </c>
      <c r="B197" s="539" t="s">
        <v>2274</v>
      </c>
      <c r="C197" s="505" t="s">
        <v>1357</v>
      </c>
      <c r="D197" s="506">
        <v>350</v>
      </c>
      <c r="E197" s="506">
        <v>230</v>
      </c>
      <c r="F197" s="506">
        <v>230</v>
      </c>
      <c r="G197" s="507">
        <v>0</v>
      </c>
      <c r="H197" s="503"/>
      <c r="I197" s="503"/>
      <c r="J197" s="503"/>
      <c r="K197" s="503"/>
    </row>
    <row r="198" spans="1:11" ht="12">
      <c r="A198" s="504">
        <v>2140247004</v>
      </c>
      <c r="B198" s="539" t="s">
        <v>783</v>
      </c>
      <c r="C198" s="505" t="s">
        <v>1357</v>
      </c>
      <c r="D198" s="506">
        <v>0</v>
      </c>
      <c r="E198" s="506">
        <v>80</v>
      </c>
      <c r="F198" s="506">
        <v>79</v>
      </c>
      <c r="G198" s="507">
        <v>0</v>
      </c>
      <c r="H198" s="503"/>
      <c r="I198" s="503"/>
      <c r="J198" s="503"/>
      <c r="K198" s="503"/>
    </row>
    <row r="199" spans="1:11" ht="12">
      <c r="A199" s="504">
        <v>2140247005</v>
      </c>
      <c r="B199" s="539" t="s">
        <v>784</v>
      </c>
      <c r="C199" s="505" t="s">
        <v>1357</v>
      </c>
      <c r="D199" s="506">
        <v>0</v>
      </c>
      <c r="E199" s="506">
        <v>77</v>
      </c>
      <c r="F199" s="506">
        <v>76</v>
      </c>
      <c r="G199" s="507">
        <v>0</v>
      </c>
      <c r="H199" s="503"/>
      <c r="I199" s="503"/>
      <c r="J199" s="503"/>
      <c r="K199" s="503"/>
    </row>
    <row r="200" spans="1:11" ht="12">
      <c r="A200" s="504">
        <v>2140247006</v>
      </c>
      <c r="B200" s="539" t="s">
        <v>785</v>
      </c>
      <c r="C200" s="505" t="s">
        <v>1357</v>
      </c>
      <c r="D200" s="506">
        <v>0</v>
      </c>
      <c r="E200" s="506">
        <v>166</v>
      </c>
      <c r="F200" s="506">
        <v>165</v>
      </c>
      <c r="G200" s="507">
        <v>0</v>
      </c>
      <c r="H200" s="503"/>
      <c r="I200" s="503"/>
      <c r="J200" s="503"/>
      <c r="K200" s="503"/>
    </row>
    <row r="201" spans="1:11" ht="12">
      <c r="A201" s="504">
        <v>2140247007</v>
      </c>
      <c r="B201" s="539" t="s">
        <v>786</v>
      </c>
      <c r="C201" s="505" t="s">
        <v>1357</v>
      </c>
      <c r="D201" s="506">
        <v>0</v>
      </c>
      <c r="E201" s="506">
        <v>74</v>
      </c>
      <c r="F201" s="506">
        <v>74</v>
      </c>
      <c r="G201" s="507">
        <v>0</v>
      </c>
      <c r="H201" s="503"/>
      <c r="I201" s="503"/>
      <c r="J201" s="503"/>
      <c r="K201" s="503"/>
    </row>
    <row r="202" spans="1:11" ht="12">
      <c r="A202" s="504">
        <v>2140294004</v>
      </c>
      <c r="B202" s="539" t="s">
        <v>787</v>
      </c>
      <c r="C202" s="505" t="s">
        <v>172</v>
      </c>
      <c r="D202" s="506">
        <v>1900</v>
      </c>
      <c r="E202" s="506">
        <v>1845</v>
      </c>
      <c r="F202" s="506">
        <v>1845</v>
      </c>
      <c r="G202" s="507">
        <v>0</v>
      </c>
      <c r="H202" s="503"/>
      <c r="I202" s="503"/>
      <c r="J202" s="503"/>
      <c r="K202" s="503"/>
    </row>
    <row r="203" spans="1:11" ht="12">
      <c r="A203" s="504">
        <v>2140297002</v>
      </c>
      <c r="B203" s="539" t="s">
        <v>788</v>
      </c>
      <c r="C203" s="505" t="s">
        <v>1041</v>
      </c>
      <c r="D203" s="506">
        <v>6000</v>
      </c>
      <c r="E203" s="506">
        <v>0</v>
      </c>
      <c r="F203" s="506">
        <v>0</v>
      </c>
      <c r="G203" s="507">
        <v>0</v>
      </c>
      <c r="H203" s="503"/>
      <c r="I203" s="503"/>
      <c r="J203" s="503"/>
      <c r="K203" s="503"/>
    </row>
    <row r="204" spans="1:11" ht="12">
      <c r="A204" s="504">
        <v>2140297003</v>
      </c>
      <c r="B204" s="539" t="s">
        <v>789</v>
      </c>
      <c r="C204" s="505" t="s">
        <v>1927</v>
      </c>
      <c r="D204" s="506">
        <v>1550</v>
      </c>
      <c r="E204" s="506">
        <v>1525</v>
      </c>
      <c r="F204" s="506">
        <v>1524</v>
      </c>
      <c r="G204" s="507">
        <v>1</v>
      </c>
      <c r="H204" s="503"/>
      <c r="I204" s="503"/>
      <c r="J204" s="503"/>
      <c r="K204" s="503"/>
    </row>
    <row r="205" spans="1:11" ht="12">
      <c r="A205" s="504">
        <v>2140297004</v>
      </c>
      <c r="B205" s="539" t="s">
        <v>790</v>
      </c>
      <c r="C205" s="505" t="s">
        <v>1332</v>
      </c>
      <c r="D205" s="506">
        <v>3900</v>
      </c>
      <c r="E205" s="506">
        <v>6349</v>
      </c>
      <c r="F205" s="506">
        <v>6348</v>
      </c>
      <c r="G205" s="507">
        <v>1</v>
      </c>
      <c r="H205" s="503"/>
      <c r="I205" s="503"/>
      <c r="J205" s="503"/>
      <c r="K205" s="503"/>
    </row>
    <row r="206" spans="1:11" ht="12">
      <c r="A206" s="504">
        <v>2140297005</v>
      </c>
      <c r="B206" s="539" t="s">
        <v>791</v>
      </c>
      <c r="C206" s="505" t="s">
        <v>1041</v>
      </c>
      <c r="D206" s="506">
        <v>0</v>
      </c>
      <c r="E206" s="506">
        <v>426</v>
      </c>
      <c r="F206" s="506">
        <v>426</v>
      </c>
      <c r="G206" s="507">
        <v>0</v>
      </c>
      <c r="H206" s="503"/>
      <c r="I206" s="503"/>
      <c r="J206" s="503"/>
      <c r="K206" s="503"/>
    </row>
    <row r="207" spans="1:11" ht="12">
      <c r="A207" s="504">
        <v>2140297006</v>
      </c>
      <c r="B207" s="539" t="s">
        <v>792</v>
      </c>
      <c r="C207" s="505" t="s">
        <v>1041</v>
      </c>
      <c r="D207" s="506">
        <v>0</v>
      </c>
      <c r="E207" s="506">
        <v>1839</v>
      </c>
      <c r="F207" s="506">
        <v>1838</v>
      </c>
      <c r="G207" s="507">
        <v>1</v>
      </c>
      <c r="H207" s="503"/>
      <c r="I207" s="503"/>
      <c r="J207" s="503"/>
      <c r="K207" s="503"/>
    </row>
    <row r="208" spans="1:11" ht="12.75" thickBot="1">
      <c r="A208" s="508">
        <v>2140297007</v>
      </c>
      <c r="B208" s="540" t="s">
        <v>793</v>
      </c>
      <c r="C208" s="509" t="s">
        <v>1041</v>
      </c>
      <c r="D208" s="510">
        <v>0</v>
      </c>
      <c r="E208" s="510">
        <v>5624</v>
      </c>
      <c r="F208" s="510">
        <v>1864</v>
      </c>
      <c r="G208" s="511">
        <v>3760</v>
      </c>
      <c r="H208" s="503"/>
      <c r="I208" s="503"/>
      <c r="J208" s="503"/>
      <c r="K208" s="503"/>
    </row>
    <row r="209" spans="1:11" ht="12.75" thickBot="1">
      <c r="A209" s="1489" t="s">
        <v>794</v>
      </c>
      <c r="B209" s="1490"/>
      <c r="C209" s="1490"/>
      <c r="D209" s="512">
        <f>SUM(D63:D208)</f>
        <v>170488</v>
      </c>
      <c r="E209" s="512">
        <f>SUM(E63:E208)</f>
        <v>185672</v>
      </c>
      <c r="F209" s="512">
        <f>SUM(F63:F208)</f>
        <v>191112</v>
      </c>
      <c r="G209" s="512">
        <f>SUM(G63:G208)</f>
        <v>23625</v>
      </c>
      <c r="H209" s="503"/>
      <c r="I209" s="503"/>
      <c r="J209" s="503"/>
      <c r="K209" s="503"/>
    </row>
    <row r="210" spans="1:11" ht="12">
      <c r="A210" s="499">
        <v>2140317001</v>
      </c>
      <c r="B210" s="539" t="s">
        <v>1327</v>
      </c>
      <c r="C210" s="500" t="s">
        <v>795</v>
      </c>
      <c r="D210" s="501">
        <v>2650</v>
      </c>
      <c r="E210" s="501">
        <v>2865</v>
      </c>
      <c r="F210" s="501">
        <v>2822</v>
      </c>
      <c r="G210" s="502">
        <v>0</v>
      </c>
      <c r="H210" s="503"/>
      <c r="I210" s="503"/>
      <c r="J210" s="503"/>
      <c r="K210" s="503"/>
    </row>
    <row r="211" spans="1:11" ht="12">
      <c r="A211" s="504">
        <v>2140317002</v>
      </c>
      <c r="B211" s="539" t="s">
        <v>796</v>
      </c>
      <c r="C211" s="505" t="s">
        <v>795</v>
      </c>
      <c r="D211" s="506">
        <v>770</v>
      </c>
      <c r="E211" s="506">
        <v>865</v>
      </c>
      <c r="F211" s="506">
        <v>857</v>
      </c>
      <c r="G211" s="507">
        <v>0</v>
      </c>
      <c r="H211" s="503"/>
      <c r="I211" s="503"/>
      <c r="J211" s="503"/>
      <c r="K211" s="503"/>
    </row>
    <row r="212" spans="1:11" ht="12">
      <c r="A212" s="504">
        <v>2140317003</v>
      </c>
      <c r="B212" s="539" t="s">
        <v>797</v>
      </c>
      <c r="C212" s="505" t="s">
        <v>795</v>
      </c>
      <c r="D212" s="506">
        <v>2000</v>
      </c>
      <c r="E212" s="506">
        <v>0</v>
      </c>
      <c r="F212" s="506">
        <v>0</v>
      </c>
      <c r="G212" s="507">
        <v>0</v>
      </c>
      <c r="H212" s="503"/>
      <c r="I212" s="503"/>
      <c r="J212" s="503"/>
      <c r="K212" s="503"/>
    </row>
    <row r="213" spans="1:11" ht="12">
      <c r="A213" s="504">
        <v>2140317004</v>
      </c>
      <c r="B213" s="539" t="s">
        <v>798</v>
      </c>
      <c r="C213" s="505" t="s">
        <v>795</v>
      </c>
      <c r="D213" s="506">
        <v>1950</v>
      </c>
      <c r="E213" s="506">
        <v>961</v>
      </c>
      <c r="F213" s="506">
        <v>958</v>
      </c>
      <c r="G213" s="507">
        <v>0</v>
      </c>
      <c r="H213" s="503"/>
      <c r="I213" s="503"/>
      <c r="J213" s="503"/>
      <c r="K213" s="503"/>
    </row>
    <row r="214" spans="1:11" ht="12">
      <c r="A214" s="504">
        <v>2140317005</v>
      </c>
      <c r="B214" s="539" t="s">
        <v>799</v>
      </c>
      <c r="C214" s="505" t="s">
        <v>795</v>
      </c>
      <c r="D214" s="506">
        <v>400</v>
      </c>
      <c r="E214" s="506">
        <v>0</v>
      </c>
      <c r="F214" s="506">
        <v>0</v>
      </c>
      <c r="G214" s="507">
        <v>0</v>
      </c>
      <c r="H214" s="503"/>
      <c r="I214" s="503"/>
      <c r="J214" s="503"/>
      <c r="K214" s="503"/>
    </row>
    <row r="215" spans="1:11" ht="12">
      <c r="A215" s="504">
        <v>2140317006</v>
      </c>
      <c r="B215" s="539" t="s">
        <v>800</v>
      </c>
      <c r="C215" s="505" t="s">
        <v>911</v>
      </c>
      <c r="D215" s="506">
        <v>1270</v>
      </c>
      <c r="E215" s="506">
        <v>926</v>
      </c>
      <c r="F215" s="506">
        <v>925</v>
      </c>
      <c r="G215" s="507">
        <v>1</v>
      </c>
      <c r="H215" s="503"/>
      <c r="I215" s="503"/>
      <c r="J215" s="503"/>
      <c r="K215" s="503"/>
    </row>
    <row r="216" spans="1:11" ht="12">
      <c r="A216" s="504">
        <v>2140317007</v>
      </c>
      <c r="B216" s="539" t="s">
        <v>801</v>
      </c>
      <c r="C216" s="505" t="s">
        <v>911</v>
      </c>
      <c r="D216" s="506">
        <v>310</v>
      </c>
      <c r="E216" s="506">
        <v>793</v>
      </c>
      <c r="F216" s="506">
        <v>793</v>
      </c>
      <c r="G216" s="507">
        <v>0</v>
      </c>
      <c r="H216" s="503"/>
      <c r="I216" s="503"/>
      <c r="J216" s="503"/>
      <c r="K216" s="503"/>
    </row>
    <row r="217" spans="1:11" ht="12">
      <c r="A217" s="504">
        <v>2140317008</v>
      </c>
      <c r="B217" s="539" t="s">
        <v>802</v>
      </c>
      <c r="C217" s="505" t="s">
        <v>911</v>
      </c>
      <c r="D217" s="506">
        <v>300</v>
      </c>
      <c r="E217" s="506">
        <v>298</v>
      </c>
      <c r="F217" s="506">
        <v>298</v>
      </c>
      <c r="G217" s="507">
        <v>0</v>
      </c>
      <c r="H217" s="503"/>
      <c r="I217" s="503"/>
      <c r="J217" s="503"/>
      <c r="K217" s="503"/>
    </row>
    <row r="218" spans="1:11" ht="12">
      <c r="A218" s="504">
        <v>2140317009</v>
      </c>
      <c r="B218" s="539" t="s">
        <v>803</v>
      </c>
      <c r="C218" s="505" t="s">
        <v>911</v>
      </c>
      <c r="D218" s="506">
        <v>250</v>
      </c>
      <c r="E218" s="506">
        <v>241</v>
      </c>
      <c r="F218" s="506">
        <v>240</v>
      </c>
      <c r="G218" s="507">
        <v>1</v>
      </c>
      <c r="H218" s="503"/>
      <c r="I218" s="503"/>
      <c r="J218" s="503"/>
      <c r="K218" s="503"/>
    </row>
    <row r="219" spans="1:11" ht="12">
      <c r="A219" s="504">
        <v>2140317010</v>
      </c>
      <c r="B219" s="539" t="s">
        <v>804</v>
      </c>
      <c r="C219" s="505" t="s">
        <v>911</v>
      </c>
      <c r="D219" s="506">
        <v>1300</v>
      </c>
      <c r="E219" s="506">
        <v>2755</v>
      </c>
      <c r="F219" s="506">
        <v>2755</v>
      </c>
      <c r="G219" s="507">
        <v>0</v>
      </c>
      <c r="H219" s="503"/>
      <c r="I219" s="503"/>
      <c r="J219" s="503"/>
      <c r="K219" s="503"/>
    </row>
    <row r="220" spans="1:11" ht="12">
      <c r="A220" s="504">
        <v>2140317011</v>
      </c>
      <c r="B220" s="539" t="s">
        <v>805</v>
      </c>
      <c r="C220" s="505" t="s">
        <v>911</v>
      </c>
      <c r="D220" s="506">
        <v>1700</v>
      </c>
      <c r="E220" s="506">
        <v>1699</v>
      </c>
      <c r="F220" s="506">
        <v>1698</v>
      </c>
      <c r="G220" s="507">
        <v>1</v>
      </c>
      <c r="H220" s="503"/>
      <c r="I220" s="503"/>
      <c r="J220" s="503"/>
      <c r="K220" s="503"/>
    </row>
    <row r="221" spans="1:11" ht="12">
      <c r="A221" s="504">
        <v>2140317012</v>
      </c>
      <c r="B221" s="539" t="s">
        <v>806</v>
      </c>
      <c r="C221" s="505" t="s">
        <v>911</v>
      </c>
      <c r="D221" s="506">
        <v>300</v>
      </c>
      <c r="E221" s="506">
        <v>450</v>
      </c>
      <c r="F221" s="506">
        <v>450</v>
      </c>
      <c r="G221" s="507">
        <v>0</v>
      </c>
      <c r="H221" s="503"/>
      <c r="I221" s="503"/>
      <c r="J221" s="503"/>
      <c r="K221" s="503"/>
    </row>
    <row r="222" spans="1:11" ht="12">
      <c r="A222" s="504">
        <v>2140317013</v>
      </c>
      <c r="B222" s="539" t="s">
        <v>1923</v>
      </c>
      <c r="C222" s="505" t="s">
        <v>911</v>
      </c>
      <c r="D222" s="506">
        <v>350</v>
      </c>
      <c r="E222" s="506">
        <v>300</v>
      </c>
      <c r="F222" s="506">
        <v>298</v>
      </c>
      <c r="G222" s="507">
        <v>2</v>
      </c>
      <c r="H222" s="503"/>
      <c r="I222" s="503"/>
      <c r="J222" s="503"/>
      <c r="K222" s="503"/>
    </row>
    <row r="223" spans="1:11" ht="12">
      <c r="A223" s="504">
        <v>2140317014</v>
      </c>
      <c r="B223" s="539" t="s">
        <v>807</v>
      </c>
      <c r="C223" s="505" t="s">
        <v>808</v>
      </c>
      <c r="D223" s="506">
        <v>500</v>
      </c>
      <c r="E223" s="506">
        <v>408</v>
      </c>
      <c r="F223" s="506">
        <v>408</v>
      </c>
      <c r="G223" s="507">
        <v>0</v>
      </c>
      <c r="H223" s="503"/>
      <c r="I223" s="503"/>
      <c r="J223" s="503"/>
      <c r="K223" s="503"/>
    </row>
    <row r="224" spans="1:11" ht="12">
      <c r="A224" s="504">
        <v>2140317015</v>
      </c>
      <c r="B224" s="539" t="s">
        <v>809</v>
      </c>
      <c r="C224" s="505" t="s">
        <v>808</v>
      </c>
      <c r="D224" s="506">
        <v>115</v>
      </c>
      <c r="E224" s="506">
        <v>126</v>
      </c>
      <c r="F224" s="506">
        <v>125</v>
      </c>
      <c r="G224" s="507">
        <v>0</v>
      </c>
      <c r="H224" s="503"/>
      <c r="I224" s="503"/>
      <c r="J224" s="503"/>
      <c r="K224" s="503"/>
    </row>
    <row r="225" spans="1:11" ht="12">
      <c r="A225" s="504">
        <v>2140317016</v>
      </c>
      <c r="B225" s="539" t="s">
        <v>806</v>
      </c>
      <c r="C225" s="505" t="s">
        <v>808</v>
      </c>
      <c r="D225" s="506">
        <v>1000</v>
      </c>
      <c r="E225" s="506">
        <v>168</v>
      </c>
      <c r="F225" s="506">
        <v>168</v>
      </c>
      <c r="G225" s="507">
        <v>0</v>
      </c>
      <c r="H225" s="503"/>
      <c r="I225" s="503"/>
      <c r="J225" s="503"/>
      <c r="K225" s="503"/>
    </row>
    <row r="226" spans="1:11" ht="12">
      <c r="A226" s="504">
        <v>2140317017</v>
      </c>
      <c r="B226" s="539" t="s">
        <v>302</v>
      </c>
      <c r="C226" s="505" t="s">
        <v>808</v>
      </c>
      <c r="D226" s="506">
        <v>800</v>
      </c>
      <c r="E226" s="506">
        <v>679</v>
      </c>
      <c r="F226" s="506">
        <v>679</v>
      </c>
      <c r="G226" s="507">
        <v>0</v>
      </c>
      <c r="H226" s="503"/>
      <c r="I226" s="503"/>
      <c r="J226" s="503"/>
      <c r="K226" s="503"/>
    </row>
    <row r="227" spans="1:11" ht="12">
      <c r="A227" s="504">
        <v>2140317018</v>
      </c>
      <c r="B227" s="539" t="s">
        <v>1327</v>
      </c>
      <c r="C227" s="505" t="s">
        <v>808</v>
      </c>
      <c r="D227" s="506">
        <v>1000</v>
      </c>
      <c r="E227" s="506">
        <v>997</v>
      </c>
      <c r="F227" s="506">
        <v>987</v>
      </c>
      <c r="G227" s="507">
        <v>0</v>
      </c>
      <c r="H227" s="503"/>
      <c r="I227" s="503"/>
      <c r="J227" s="503"/>
      <c r="K227" s="503"/>
    </row>
    <row r="228" spans="1:11" ht="12">
      <c r="A228" s="504">
        <v>2140317019</v>
      </c>
      <c r="B228" s="539" t="s">
        <v>303</v>
      </c>
      <c r="C228" s="505" t="s">
        <v>808</v>
      </c>
      <c r="D228" s="506">
        <v>30</v>
      </c>
      <c r="E228" s="506">
        <v>22</v>
      </c>
      <c r="F228" s="506">
        <v>21</v>
      </c>
      <c r="G228" s="507">
        <v>0</v>
      </c>
      <c r="H228" s="503"/>
      <c r="I228" s="503"/>
      <c r="J228" s="503"/>
      <c r="K228" s="503"/>
    </row>
    <row r="229" spans="1:11" ht="12">
      <c r="A229" s="504">
        <v>2140317020</v>
      </c>
      <c r="B229" s="539" t="s">
        <v>304</v>
      </c>
      <c r="C229" s="505" t="s">
        <v>305</v>
      </c>
      <c r="D229" s="506">
        <v>751</v>
      </c>
      <c r="E229" s="506">
        <v>974</v>
      </c>
      <c r="F229" s="506">
        <v>974</v>
      </c>
      <c r="G229" s="507">
        <v>0</v>
      </c>
      <c r="H229" s="503"/>
      <c r="I229" s="503"/>
      <c r="J229" s="503"/>
      <c r="K229" s="503"/>
    </row>
    <row r="230" spans="1:11" ht="12">
      <c r="A230" s="504">
        <v>2140317021</v>
      </c>
      <c r="B230" s="539" t="s">
        <v>306</v>
      </c>
      <c r="C230" s="505" t="s">
        <v>305</v>
      </c>
      <c r="D230" s="506">
        <v>109</v>
      </c>
      <c r="E230" s="506">
        <v>118</v>
      </c>
      <c r="F230" s="506">
        <v>118</v>
      </c>
      <c r="G230" s="507">
        <v>0</v>
      </c>
      <c r="H230" s="503"/>
      <c r="I230" s="503"/>
      <c r="J230" s="503"/>
      <c r="K230" s="503"/>
    </row>
    <row r="231" spans="1:11" ht="12">
      <c r="A231" s="504">
        <v>2140317022</v>
      </c>
      <c r="B231" s="539" t="s">
        <v>307</v>
      </c>
      <c r="C231" s="505" t="s">
        <v>305</v>
      </c>
      <c r="D231" s="506">
        <v>1800</v>
      </c>
      <c r="E231" s="506">
        <v>1768</v>
      </c>
      <c r="F231" s="506">
        <v>1768</v>
      </c>
      <c r="G231" s="507">
        <v>0</v>
      </c>
      <c r="H231" s="503"/>
      <c r="I231" s="503"/>
      <c r="J231" s="503"/>
      <c r="K231" s="503"/>
    </row>
    <row r="232" spans="1:11" ht="12">
      <c r="A232" s="504">
        <v>2140317023</v>
      </c>
      <c r="B232" s="539" t="s">
        <v>1923</v>
      </c>
      <c r="C232" s="505" t="s">
        <v>305</v>
      </c>
      <c r="D232" s="506">
        <v>1050</v>
      </c>
      <c r="E232" s="506">
        <v>984</v>
      </c>
      <c r="F232" s="506">
        <v>978</v>
      </c>
      <c r="G232" s="507">
        <v>0</v>
      </c>
      <c r="H232" s="503"/>
      <c r="I232" s="503"/>
      <c r="J232" s="503"/>
      <c r="K232" s="503"/>
    </row>
    <row r="233" spans="1:11" ht="12">
      <c r="A233" s="504">
        <v>2140317024</v>
      </c>
      <c r="B233" s="539" t="s">
        <v>308</v>
      </c>
      <c r="C233" s="505" t="s">
        <v>305</v>
      </c>
      <c r="D233" s="506">
        <v>250</v>
      </c>
      <c r="E233" s="506">
        <v>250</v>
      </c>
      <c r="F233" s="506">
        <v>250</v>
      </c>
      <c r="G233" s="507">
        <v>0</v>
      </c>
      <c r="H233" s="503"/>
      <c r="I233" s="503"/>
      <c r="J233" s="503"/>
      <c r="K233" s="503"/>
    </row>
    <row r="234" spans="1:11" ht="12">
      <c r="A234" s="504">
        <v>2140317025</v>
      </c>
      <c r="B234" s="539" t="s">
        <v>309</v>
      </c>
      <c r="C234" s="505" t="s">
        <v>310</v>
      </c>
      <c r="D234" s="506">
        <v>1000</v>
      </c>
      <c r="E234" s="506">
        <v>1878</v>
      </c>
      <c r="F234" s="506">
        <v>1875</v>
      </c>
      <c r="G234" s="507">
        <v>1</v>
      </c>
      <c r="H234" s="503"/>
      <c r="I234" s="503"/>
      <c r="J234" s="503"/>
      <c r="K234" s="503"/>
    </row>
    <row r="235" spans="1:11" ht="12">
      <c r="A235" s="504">
        <v>2140317026</v>
      </c>
      <c r="B235" s="539" t="s">
        <v>311</v>
      </c>
      <c r="C235" s="505" t="s">
        <v>310</v>
      </c>
      <c r="D235" s="506">
        <v>150</v>
      </c>
      <c r="E235" s="506">
        <v>150</v>
      </c>
      <c r="F235" s="506">
        <v>149</v>
      </c>
      <c r="G235" s="507">
        <v>0</v>
      </c>
      <c r="H235" s="503"/>
      <c r="I235" s="503"/>
      <c r="J235" s="503"/>
      <c r="K235" s="503"/>
    </row>
    <row r="236" spans="1:11" ht="12">
      <c r="A236" s="504">
        <v>2140317027</v>
      </c>
      <c r="B236" s="539" t="s">
        <v>312</v>
      </c>
      <c r="C236" s="505" t="s">
        <v>310</v>
      </c>
      <c r="D236" s="506">
        <v>1550</v>
      </c>
      <c r="E236" s="506">
        <v>151</v>
      </c>
      <c r="F236" s="506">
        <v>149</v>
      </c>
      <c r="G236" s="507">
        <v>0</v>
      </c>
      <c r="H236" s="503"/>
      <c r="I236" s="503"/>
      <c r="J236" s="503"/>
      <c r="K236" s="503"/>
    </row>
    <row r="237" spans="1:11" ht="12">
      <c r="A237" s="504">
        <v>2140317028</v>
      </c>
      <c r="B237" s="539" t="s">
        <v>313</v>
      </c>
      <c r="C237" s="505" t="s">
        <v>310</v>
      </c>
      <c r="D237" s="506">
        <v>1800</v>
      </c>
      <c r="E237" s="506">
        <v>1133</v>
      </c>
      <c r="F237" s="506">
        <v>1132</v>
      </c>
      <c r="G237" s="507">
        <v>0</v>
      </c>
      <c r="H237" s="503"/>
      <c r="I237" s="503"/>
      <c r="J237" s="503"/>
      <c r="K237" s="503"/>
    </row>
    <row r="238" spans="1:11" ht="12">
      <c r="A238" s="504">
        <v>2140317029</v>
      </c>
      <c r="B238" s="539" t="s">
        <v>314</v>
      </c>
      <c r="C238" s="505" t="s">
        <v>315</v>
      </c>
      <c r="D238" s="506">
        <v>150</v>
      </c>
      <c r="E238" s="506">
        <v>0</v>
      </c>
      <c r="F238" s="506">
        <v>0</v>
      </c>
      <c r="G238" s="507">
        <v>0</v>
      </c>
      <c r="H238" s="503"/>
      <c r="I238" s="503"/>
      <c r="J238" s="503"/>
      <c r="K238" s="503"/>
    </row>
    <row r="239" spans="1:11" ht="12">
      <c r="A239" s="504">
        <v>2140317030</v>
      </c>
      <c r="B239" s="539" t="s">
        <v>316</v>
      </c>
      <c r="C239" s="505" t="s">
        <v>315</v>
      </c>
      <c r="D239" s="506">
        <v>710</v>
      </c>
      <c r="E239" s="506">
        <v>860</v>
      </c>
      <c r="F239" s="506">
        <v>858</v>
      </c>
      <c r="G239" s="507">
        <v>0</v>
      </c>
      <c r="H239" s="503"/>
      <c r="I239" s="503"/>
      <c r="J239" s="503"/>
      <c r="K239" s="503"/>
    </row>
    <row r="240" spans="1:11" ht="12">
      <c r="A240" s="504">
        <v>2140317031</v>
      </c>
      <c r="B240" s="539" t="s">
        <v>317</v>
      </c>
      <c r="C240" s="505" t="s">
        <v>315</v>
      </c>
      <c r="D240" s="506">
        <v>270</v>
      </c>
      <c r="E240" s="506">
        <v>270</v>
      </c>
      <c r="F240" s="506">
        <v>267</v>
      </c>
      <c r="G240" s="507">
        <v>0</v>
      </c>
      <c r="H240" s="503"/>
      <c r="I240" s="503"/>
      <c r="J240" s="503"/>
      <c r="K240" s="503"/>
    </row>
    <row r="241" spans="1:11" ht="12">
      <c r="A241" s="504">
        <v>2140317032</v>
      </c>
      <c r="B241" s="539" t="s">
        <v>308</v>
      </c>
      <c r="C241" s="505" t="s">
        <v>315</v>
      </c>
      <c r="D241" s="506">
        <v>200</v>
      </c>
      <c r="E241" s="506">
        <v>200</v>
      </c>
      <c r="F241" s="506">
        <v>197</v>
      </c>
      <c r="G241" s="507">
        <v>0</v>
      </c>
      <c r="H241" s="503"/>
      <c r="I241" s="503"/>
      <c r="J241" s="503"/>
      <c r="K241" s="503"/>
    </row>
    <row r="242" spans="1:11" ht="12">
      <c r="A242" s="504">
        <v>2140317033</v>
      </c>
      <c r="B242" s="539" t="s">
        <v>318</v>
      </c>
      <c r="C242" s="505" t="s">
        <v>315</v>
      </c>
      <c r="D242" s="506">
        <v>820</v>
      </c>
      <c r="E242" s="506">
        <v>783</v>
      </c>
      <c r="F242" s="506">
        <v>742</v>
      </c>
      <c r="G242" s="507">
        <v>30</v>
      </c>
      <c r="H242" s="503"/>
      <c r="I242" s="503"/>
      <c r="J242" s="503"/>
      <c r="K242" s="503"/>
    </row>
    <row r="243" spans="1:11" ht="12">
      <c r="A243" s="504">
        <v>2140317034</v>
      </c>
      <c r="B243" s="539" t="s">
        <v>1341</v>
      </c>
      <c r="C243" s="505" t="s">
        <v>319</v>
      </c>
      <c r="D243" s="506">
        <v>680</v>
      </c>
      <c r="E243" s="506">
        <v>569</v>
      </c>
      <c r="F243" s="506">
        <v>567</v>
      </c>
      <c r="G243" s="507">
        <v>2</v>
      </c>
      <c r="H243" s="503"/>
      <c r="I243" s="503"/>
      <c r="J243" s="503"/>
      <c r="K243" s="503"/>
    </row>
    <row r="244" spans="1:11" ht="12">
      <c r="A244" s="504">
        <v>2140317035</v>
      </c>
      <c r="B244" s="539" t="s">
        <v>308</v>
      </c>
      <c r="C244" s="505" t="s">
        <v>319</v>
      </c>
      <c r="D244" s="506">
        <v>300</v>
      </c>
      <c r="E244" s="506">
        <v>575</v>
      </c>
      <c r="F244" s="506">
        <v>573</v>
      </c>
      <c r="G244" s="507">
        <v>2</v>
      </c>
      <c r="H244" s="503"/>
      <c r="I244" s="503"/>
      <c r="J244" s="503"/>
      <c r="K244" s="503"/>
    </row>
    <row r="245" spans="1:11" ht="12">
      <c r="A245" s="504">
        <v>2140317036</v>
      </c>
      <c r="B245" s="539" t="s">
        <v>320</v>
      </c>
      <c r="C245" s="505" t="s">
        <v>319</v>
      </c>
      <c r="D245" s="506">
        <v>350</v>
      </c>
      <c r="E245" s="506">
        <v>350</v>
      </c>
      <c r="F245" s="506">
        <v>350</v>
      </c>
      <c r="G245" s="507">
        <v>0</v>
      </c>
      <c r="H245" s="503"/>
      <c r="I245" s="503"/>
      <c r="J245" s="503"/>
      <c r="K245" s="503"/>
    </row>
    <row r="246" spans="1:11" ht="12">
      <c r="A246" s="504">
        <v>2140317037</v>
      </c>
      <c r="B246" s="539" t="s">
        <v>321</v>
      </c>
      <c r="C246" s="505" t="s">
        <v>319</v>
      </c>
      <c r="D246" s="506">
        <v>1350</v>
      </c>
      <c r="E246" s="506">
        <v>1350</v>
      </c>
      <c r="F246" s="506">
        <v>1339</v>
      </c>
      <c r="G246" s="507">
        <v>11</v>
      </c>
      <c r="H246" s="503"/>
      <c r="I246" s="503"/>
      <c r="J246" s="503"/>
      <c r="K246" s="503"/>
    </row>
    <row r="247" spans="1:11" ht="12">
      <c r="A247" s="504">
        <v>2140317038</v>
      </c>
      <c r="B247" s="539" t="s">
        <v>322</v>
      </c>
      <c r="C247" s="505" t="s">
        <v>2095</v>
      </c>
      <c r="D247" s="506">
        <v>1590</v>
      </c>
      <c r="E247" s="506">
        <v>2060</v>
      </c>
      <c r="F247" s="506">
        <v>2059</v>
      </c>
      <c r="G247" s="507">
        <v>1</v>
      </c>
      <c r="H247" s="503"/>
      <c r="I247" s="503"/>
      <c r="J247" s="503"/>
      <c r="K247" s="503"/>
    </row>
    <row r="248" spans="1:11" ht="12">
      <c r="A248" s="504">
        <v>2140317039</v>
      </c>
      <c r="B248" s="539" t="s">
        <v>323</v>
      </c>
      <c r="C248" s="505" t="s">
        <v>2095</v>
      </c>
      <c r="D248" s="506">
        <v>1600</v>
      </c>
      <c r="E248" s="506">
        <v>1640</v>
      </c>
      <c r="F248" s="506">
        <v>1640</v>
      </c>
      <c r="G248" s="507">
        <v>0</v>
      </c>
      <c r="H248" s="503"/>
      <c r="I248" s="503"/>
      <c r="J248" s="503"/>
      <c r="K248" s="503"/>
    </row>
    <row r="249" spans="1:11" ht="12">
      <c r="A249" s="504">
        <v>2140317040</v>
      </c>
      <c r="B249" s="539" t="s">
        <v>324</v>
      </c>
      <c r="C249" s="505" t="s">
        <v>2095</v>
      </c>
      <c r="D249" s="506">
        <v>1750</v>
      </c>
      <c r="E249" s="506">
        <v>1160</v>
      </c>
      <c r="F249" s="506">
        <v>1150</v>
      </c>
      <c r="G249" s="507">
        <v>10</v>
      </c>
      <c r="H249" s="503"/>
      <c r="I249" s="503"/>
      <c r="J249" s="503"/>
      <c r="K249" s="503"/>
    </row>
    <row r="250" spans="1:11" ht="12">
      <c r="A250" s="504">
        <v>2140317041</v>
      </c>
      <c r="B250" s="539" t="s">
        <v>308</v>
      </c>
      <c r="C250" s="505" t="s">
        <v>2095</v>
      </c>
      <c r="D250" s="506">
        <v>500</v>
      </c>
      <c r="E250" s="506">
        <v>480</v>
      </c>
      <c r="F250" s="506">
        <v>480</v>
      </c>
      <c r="G250" s="507">
        <v>0</v>
      </c>
      <c r="H250" s="503"/>
      <c r="I250" s="503"/>
      <c r="J250" s="503"/>
      <c r="K250" s="503"/>
    </row>
    <row r="251" spans="1:11" ht="12">
      <c r="A251" s="504">
        <v>2140317042</v>
      </c>
      <c r="B251" s="539" t="s">
        <v>325</v>
      </c>
      <c r="C251" s="505" t="s">
        <v>911</v>
      </c>
      <c r="D251" s="506">
        <v>5000</v>
      </c>
      <c r="E251" s="506">
        <v>3398</v>
      </c>
      <c r="F251" s="506">
        <v>3398</v>
      </c>
      <c r="G251" s="507">
        <v>0</v>
      </c>
      <c r="H251" s="503"/>
      <c r="I251" s="503"/>
      <c r="J251" s="503"/>
      <c r="K251" s="503"/>
    </row>
    <row r="252" spans="1:11" ht="12">
      <c r="A252" s="504">
        <v>2140317043</v>
      </c>
      <c r="B252" s="539" t="s">
        <v>806</v>
      </c>
      <c r="C252" s="505" t="s">
        <v>795</v>
      </c>
      <c r="D252" s="506">
        <v>300</v>
      </c>
      <c r="E252" s="506">
        <v>510</v>
      </c>
      <c r="F252" s="506">
        <v>509</v>
      </c>
      <c r="G252" s="507">
        <v>0</v>
      </c>
      <c r="H252" s="503"/>
      <c r="I252" s="503"/>
      <c r="J252" s="503"/>
      <c r="K252" s="503"/>
    </row>
    <row r="253" spans="1:11" ht="12">
      <c r="A253" s="504">
        <v>2140317044</v>
      </c>
      <c r="B253" s="539" t="s">
        <v>326</v>
      </c>
      <c r="C253" s="505" t="s">
        <v>808</v>
      </c>
      <c r="D253" s="506">
        <v>0</v>
      </c>
      <c r="E253" s="506">
        <v>932</v>
      </c>
      <c r="F253" s="506">
        <v>930</v>
      </c>
      <c r="G253" s="507">
        <v>0</v>
      </c>
      <c r="H253" s="503"/>
      <c r="I253" s="503"/>
      <c r="J253" s="503"/>
      <c r="K253" s="503"/>
    </row>
    <row r="254" spans="1:11" ht="12">
      <c r="A254" s="504">
        <v>2140317045</v>
      </c>
      <c r="B254" s="539" t="s">
        <v>327</v>
      </c>
      <c r="C254" s="505" t="s">
        <v>305</v>
      </c>
      <c r="D254" s="506">
        <v>0</v>
      </c>
      <c r="E254" s="506">
        <v>1400</v>
      </c>
      <c r="F254" s="506">
        <v>1400</v>
      </c>
      <c r="G254" s="507">
        <v>0</v>
      </c>
      <c r="H254" s="503"/>
      <c r="I254" s="503"/>
      <c r="J254" s="503"/>
      <c r="K254" s="503"/>
    </row>
    <row r="255" spans="1:11" ht="12">
      <c r="A255" s="504">
        <v>2140317046</v>
      </c>
      <c r="B255" s="539" t="s">
        <v>328</v>
      </c>
      <c r="C255" s="505" t="s">
        <v>808</v>
      </c>
      <c r="D255" s="506">
        <v>70</v>
      </c>
      <c r="E255" s="506">
        <v>67</v>
      </c>
      <c r="F255" s="506">
        <v>67</v>
      </c>
      <c r="G255" s="507">
        <v>0</v>
      </c>
      <c r="H255" s="503"/>
      <c r="I255" s="503"/>
      <c r="J255" s="503"/>
      <c r="K255" s="503"/>
    </row>
    <row r="256" spans="1:11" ht="12">
      <c r="A256" s="504">
        <v>2140317047</v>
      </c>
      <c r="B256" s="539" t="s">
        <v>308</v>
      </c>
      <c r="C256" s="505" t="s">
        <v>310</v>
      </c>
      <c r="D256" s="506">
        <v>0</v>
      </c>
      <c r="E256" s="506">
        <v>341</v>
      </c>
      <c r="F256" s="506">
        <v>340</v>
      </c>
      <c r="G256" s="507">
        <v>0</v>
      </c>
      <c r="H256" s="503"/>
      <c r="I256" s="503"/>
      <c r="J256" s="503"/>
      <c r="K256" s="503"/>
    </row>
    <row r="257" spans="1:11" ht="12">
      <c r="A257" s="504">
        <v>2140317048</v>
      </c>
      <c r="B257" s="539" t="s">
        <v>329</v>
      </c>
      <c r="C257" s="505" t="s">
        <v>795</v>
      </c>
      <c r="D257" s="506">
        <v>0</v>
      </c>
      <c r="E257" s="506">
        <v>70</v>
      </c>
      <c r="F257" s="506">
        <v>68</v>
      </c>
      <c r="G257" s="507">
        <v>0</v>
      </c>
      <c r="H257" s="503"/>
      <c r="I257" s="503"/>
      <c r="J257" s="503"/>
      <c r="K257" s="503"/>
    </row>
    <row r="258" spans="1:11" ht="12">
      <c r="A258" s="504">
        <v>2140317049</v>
      </c>
      <c r="B258" s="539" t="s">
        <v>330</v>
      </c>
      <c r="C258" s="505" t="s">
        <v>315</v>
      </c>
      <c r="D258" s="506">
        <v>0</v>
      </c>
      <c r="E258" s="506">
        <v>340</v>
      </c>
      <c r="F258" s="506">
        <v>340</v>
      </c>
      <c r="G258" s="507">
        <v>0</v>
      </c>
      <c r="H258" s="503"/>
      <c r="I258" s="503"/>
      <c r="J258" s="503"/>
      <c r="K258" s="503"/>
    </row>
    <row r="259" spans="1:11" ht="12">
      <c r="A259" s="504">
        <v>2140317050</v>
      </c>
      <c r="B259" s="539" t="s">
        <v>331</v>
      </c>
      <c r="C259" s="505" t="s">
        <v>795</v>
      </c>
      <c r="D259" s="506">
        <v>0</v>
      </c>
      <c r="E259" s="506">
        <v>3226</v>
      </c>
      <c r="F259" s="506">
        <v>3225</v>
      </c>
      <c r="G259" s="507">
        <v>0</v>
      </c>
      <c r="H259" s="503"/>
      <c r="I259" s="503"/>
      <c r="J259" s="503"/>
      <c r="K259" s="503"/>
    </row>
    <row r="260" spans="1:11" ht="12">
      <c r="A260" s="504">
        <v>2140317051</v>
      </c>
      <c r="B260" s="539" t="s">
        <v>332</v>
      </c>
      <c r="C260" s="505" t="s">
        <v>808</v>
      </c>
      <c r="D260" s="506">
        <v>0</v>
      </c>
      <c r="E260" s="506">
        <v>2</v>
      </c>
      <c r="F260" s="506">
        <v>1</v>
      </c>
      <c r="G260" s="507">
        <v>0</v>
      </c>
      <c r="H260" s="503"/>
      <c r="I260" s="503"/>
      <c r="J260" s="503"/>
      <c r="K260" s="503"/>
    </row>
    <row r="261" spans="1:11" ht="12">
      <c r="A261" s="504">
        <v>2140317052</v>
      </c>
      <c r="B261" s="539" t="s">
        <v>333</v>
      </c>
      <c r="C261" s="505" t="s">
        <v>319</v>
      </c>
      <c r="D261" s="506">
        <v>0</v>
      </c>
      <c r="E261" s="506">
        <v>219</v>
      </c>
      <c r="F261" s="506">
        <v>219</v>
      </c>
      <c r="G261" s="507">
        <v>0</v>
      </c>
      <c r="H261" s="503"/>
      <c r="I261" s="503"/>
      <c r="J261" s="503"/>
      <c r="K261" s="503"/>
    </row>
    <row r="262" spans="1:11" ht="12">
      <c r="A262" s="504">
        <v>2140317053</v>
      </c>
      <c r="B262" s="539" t="s">
        <v>334</v>
      </c>
      <c r="C262" s="505" t="s">
        <v>795</v>
      </c>
      <c r="D262" s="506">
        <v>0</v>
      </c>
      <c r="E262" s="506">
        <v>90</v>
      </c>
      <c r="F262" s="506">
        <v>90</v>
      </c>
      <c r="G262" s="507">
        <v>0</v>
      </c>
      <c r="H262" s="503"/>
      <c r="I262" s="503"/>
      <c r="J262" s="503"/>
      <c r="K262" s="503"/>
    </row>
    <row r="263" spans="1:11" ht="12">
      <c r="A263" s="504">
        <v>2140317054</v>
      </c>
      <c r="B263" s="539" t="s">
        <v>335</v>
      </c>
      <c r="C263" s="505" t="s">
        <v>310</v>
      </c>
      <c r="D263" s="506">
        <v>0</v>
      </c>
      <c r="E263" s="506">
        <v>646</v>
      </c>
      <c r="F263" s="506">
        <v>646</v>
      </c>
      <c r="G263" s="507">
        <v>0</v>
      </c>
      <c r="H263" s="503"/>
      <c r="I263" s="503"/>
      <c r="J263" s="503"/>
      <c r="K263" s="503"/>
    </row>
    <row r="264" spans="1:11" ht="12">
      <c r="A264" s="504">
        <v>2140317055</v>
      </c>
      <c r="B264" s="539" t="s">
        <v>336</v>
      </c>
      <c r="C264" s="505" t="s">
        <v>795</v>
      </c>
      <c r="D264" s="506">
        <v>0</v>
      </c>
      <c r="E264" s="506">
        <v>112</v>
      </c>
      <c r="F264" s="506">
        <v>112</v>
      </c>
      <c r="G264" s="507">
        <v>0</v>
      </c>
      <c r="H264" s="503"/>
      <c r="I264" s="503"/>
      <c r="J264" s="503"/>
      <c r="K264" s="503"/>
    </row>
    <row r="265" spans="1:11" ht="12">
      <c r="A265" s="504">
        <v>2140317056</v>
      </c>
      <c r="B265" s="539" t="s">
        <v>337</v>
      </c>
      <c r="C265" s="505" t="s">
        <v>795</v>
      </c>
      <c r="D265" s="506">
        <v>0</v>
      </c>
      <c r="E265" s="506">
        <v>55</v>
      </c>
      <c r="F265" s="506">
        <v>55</v>
      </c>
      <c r="G265" s="507">
        <v>0</v>
      </c>
      <c r="H265" s="503"/>
      <c r="I265" s="503"/>
      <c r="J265" s="503"/>
      <c r="K265" s="503"/>
    </row>
    <row r="266" spans="1:11" ht="12">
      <c r="A266" s="504">
        <v>2140317057</v>
      </c>
      <c r="B266" s="539" t="s">
        <v>338</v>
      </c>
      <c r="C266" s="505" t="s">
        <v>310</v>
      </c>
      <c r="D266" s="506">
        <v>0</v>
      </c>
      <c r="E266" s="506">
        <v>250</v>
      </c>
      <c r="F266" s="506">
        <v>249</v>
      </c>
      <c r="G266" s="507">
        <v>1</v>
      </c>
      <c r="H266" s="503"/>
      <c r="I266" s="503"/>
      <c r="J266" s="503"/>
      <c r="K266" s="503"/>
    </row>
    <row r="267" spans="1:11" ht="12">
      <c r="A267" s="504">
        <v>2140317058</v>
      </c>
      <c r="B267" s="539" t="s">
        <v>339</v>
      </c>
      <c r="C267" s="505" t="s">
        <v>795</v>
      </c>
      <c r="D267" s="506">
        <v>0</v>
      </c>
      <c r="E267" s="506">
        <v>1724</v>
      </c>
      <c r="F267" s="506">
        <v>1722</v>
      </c>
      <c r="G267" s="507">
        <v>0</v>
      </c>
      <c r="H267" s="503"/>
      <c r="I267" s="503"/>
      <c r="J267" s="503"/>
      <c r="K267" s="503"/>
    </row>
    <row r="268" spans="1:11" ht="12">
      <c r="A268" s="504">
        <v>2140317059</v>
      </c>
      <c r="B268" s="539" t="s">
        <v>340</v>
      </c>
      <c r="C268" s="505" t="s">
        <v>795</v>
      </c>
      <c r="D268" s="506">
        <v>0</v>
      </c>
      <c r="E268" s="506">
        <v>807</v>
      </c>
      <c r="F268" s="506">
        <v>806</v>
      </c>
      <c r="G268" s="507">
        <v>0</v>
      </c>
      <c r="H268" s="503"/>
      <c r="I268" s="503"/>
      <c r="J268" s="503"/>
      <c r="K268" s="503"/>
    </row>
    <row r="269" spans="1:11" ht="12">
      <c r="A269" s="504">
        <v>2140317060</v>
      </c>
      <c r="B269" s="539" t="s">
        <v>341</v>
      </c>
      <c r="C269" s="505" t="s">
        <v>315</v>
      </c>
      <c r="D269" s="506">
        <v>0</v>
      </c>
      <c r="E269" s="506">
        <v>116</v>
      </c>
      <c r="F269" s="506">
        <v>114</v>
      </c>
      <c r="G269" s="507">
        <v>0</v>
      </c>
      <c r="H269" s="503"/>
      <c r="I269" s="503"/>
      <c r="J269" s="503"/>
      <c r="K269" s="503"/>
    </row>
    <row r="270" spans="1:11" ht="12">
      <c r="A270" s="504">
        <v>2140317061</v>
      </c>
      <c r="B270" s="539" t="s">
        <v>225</v>
      </c>
      <c r="C270" s="505" t="s">
        <v>2095</v>
      </c>
      <c r="D270" s="506">
        <v>0</v>
      </c>
      <c r="E270" s="506">
        <v>0</v>
      </c>
      <c r="F270" s="506">
        <v>33</v>
      </c>
      <c r="G270" s="507">
        <v>0</v>
      </c>
      <c r="H270" s="503"/>
      <c r="I270" s="503"/>
      <c r="J270" s="503"/>
      <c r="K270" s="503"/>
    </row>
    <row r="271" spans="1:11" ht="12">
      <c r="A271" s="504">
        <v>2140325014</v>
      </c>
      <c r="B271" s="539" t="s">
        <v>342</v>
      </c>
      <c r="C271" s="505" t="s">
        <v>795</v>
      </c>
      <c r="D271" s="506">
        <v>139500</v>
      </c>
      <c r="E271" s="506">
        <v>158000</v>
      </c>
      <c r="F271" s="506">
        <v>157997</v>
      </c>
      <c r="G271" s="507">
        <v>0</v>
      </c>
      <c r="H271" s="503"/>
      <c r="I271" s="503"/>
      <c r="J271" s="503"/>
      <c r="K271" s="503"/>
    </row>
    <row r="272" spans="1:11" ht="12">
      <c r="A272" s="504">
        <v>2140326025</v>
      </c>
      <c r="B272" s="539" t="s">
        <v>343</v>
      </c>
      <c r="C272" s="505" t="s">
        <v>808</v>
      </c>
      <c r="D272" s="506">
        <v>270</v>
      </c>
      <c r="E272" s="506">
        <v>517</v>
      </c>
      <c r="F272" s="506">
        <v>516</v>
      </c>
      <c r="G272" s="507">
        <v>0</v>
      </c>
      <c r="H272" s="503"/>
      <c r="I272" s="503"/>
      <c r="J272" s="503"/>
      <c r="K272" s="503"/>
    </row>
    <row r="273" spans="1:11" ht="12">
      <c r="A273" s="504">
        <v>2140327001</v>
      </c>
      <c r="B273" s="539" t="s">
        <v>2273</v>
      </c>
      <c r="C273" s="505" t="s">
        <v>795</v>
      </c>
      <c r="D273" s="506">
        <v>3500</v>
      </c>
      <c r="E273" s="506">
        <v>4441</v>
      </c>
      <c r="F273" s="506">
        <v>4429</v>
      </c>
      <c r="G273" s="507">
        <v>0</v>
      </c>
      <c r="H273" s="503"/>
      <c r="I273" s="503"/>
      <c r="J273" s="503"/>
      <c r="K273" s="503"/>
    </row>
    <row r="274" spans="1:11" ht="12">
      <c r="A274" s="504">
        <v>2140327002</v>
      </c>
      <c r="B274" s="539" t="s">
        <v>344</v>
      </c>
      <c r="C274" s="505" t="s">
        <v>795</v>
      </c>
      <c r="D274" s="506">
        <v>3000</v>
      </c>
      <c r="E274" s="506">
        <v>0</v>
      </c>
      <c r="F274" s="506">
        <v>0</v>
      </c>
      <c r="G274" s="507">
        <v>0</v>
      </c>
      <c r="H274" s="503"/>
      <c r="I274" s="503"/>
      <c r="J274" s="503"/>
      <c r="K274" s="503"/>
    </row>
    <row r="275" spans="1:11" ht="12">
      <c r="A275" s="504">
        <v>2140327003</v>
      </c>
      <c r="B275" s="539" t="s">
        <v>345</v>
      </c>
      <c r="C275" s="505" t="s">
        <v>795</v>
      </c>
      <c r="D275" s="506">
        <v>560</v>
      </c>
      <c r="E275" s="506">
        <v>860</v>
      </c>
      <c r="F275" s="506">
        <v>860</v>
      </c>
      <c r="G275" s="507">
        <v>0</v>
      </c>
      <c r="H275" s="503"/>
      <c r="I275" s="503"/>
      <c r="J275" s="503"/>
      <c r="K275" s="503"/>
    </row>
    <row r="276" spans="1:11" ht="12">
      <c r="A276" s="504">
        <v>2140327004</v>
      </c>
      <c r="B276" s="539" t="s">
        <v>2049</v>
      </c>
      <c r="C276" s="505" t="s">
        <v>795</v>
      </c>
      <c r="D276" s="506">
        <v>80</v>
      </c>
      <c r="E276" s="506">
        <v>0</v>
      </c>
      <c r="F276" s="506">
        <v>0</v>
      </c>
      <c r="G276" s="507">
        <v>0</v>
      </c>
      <c r="H276" s="503"/>
      <c r="I276" s="503"/>
      <c r="J276" s="503"/>
      <c r="K276" s="503"/>
    </row>
    <row r="277" spans="1:11" ht="12">
      <c r="A277" s="504">
        <v>2140327005</v>
      </c>
      <c r="B277" s="539" t="s">
        <v>2050</v>
      </c>
      <c r="C277" s="505" t="s">
        <v>795</v>
      </c>
      <c r="D277" s="506">
        <v>70</v>
      </c>
      <c r="E277" s="506">
        <v>69</v>
      </c>
      <c r="F277" s="506">
        <v>69</v>
      </c>
      <c r="G277" s="507">
        <v>0</v>
      </c>
      <c r="H277" s="503"/>
      <c r="I277" s="503"/>
      <c r="J277" s="503"/>
      <c r="K277" s="503"/>
    </row>
    <row r="278" spans="1:11" ht="12">
      <c r="A278" s="504">
        <v>2140327006</v>
      </c>
      <c r="B278" s="539" t="s">
        <v>2051</v>
      </c>
      <c r="C278" s="505" t="s">
        <v>795</v>
      </c>
      <c r="D278" s="506">
        <v>55</v>
      </c>
      <c r="E278" s="506">
        <v>0</v>
      </c>
      <c r="F278" s="506">
        <v>0</v>
      </c>
      <c r="G278" s="507">
        <v>0</v>
      </c>
      <c r="H278" s="503"/>
      <c r="I278" s="503"/>
      <c r="J278" s="503"/>
      <c r="K278" s="503"/>
    </row>
    <row r="279" spans="1:11" ht="12">
      <c r="A279" s="504">
        <v>2140327007</v>
      </c>
      <c r="B279" s="539" t="s">
        <v>2052</v>
      </c>
      <c r="C279" s="505" t="s">
        <v>911</v>
      </c>
      <c r="D279" s="506">
        <v>150</v>
      </c>
      <c r="E279" s="506">
        <v>0</v>
      </c>
      <c r="F279" s="506">
        <v>0</v>
      </c>
      <c r="G279" s="507">
        <v>0</v>
      </c>
      <c r="H279" s="503"/>
      <c r="I279" s="503"/>
      <c r="J279" s="503"/>
      <c r="K279" s="503"/>
    </row>
    <row r="280" spans="1:11" ht="12">
      <c r="A280" s="504">
        <v>2140327008</v>
      </c>
      <c r="B280" s="539" t="s">
        <v>2053</v>
      </c>
      <c r="C280" s="505" t="s">
        <v>911</v>
      </c>
      <c r="D280" s="506">
        <v>9770</v>
      </c>
      <c r="E280" s="506">
        <v>10020</v>
      </c>
      <c r="F280" s="506">
        <v>10020</v>
      </c>
      <c r="G280" s="507">
        <v>0</v>
      </c>
      <c r="H280" s="503"/>
      <c r="I280" s="503"/>
      <c r="J280" s="503"/>
      <c r="K280" s="503"/>
    </row>
    <row r="281" spans="1:11" ht="12">
      <c r="A281" s="504">
        <v>2140327010</v>
      </c>
      <c r="B281" s="539" t="s">
        <v>2054</v>
      </c>
      <c r="C281" s="505" t="s">
        <v>808</v>
      </c>
      <c r="D281" s="506">
        <v>516</v>
      </c>
      <c r="E281" s="506">
        <v>589</v>
      </c>
      <c r="F281" s="506">
        <v>589</v>
      </c>
      <c r="G281" s="507">
        <v>0</v>
      </c>
      <c r="H281" s="503"/>
      <c r="I281" s="503"/>
      <c r="J281" s="503"/>
      <c r="K281" s="503"/>
    </row>
    <row r="282" spans="1:11" ht="12">
      <c r="A282" s="504">
        <v>2140327011</v>
      </c>
      <c r="B282" s="539" t="s">
        <v>2273</v>
      </c>
      <c r="C282" s="505" t="s">
        <v>808</v>
      </c>
      <c r="D282" s="506">
        <v>1977</v>
      </c>
      <c r="E282" s="506">
        <v>1120</v>
      </c>
      <c r="F282" s="506">
        <v>1120</v>
      </c>
      <c r="G282" s="507">
        <v>0</v>
      </c>
      <c r="H282" s="503"/>
      <c r="I282" s="503"/>
      <c r="J282" s="503"/>
      <c r="K282" s="503"/>
    </row>
    <row r="283" spans="1:11" ht="12">
      <c r="A283" s="504">
        <v>2140327012</v>
      </c>
      <c r="B283" s="539" t="s">
        <v>2055</v>
      </c>
      <c r="C283" s="505" t="s">
        <v>305</v>
      </c>
      <c r="D283" s="506">
        <v>1600</v>
      </c>
      <c r="E283" s="506">
        <v>0</v>
      </c>
      <c r="F283" s="506">
        <v>0</v>
      </c>
      <c r="G283" s="507">
        <v>0</v>
      </c>
      <c r="H283" s="503"/>
      <c r="I283" s="503"/>
      <c r="J283" s="503"/>
      <c r="K283" s="503"/>
    </row>
    <row r="284" spans="1:11" ht="12">
      <c r="A284" s="504">
        <v>2140327013</v>
      </c>
      <c r="B284" s="539" t="s">
        <v>2056</v>
      </c>
      <c r="C284" s="505" t="s">
        <v>305</v>
      </c>
      <c r="D284" s="506">
        <v>1470</v>
      </c>
      <c r="E284" s="506">
        <v>2770</v>
      </c>
      <c r="F284" s="506">
        <v>2767</v>
      </c>
      <c r="G284" s="507">
        <v>0</v>
      </c>
      <c r="H284" s="503"/>
      <c r="I284" s="503"/>
      <c r="J284" s="503"/>
      <c r="K284" s="503"/>
    </row>
    <row r="285" spans="1:11" ht="12">
      <c r="A285" s="504">
        <v>2140327014</v>
      </c>
      <c r="B285" s="539" t="s">
        <v>2278</v>
      </c>
      <c r="C285" s="505" t="s">
        <v>305</v>
      </c>
      <c r="D285" s="506">
        <v>2000</v>
      </c>
      <c r="E285" s="506">
        <v>2000</v>
      </c>
      <c r="F285" s="506">
        <v>1999</v>
      </c>
      <c r="G285" s="507">
        <v>0</v>
      </c>
      <c r="H285" s="503"/>
      <c r="I285" s="503"/>
      <c r="J285" s="503"/>
      <c r="K285" s="503"/>
    </row>
    <row r="286" spans="1:11" ht="12">
      <c r="A286" s="504">
        <v>2140327015</v>
      </c>
      <c r="B286" s="539" t="s">
        <v>2057</v>
      </c>
      <c r="C286" s="505" t="s">
        <v>310</v>
      </c>
      <c r="D286" s="506">
        <v>400</v>
      </c>
      <c r="E286" s="506">
        <v>400</v>
      </c>
      <c r="F286" s="506">
        <v>399</v>
      </c>
      <c r="G286" s="507">
        <v>1</v>
      </c>
      <c r="H286" s="503"/>
      <c r="I286" s="503"/>
      <c r="J286" s="503"/>
      <c r="K286" s="503"/>
    </row>
    <row r="287" spans="1:11" ht="12">
      <c r="A287" s="504">
        <v>2140327016</v>
      </c>
      <c r="B287" s="539" t="s">
        <v>2058</v>
      </c>
      <c r="C287" s="505" t="s">
        <v>310</v>
      </c>
      <c r="D287" s="506">
        <v>20</v>
      </c>
      <c r="E287" s="506">
        <v>0</v>
      </c>
      <c r="F287" s="506">
        <v>0</v>
      </c>
      <c r="G287" s="507">
        <v>0</v>
      </c>
      <c r="H287" s="503"/>
      <c r="I287" s="503"/>
      <c r="J287" s="503"/>
      <c r="K287" s="503"/>
    </row>
    <row r="288" spans="1:11" ht="12">
      <c r="A288" s="504">
        <v>2140327017</v>
      </c>
      <c r="B288" s="539" t="s">
        <v>2059</v>
      </c>
      <c r="C288" s="505" t="s">
        <v>310</v>
      </c>
      <c r="D288" s="506">
        <v>150</v>
      </c>
      <c r="E288" s="506">
        <v>0</v>
      </c>
      <c r="F288" s="506">
        <v>0</v>
      </c>
      <c r="G288" s="507">
        <v>0</v>
      </c>
      <c r="H288" s="503"/>
      <c r="I288" s="503"/>
      <c r="J288" s="503"/>
      <c r="K288" s="503"/>
    </row>
    <row r="289" spans="1:11" ht="12">
      <c r="A289" s="504">
        <v>2140327018</v>
      </c>
      <c r="B289" s="539" t="s">
        <v>2060</v>
      </c>
      <c r="C289" s="505" t="s">
        <v>310</v>
      </c>
      <c r="D289" s="506">
        <v>350</v>
      </c>
      <c r="E289" s="506">
        <v>350</v>
      </c>
      <c r="F289" s="506">
        <v>350</v>
      </c>
      <c r="G289" s="507">
        <v>0</v>
      </c>
      <c r="H289" s="503"/>
      <c r="I289" s="503"/>
      <c r="J289" s="503"/>
      <c r="K289" s="503"/>
    </row>
    <row r="290" spans="1:11" ht="12">
      <c r="A290" s="504">
        <v>2140327019</v>
      </c>
      <c r="B290" s="539" t="s">
        <v>2278</v>
      </c>
      <c r="C290" s="505" t="s">
        <v>310</v>
      </c>
      <c r="D290" s="506">
        <v>2830</v>
      </c>
      <c r="E290" s="506">
        <v>2509</v>
      </c>
      <c r="F290" s="506">
        <v>2752</v>
      </c>
      <c r="G290" s="507">
        <v>0</v>
      </c>
      <c r="H290" s="503"/>
      <c r="I290" s="503"/>
      <c r="J290" s="503"/>
      <c r="K290" s="503"/>
    </row>
    <row r="291" spans="1:11" ht="12">
      <c r="A291" s="504">
        <v>2140327020</v>
      </c>
      <c r="B291" s="539" t="s">
        <v>2061</v>
      </c>
      <c r="C291" s="505" t="s">
        <v>315</v>
      </c>
      <c r="D291" s="506">
        <v>1850</v>
      </c>
      <c r="E291" s="506">
        <v>2390</v>
      </c>
      <c r="F291" s="506">
        <v>2294</v>
      </c>
      <c r="G291" s="507">
        <v>90</v>
      </c>
      <c r="H291" s="503"/>
      <c r="I291" s="503"/>
      <c r="J291" s="503"/>
      <c r="K291" s="503"/>
    </row>
    <row r="292" spans="1:11" ht="12">
      <c r="A292" s="504">
        <v>2140327021</v>
      </c>
      <c r="B292" s="539" t="s">
        <v>2062</v>
      </c>
      <c r="C292" s="505" t="s">
        <v>315</v>
      </c>
      <c r="D292" s="506">
        <v>200</v>
      </c>
      <c r="E292" s="506">
        <v>0</v>
      </c>
      <c r="F292" s="506">
        <v>0</v>
      </c>
      <c r="G292" s="507">
        <v>0</v>
      </c>
      <c r="H292" s="503"/>
      <c r="I292" s="503"/>
      <c r="J292" s="503"/>
      <c r="K292" s="503"/>
    </row>
    <row r="293" spans="1:11" ht="12">
      <c r="A293" s="504">
        <v>2140327022</v>
      </c>
      <c r="B293" s="539" t="s">
        <v>2063</v>
      </c>
      <c r="C293" s="505" t="s">
        <v>315</v>
      </c>
      <c r="D293" s="506">
        <v>250</v>
      </c>
      <c r="E293" s="506">
        <v>240</v>
      </c>
      <c r="F293" s="506">
        <v>240</v>
      </c>
      <c r="G293" s="507">
        <v>0</v>
      </c>
      <c r="H293" s="503"/>
      <c r="I293" s="503"/>
      <c r="J293" s="503"/>
      <c r="K293" s="503"/>
    </row>
    <row r="294" spans="1:11" ht="12">
      <c r="A294" s="504">
        <v>2140327023</v>
      </c>
      <c r="B294" s="539" t="s">
        <v>1095</v>
      </c>
      <c r="C294" s="505" t="s">
        <v>319</v>
      </c>
      <c r="D294" s="506">
        <v>1500</v>
      </c>
      <c r="E294" s="506">
        <v>2378</v>
      </c>
      <c r="F294" s="506">
        <v>2377</v>
      </c>
      <c r="G294" s="507">
        <v>1</v>
      </c>
      <c r="H294" s="503"/>
      <c r="I294" s="503"/>
      <c r="J294" s="503"/>
      <c r="K294" s="503"/>
    </row>
    <row r="295" spans="1:11" ht="12">
      <c r="A295" s="504">
        <v>2140327024</v>
      </c>
      <c r="B295" s="539" t="s">
        <v>1096</v>
      </c>
      <c r="C295" s="505" t="s">
        <v>319</v>
      </c>
      <c r="D295" s="506">
        <v>115</v>
      </c>
      <c r="E295" s="506">
        <v>0</v>
      </c>
      <c r="F295" s="506">
        <v>0</v>
      </c>
      <c r="G295" s="507">
        <v>0</v>
      </c>
      <c r="H295" s="503"/>
      <c r="I295" s="503"/>
      <c r="J295" s="503"/>
      <c r="K295" s="503"/>
    </row>
    <row r="296" spans="1:11" ht="12">
      <c r="A296" s="504">
        <v>2140327025</v>
      </c>
      <c r="B296" s="539" t="s">
        <v>2278</v>
      </c>
      <c r="C296" s="505" t="s">
        <v>319</v>
      </c>
      <c r="D296" s="506">
        <v>2650</v>
      </c>
      <c r="E296" s="506">
        <v>2740</v>
      </c>
      <c r="F296" s="506">
        <v>2738</v>
      </c>
      <c r="G296" s="507">
        <v>2</v>
      </c>
      <c r="H296" s="503"/>
      <c r="I296" s="503"/>
      <c r="J296" s="503"/>
      <c r="K296" s="503"/>
    </row>
    <row r="297" spans="1:11" ht="12">
      <c r="A297" s="504">
        <v>2140327026</v>
      </c>
      <c r="B297" s="539" t="s">
        <v>1097</v>
      </c>
      <c r="C297" s="505" t="s">
        <v>2095</v>
      </c>
      <c r="D297" s="506">
        <v>2200</v>
      </c>
      <c r="E297" s="506">
        <v>0</v>
      </c>
      <c r="F297" s="506">
        <v>0</v>
      </c>
      <c r="G297" s="507">
        <v>0</v>
      </c>
      <c r="H297" s="503"/>
      <c r="I297" s="503"/>
      <c r="J297" s="503"/>
      <c r="K297" s="503"/>
    </row>
    <row r="298" spans="1:11" ht="12">
      <c r="A298" s="504">
        <v>2140327027</v>
      </c>
      <c r="B298" s="539" t="s">
        <v>1098</v>
      </c>
      <c r="C298" s="505" t="s">
        <v>2095</v>
      </c>
      <c r="D298" s="506">
        <v>6852</v>
      </c>
      <c r="E298" s="506">
        <v>0</v>
      </c>
      <c r="F298" s="506">
        <v>0</v>
      </c>
      <c r="G298" s="507">
        <v>0</v>
      </c>
      <c r="H298" s="503"/>
      <c r="I298" s="503"/>
      <c r="J298" s="503"/>
      <c r="K298" s="503"/>
    </row>
    <row r="299" spans="1:11" ht="12">
      <c r="A299" s="504">
        <v>2140327028</v>
      </c>
      <c r="B299" s="539" t="s">
        <v>1099</v>
      </c>
      <c r="C299" s="505" t="s">
        <v>2095</v>
      </c>
      <c r="D299" s="506">
        <v>5679</v>
      </c>
      <c r="E299" s="506">
        <v>0</v>
      </c>
      <c r="F299" s="506">
        <v>0</v>
      </c>
      <c r="G299" s="507">
        <v>0</v>
      </c>
      <c r="H299" s="503"/>
      <c r="I299" s="503"/>
      <c r="J299" s="503"/>
      <c r="K299" s="503"/>
    </row>
    <row r="300" spans="1:11" ht="12">
      <c r="A300" s="504">
        <v>2140327029</v>
      </c>
      <c r="B300" s="539" t="s">
        <v>2278</v>
      </c>
      <c r="C300" s="505" t="s">
        <v>2095</v>
      </c>
      <c r="D300" s="506">
        <v>7500</v>
      </c>
      <c r="E300" s="506">
        <v>13302</v>
      </c>
      <c r="F300" s="506">
        <v>13297</v>
      </c>
      <c r="G300" s="507">
        <v>3</v>
      </c>
      <c r="H300" s="503"/>
      <c r="I300" s="503"/>
      <c r="J300" s="503"/>
      <c r="K300" s="503"/>
    </row>
    <row r="301" spans="1:11" ht="12">
      <c r="A301" s="504">
        <v>2140327030</v>
      </c>
      <c r="B301" s="539" t="s">
        <v>1100</v>
      </c>
      <c r="C301" s="505" t="s">
        <v>2095</v>
      </c>
      <c r="D301" s="506">
        <v>0</v>
      </c>
      <c r="E301" s="506">
        <v>4874</v>
      </c>
      <c r="F301" s="506">
        <v>4873</v>
      </c>
      <c r="G301" s="507">
        <v>1</v>
      </c>
      <c r="H301" s="503"/>
      <c r="I301" s="503"/>
      <c r="J301" s="503"/>
      <c r="K301" s="503"/>
    </row>
    <row r="302" spans="1:11" ht="12">
      <c r="A302" s="504">
        <v>2140327031</v>
      </c>
      <c r="B302" s="539" t="s">
        <v>1101</v>
      </c>
      <c r="C302" s="505" t="s">
        <v>310</v>
      </c>
      <c r="D302" s="506">
        <v>0</v>
      </c>
      <c r="E302" s="506">
        <v>349</v>
      </c>
      <c r="F302" s="506">
        <v>348</v>
      </c>
      <c r="G302" s="507">
        <v>1</v>
      </c>
      <c r="H302" s="503"/>
      <c r="I302" s="503"/>
      <c r="J302" s="503"/>
      <c r="K302" s="503"/>
    </row>
    <row r="303" spans="1:11" ht="12">
      <c r="A303" s="504">
        <v>2140327032</v>
      </c>
      <c r="B303" s="539" t="s">
        <v>1102</v>
      </c>
      <c r="C303" s="505" t="s">
        <v>310</v>
      </c>
      <c r="D303" s="506">
        <v>0</v>
      </c>
      <c r="E303" s="506">
        <v>100</v>
      </c>
      <c r="F303" s="506">
        <v>100</v>
      </c>
      <c r="G303" s="507">
        <v>0</v>
      </c>
      <c r="H303" s="503"/>
      <c r="I303" s="503"/>
      <c r="J303" s="503"/>
      <c r="K303" s="503"/>
    </row>
    <row r="304" spans="1:11" ht="12">
      <c r="A304" s="504">
        <v>2140327033</v>
      </c>
      <c r="B304" s="539" t="s">
        <v>1103</v>
      </c>
      <c r="C304" s="505" t="s">
        <v>310</v>
      </c>
      <c r="D304" s="506">
        <v>0</v>
      </c>
      <c r="E304" s="506">
        <v>82</v>
      </c>
      <c r="F304" s="506">
        <v>81</v>
      </c>
      <c r="G304" s="507">
        <v>1</v>
      </c>
      <c r="H304" s="503"/>
      <c r="I304" s="503"/>
      <c r="J304" s="503"/>
      <c r="K304" s="503"/>
    </row>
    <row r="305" spans="1:11" ht="12">
      <c r="A305" s="504">
        <v>2140327034</v>
      </c>
      <c r="B305" s="539" t="s">
        <v>0</v>
      </c>
      <c r="C305" s="505" t="s">
        <v>2095</v>
      </c>
      <c r="D305" s="506">
        <v>0</v>
      </c>
      <c r="E305" s="506">
        <v>273</v>
      </c>
      <c r="F305" s="506">
        <v>273</v>
      </c>
      <c r="G305" s="507">
        <v>0</v>
      </c>
      <c r="H305" s="503"/>
      <c r="I305" s="503"/>
      <c r="J305" s="503"/>
      <c r="K305" s="503"/>
    </row>
    <row r="306" spans="1:11" ht="12">
      <c r="A306" s="504">
        <v>2140327035</v>
      </c>
      <c r="B306" s="539" t="s">
        <v>1</v>
      </c>
      <c r="C306" s="505" t="s">
        <v>2095</v>
      </c>
      <c r="D306" s="506">
        <v>0</v>
      </c>
      <c r="E306" s="506">
        <v>99</v>
      </c>
      <c r="F306" s="506">
        <v>98</v>
      </c>
      <c r="G306" s="507">
        <v>1</v>
      </c>
      <c r="H306" s="503"/>
      <c r="I306" s="503"/>
      <c r="J306" s="503"/>
      <c r="K306" s="503"/>
    </row>
    <row r="307" spans="1:11" ht="12">
      <c r="A307" s="504">
        <v>2140327036</v>
      </c>
      <c r="B307" s="539" t="s">
        <v>2</v>
      </c>
      <c r="C307" s="505" t="s">
        <v>808</v>
      </c>
      <c r="D307" s="506">
        <v>0</v>
      </c>
      <c r="E307" s="506">
        <v>44</v>
      </c>
      <c r="F307" s="506">
        <v>44</v>
      </c>
      <c r="G307" s="507">
        <v>0</v>
      </c>
      <c r="H307" s="503"/>
      <c r="I307" s="503"/>
      <c r="J307" s="503"/>
      <c r="K307" s="503"/>
    </row>
    <row r="308" spans="1:11" ht="12">
      <c r="A308" s="504">
        <v>2140327037</v>
      </c>
      <c r="B308" s="539" t="s">
        <v>3</v>
      </c>
      <c r="C308" s="505" t="s">
        <v>2095</v>
      </c>
      <c r="D308" s="506">
        <v>0</v>
      </c>
      <c r="E308" s="506">
        <v>730</v>
      </c>
      <c r="F308" s="506">
        <v>730</v>
      </c>
      <c r="G308" s="507">
        <v>0</v>
      </c>
      <c r="H308" s="503"/>
      <c r="I308" s="503"/>
      <c r="J308" s="503"/>
      <c r="K308" s="503"/>
    </row>
    <row r="309" spans="1:11" ht="12">
      <c r="A309" s="504">
        <v>2140327038</v>
      </c>
      <c r="B309" s="539" t="s">
        <v>4</v>
      </c>
      <c r="C309" s="505" t="s">
        <v>808</v>
      </c>
      <c r="D309" s="506">
        <v>0</v>
      </c>
      <c r="E309" s="506">
        <v>24</v>
      </c>
      <c r="F309" s="506">
        <v>24</v>
      </c>
      <c r="G309" s="507">
        <v>0</v>
      </c>
      <c r="H309" s="503"/>
      <c r="I309" s="503"/>
      <c r="J309" s="503"/>
      <c r="K309" s="503"/>
    </row>
    <row r="310" spans="1:11" ht="12">
      <c r="A310" s="504">
        <v>2140327039</v>
      </c>
      <c r="B310" s="539" t="s">
        <v>5</v>
      </c>
      <c r="C310" s="505" t="s">
        <v>808</v>
      </c>
      <c r="D310" s="506">
        <v>0</v>
      </c>
      <c r="E310" s="506">
        <v>120</v>
      </c>
      <c r="F310" s="506">
        <v>120</v>
      </c>
      <c r="G310" s="507">
        <v>0</v>
      </c>
      <c r="H310" s="503"/>
      <c r="I310" s="503"/>
      <c r="J310" s="503"/>
      <c r="K310" s="503"/>
    </row>
    <row r="311" spans="1:11" ht="12">
      <c r="A311" s="504">
        <v>2140327040</v>
      </c>
      <c r="B311" s="539" t="s">
        <v>6</v>
      </c>
      <c r="C311" s="505" t="s">
        <v>795</v>
      </c>
      <c r="D311" s="506">
        <v>0</v>
      </c>
      <c r="E311" s="506">
        <v>72</v>
      </c>
      <c r="F311" s="506">
        <v>72</v>
      </c>
      <c r="G311" s="507">
        <v>0</v>
      </c>
      <c r="H311" s="503"/>
      <c r="I311" s="503"/>
      <c r="J311" s="503"/>
      <c r="K311" s="503"/>
    </row>
    <row r="312" spans="1:11" ht="12">
      <c r="A312" s="504">
        <v>2140327041</v>
      </c>
      <c r="B312" s="539" t="s">
        <v>7</v>
      </c>
      <c r="C312" s="505" t="s">
        <v>310</v>
      </c>
      <c r="D312" s="506">
        <v>0</v>
      </c>
      <c r="E312" s="506">
        <v>345</v>
      </c>
      <c r="F312" s="506">
        <v>345</v>
      </c>
      <c r="G312" s="507">
        <v>0</v>
      </c>
      <c r="H312" s="503"/>
      <c r="I312" s="503"/>
      <c r="J312" s="503"/>
      <c r="K312" s="503"/>
    </row>
    <row r="313" spans="1:11" ht="12">
      <c r="A313" s="504">
        <v>2140327042</v>
      </c>
      <c r="B313" s="539" t="s">
        <v>8</v>
      </c>
      <c r="C313" s="505" t="s">
        <v>795</v>
      </c>
      <c r="D313" s="506">
        <v>0</v>
      </c>
      <c r="E313" s="506">
        <v>75</v>
      </c>
      <c r="F313" s="506">
        <v>75</v>
      </c>
      <c r="G313" s="507">
        <v>0</v>
      </c>
      <c r="H313" s="503"/>
      <c r="I313" s="503"/>
      <c r="J313" s="503"/>
      <c r="K313" s="503"/>
    </row>
    <row r="314" spans="1:11" ht="12">
      <c r="A314" s="504">
        <v>2140327043</v>
      </c>
      <c r="B314" s="539" t="s">
        <v>9</v>
      </c>
      <c r="C314" s="505" t="s">
        <v>795</v>
      </c>
      <c r="D314" s="506">
        <v>0</v>
      </c>
      <c r="E314" s="506">
        <v>208</v>
      </c>
      <c r="F314" s="506">
        <v>207</v>
      </c>
      <c r="G314" s="507">
        <v>0</v>
      </c>
      <c r="H314" s="503"/>
      <c r="I314" s="503"/>
      <c r="J314" s="503"/>
      <c r="K314" s="503"/>
    </row>
    <row r="315" spans="1:11" ht="12">
      <c r="A315" s="504">
        <v>2140327044</v>
      </c>
      <c r="B315" s="539" t="s">
        <v>10</v>
      </c>
      <c r="C315" s="505" t="s">
        <v>808</v>
      </c>
      <c r="D315" s="506">
        <v>0</v>
      </c>
      <c r="E315" s="506">
        <v>200</v>
      </c>
      <c r="F315" s="506">
        <v>200</v>
      </c>
      <c r="G315" s="507">
        <v>0</v>
      </c>
      <c r="H315" s="503"/>
      <c r="I315" s="503"/>
      <c r="J315" s="503"/>
      <c r="K315" s="503"/>
    </row>
    <row r="316" spans="1:11" ht="12">
      <c r="A316" s="504">
        <v>2140327045</v>
      </c>
      <c r="B316" s="539" t="s">
        <v>11</v>
      </c>
      <c r="C316" s="505" t="s">
        <v>795</v>
      </c>
      <c r="D316" s="506">
        <v>0</v>
      </c>
      <c r="E316" s="506">
        <v>108</v>
      </c>
      <c r="F316" s="506">
        <v>107</v>
      </c>
      <c r="G316" s="507">
        <v>0</v>
      </c>
      <c r="H316" s="503"/>
      <c r="I316" s="503"/>
      <c r="J316" s="503"/>
      <c r="K316" s="503"/>
    </row>
    <row r="317" spans="1:11" ht="12">
      <c r="A317" s="504">
        <v>2140337001</v>
      </c>
      <c r="B317" s="539" t="s">
        <v>12</v>
      </c>
      <c r="C317" s="505" t="s">
        <v>795</v>
      </c>
      <c r="D317" s="506">
        <v>1050</v>
      </c>
      <c r="E317" s="506">
        <v>1360</v>
      </c>
      <c r="F317" s="506">
        <v>1359</v>
      </c>
      <c r="G317" s="507">
        <v>0</v>
      </c>
      <c r="H317" s="503"/>
      <c r="I317" s="503"/>
      <c r="J317" s="503"/>
      <c r="K317" s="503"/>
    </row>
    <row r="318" spans="1:11" ht="12">
      <c r="A318" s="504">
        <v>2140337002</v>
      </c>
      <c r="B318" s="539" t="s">
        <v>13</v>
      </c>
      <c r="C318" s="505" t="s">
        <v>795</v>
      </c>
      <c r="D318" s="506">
        <v>330</v>
      </c>
      <c r="E318" s="506">
        <v>321</v>
      </c>
      <c r="F318" s="506">
        <v>321</v>
      </c>
      <c r="G318" s="507">
        <v>0</v>
      </c>
      <c r="H318" s="503"/>
      <c r="I318" s="503"/>
      <c r="J318" s="503"/>
      <c r="K318" s="503"/>
    </row>
    <row r="319" spans="1:11" ht="12">
      <c r="A319" s="504">
        <v>2140337003</v>
      </c>
      <c r="B319" s="539" t="s">
        <v>14</v>
      </c>
      <c r="C319" s="505" t="s">
        <v>795</v>
      </c>
      <c r="D319" s="506">
        <v>390</v>
      </c>
      <c r="E319" s="506">
        <v>390</v>
      </c>
      <c r="F319" s="506">
        <v>388</v>
      </c>
      <c r="G319" s="507">
        <v>0</v>
      </c>
      <c r="H319" s="503"/>
      <c r="I319" s="503"/>
      <c r="J319" s="503"/>
      <c r="K319" s="503"/>
    </row>
    <row r="320" spans="1:11" ht="12">
      <c r="A320" s="504">
        <v>2140337004</v>
      </c>
      <c r="B320" s="539" t="s">
        <v>15</v>
      </c>
      <c r="C320" s="505" t="s">
        <v>795</v>
      </c>
      <c r="D320" s="506">
        <v>910</v>
      </c>
      <c r="E320" s="506">
        <v>0</v>
      </c>
      <c r="F320" s="506">
        <v>0</v>
      </c>
      <c r="G320" s="507">
        <v>0</v>
      </c>
      <c r="H320" s="503"/>
      <c r="I320" s="503"/>
      <c r="J320" s="503"/>
      <c r="K320" s="503"/>
    </row>
    <row r="321" spans="1:11" ht="12">
      <c r="A321" s="504">
        <v>2140337005</v>
      </c>
      <c r="B321" s="539" t="s">
        <v>2274</v>
      </c>
      <c r="C321" s="505" t="s">
        <v>795</v>
      </c>
      <c r="D321" s="506">
        <v>1700</v>
      </c>
      <c r="E321" s="506">
        <v>1060</v>
      </c>
      <c r="F321" s="506">
        <v>1034</v>
      </c>
      <c r="G321" s="507">
        <v>0</v>
      </c>
      <c r="H321" s="503"/>
      <c r="I321" s="503"/>
      <c r="J321" s="503"/>
      <c r="K321" s="503"/>
    </row>
    <row r="322" spans="1:11" ht="12">
      <c r="A322" s="504">
        <v>2140337006</v>
      </c>
      <c r="B322" s="539" t="s">
        <v>14</v>
      </c>
      <c r="C322" s="505" t="s">
        <v>911</v>
      </c>
      <c r="D322" s="506">
        <v>150</v>
      </c>
      <c r="E322" s="506">
        <v>140</v>
      </c>
      <c r="F322" s="506">
        <v>140</v>
      </c>
      <c r="G322" s="507">
        <v>0</v>
      </c>
      <c r="H322" s="503"/>
      <c r="I322" s="503"/>
      <c r="J322" s="503"/>
      <c r="K322" s="503"/>
    </row>
    <row r="323" spans="1:11" ht="12">
      <c r="A323" s="504">
        <v>2140337007</v>
      </c>
      <c r="B323" s="539" t="s">
        <v>16</v>
      </c>
      <c r="C323" s="505" t="s">
        <v>911</v>
      </c>
      <c r="D323" s="506">
        <v>50</v>
      </c>
      <c r="E323" s="506">
        <v>60</v>
      </c>
      <c r="F323" s="506">
        <v>59</v>
      </c>
      <c r="G323" s="507">
        <v>1</v>
      </c>
      <c r="H323" s="503"/>
      <c r="I323" s="503"/>
      <c r="J323" s="503"/>
      <c r="K323" s="503"/>
    </row>
    <row r="324" spans="1:11" ht="12">
      <c r="A324" s="504">
        <v>2140337008</v>
      </c>
      <c r="B324" s="539" t="s">
        <v>2274</v>
      </c>
      <c r="C324" s="505" t="s">
        <v>911</v>
      </c>
      <c r="D324" s="506">
        <v>950</v>
      </c>
      <c r="E324" s="506">
        <v>625</v>
      </c>
      <c r="F324" s="506">
        <v>625</v>
      </c>
      <c r="G324" s="507">
        <v>0</v>
      </c>
      <c r="H324" s="503"/>
      <c r="I324" s="503"/>
      <c r="J324" s="503"/>
      <c r="K324" s="503"/>
    </row>
    <row r="325" spans="1:11" ht="12">
      <c r="A325" s="504">
        <v>2140337009</v>
      </c>
      <c r="B325" s="539" t="s">
        <v>17</v>
      </c>
      <c r="C325" s="505" t="s">
        <v>808</v>
      </c>
      <c r="D325" s="506">
        <v>200</v>
      </c>
      <c r="E325" s="506">
        <v>336</v>
      </c>
      <c r="F325" s="506">
        <v>335</v>
      </c>
      <c r="G325" s="507">
        <v>0</v>
      </c>
      <c r="H325" s="503"/>
      <c r="I325" s="503"/>
      <c r="J325" s="503"/>
      <c r="K325" s="503"/>
    </row>
    <row r="326" spans="1:11" ht="12">
      <c r="A326" s="504">
        <v>2140337010</v>
      </c>
      <c r="B326" s="539" t="s">
        <v>18</v>
      </c>
      <c r="C326" s="505" t="s">
        <v>808</v>
      </c>
      <c r="D326" s="506">
        <v>80</v>
      </c>
      <c r="E326" s="506">
        <v>64</v>
      </c>
      <c r="F326" s="506">
        <v>64</v>
      </c>
      <c r="G326" s="507">
        <v>0</v>
      </c>
      <c r="H326" s="503"/>
      <c r="I326" s="503"/>
      <c r="J326" s="503"/>
      <c r="K326" s="503"/>
    </row>
    <row r="327" spans="1:11" ht="12">
      <c r="A327" s="504">
        <v>2140337012</v>
      </c>
      <c r="B327" s="539" t="s">
        <v>19</v>
      </c>
      <c r="C327" s="505" t="s">
        <v>808</v>
      </c>
      <c r="D327" s="506">
        <v>100</v>
      </c>
      <c r="E327" s="506">
        <v>100</v>
      </c>
      <c r="F327" s="506">
        <v>100</v>
      </c>
      <c r="G327" s="507">
        <v>0</v>
      </c>
      <c r="H327" s="503"/>
      <c r="I327" s="503"/>
      <c r="J327" s="503"/>
      <c r="K327" s="503"/>
    </row>
    <row r="328" spans="1:11" ht="12">
      <c r="A328" s="504">
        <v>2140337013</v>
      </c>
      <c r="B328" s="539" t="s">
        <v>20</v>
      </c>
      <c r="C328" s="505" t="s">
        <v>808</v>
      </c>
      <c r="D328" s="506">
        <v>700</v>
      </c>
      <c r="E328" s="506">
        <v>358</v>
      </c>
      <c r="F328" s="506">
        <v>357</v>
      </c>
      <c r="G328" s="507">
        <v>0</v>
      </c>
      <c r="H328" s="503"/>
      <c r="I328" s="503"/>
      <c r="J328" s="503"/>
      <c r="K328" s="503"/>
    </row>
    <row r="329" spans="1:11" ht="12">
      <c r="A329" s="504">
        <v>2140337014</v>
      </c>
      <c r="B329" s="539" t="s">
        <v>879</v>
      </c>
      <c r="C329" s="505" t="s">
        <v>808</v>
      </c>
      <c r="D329" s="506">
        <v>250</v>
      </c>
      <c r="E329" s="506">
        <v>346</v>
      </c>
      <c r="F329" s="506">
        <v>344</v>
      </c>
      <c r="G329" s="507">
        <v>0</v>
      </c>
      <c r="H329" s="503"/>
      <c r="I329" s="503"/>
      <c r="J329" s="503"/>
      <c r="K329" s="503"/>
    </row>
    <row r="330" spans="1:11" ht="12">
      <c r="A330" s="504">
        <v>2140337015</v>
      </c>
      <c r="B330" s="539" t="s">
        <v>2283</v>
      </c>
      <c r="C330" s="505" t="s">
        <v>305</v>
      </c>
      <c r="D330" s="506">
        <v>550</v>
      </c>
      <c r="E330" s="506">
        <v>550</v>
      </c>
      <c r="F330" s="506">
        <v>550</v>
      </c>
      <c r="G330" s="507">
        <v>0</v>
      </c>
      <c r="H330" s="503"/>
      <c r="I330" s="503"/>
      <c r="J330" s="503"/>
      <c r="K330" s="503"/>
    </row>
    <row r="331" spans="1:11" ht="12">
      <c r="A331" s="504">
        <v>2140337016</v>
      </c>
      <c r="B331" s="539" t="s">
        <v>21</v>
      </c>
      <c r="C331" s="505" t="s">
        <v>305</v>
      </c>
      <c r="D331" s="506">
        <v>140</v>
      </c>
      <c r="E331" s="506">
        <v>131</v>
      </c>
      <c r="F331" s="506">
        <v>131</v>
      </c>
      <c r="G331" s="507">
        <v>0</v>
      </c>
      <c r="H331" s="503"/>
      <c r="I331" s="503"/>
      <c r="J331" s="503"/>
      <c r="K331" s="503"/>
    </row>
    <row r="332" spans="1:11" ht="12">
      <c r="A332" s="504">
        <v>2140337017</v>
      </c>
      <c r="B332" s="539" t="s">
        <v>2274</v>
      </c>
      <c r="C332" s="505" t="s">
        <v>305</v>
      </c>
      <c r="D332" s="506">
        <v>550</v>
      </c>
      <c r="E332" s="506">
        <v>525</v>
      </c>
      <c r="F332" s="506">
        <v>523</v>
      </c>
      <c r="G332" s="507">
        <v>0</v>
      </c>
      <c r="H332" s="503"/>
      <c r="I332" s="503"/>
      <c r="J332" s="503"/>
      <c r="K332" s="503"/>
    </row>
    <row r="333" spans="1:11" ht="12">
      <c r="A333" s="504">
        <v>2140337018</v>
      </c>
      <c r="B333" s="539" t="s">
        <v>22</v>
      </c>
      <c r="C333" s="505" t="s">
        <v>310</v>
      </c>
      <c r="D333" s="506">
        <v>500</v>
      </c>
      <c r="E333" s="506">
        <v>897</v>
      </c>
      <c r="F333" s="506">
        <v>897</v>
      </c>
      <c r="G333" s="507">
        <v>0</v>
      </c>
      <c r="H333" s="503"/>
      <c r="I333" s="503"/>
      <c r="J333" s="503"/>
      <c r="K333" s="503"/>
    </row>
    <row r="334" spans="1:11" ht="12">
      <c r="A334" s="504">
        <v>2140337019</v>
      </c>
      <c r="B334" s="539" t="s">
        <v>23</v>
      </c>
      <c r="C334" s="505" t="s">
        <v>310</v>
      </c>
      <c r="D334" s="506">
        <v>350</v>
      </c>
      <c r="E334" s="506">
        <v>710</v>
      </c>
      <c r="F334" s="506">
        <v>710</v>
      </c>
      <c r="G334" s="507">
        <v>0</v>
      </c>
      <c r="H334" s="503"/>
      <c r="I334" s="503"/>
      <c r="J334" s="503"/>
      <c r="K334" s="503"/>
    </row>
    <row r="335" spans="1:11" ht="12">
      <c r="A335" s="504">
        <v>2140337020</v>
      </c>
      <c r="B335" s="539" t="s">
        <v>24</v>
      </c>
      <c r="C335" s="505" t="s">
        <v>310</v>
      </c>
      <c r="D335" s="506">
        <v>240</v>
      </c>
      <c r="E335" s="506">
        <v>0</v>
      </c>
      <c r="F335" s="506">
        <v>0</v>
      </c>
      <c r="G335" s="507">
        <v>0</v>
      </c>
      <c r="H335" s="503"/>
      <c r="I335" s="503"/>
      <c r="J335" s="503"/>
      <c r="K335" s="503"/>
    </row>
    <row r="336" spans="1:11" ht="12">
      <c r="A336" s="504">
        <v>2140337021</v>
      </c>
      <c r="B336" s="539" t="s">
        <v>25</v>
      </c>
      <c r="C336" s="505" t="s">
        <v>310</v>
      </c>
      <c r="D336" s="506">
        <v>150</v>
      </c>
      <c r="E336" s="506">
        <v>357</v>
      </c>
      <c r="F336" s="506">
        <v>356</v>
      </c>
      <c r="G336" s="507">
        <v>1</v>
      </c>
      <c r="H336" s="503"/>
      <c r="I336" s="503"/>
      <c r="J336" s="503"/>
      <c r="K336" s="503"/>
    </row>
    <row r="337" spans="1:11" ht="12">
      <c r="A337" s="504">
        <v>2140337022</v>
      </c>
      <c r="B337" s="539" t="s">
        <v>26</v>
      </c>
      <c r="C337" s="505" t="s">
        <v>310</v>
      </c>
      <c r="D337" s="506">
        <v>500</v>
      </c>
      <c r="E337" s="506">
        <v>0</v>
      </c>
      <c r="F337" s="506">
        <v>0</v>
      </c>
      <c r="G337" s="507">
        <v>0</v>
      </c>
      <c r="H337" s="503"/>
      <c r="I337" s="503"/>
      <c r="J337" s="503"/>
      <c r="K337" s="503"/>
    </row>
    <row r="338" spans="1:11" ht="12">
      <c r="A338" s="504">
        <v>2140337023</v>
      </c>
      <c r="B338" s="539" t="s">
        <v>2274</v>
      </c>
      <c r="C338" s="505" t="s">
        <v>310</v>
      </c>
      <c r="D338" s="506">
        <v>850</v>
      </c>
      <c r="E338" s="506">
        <v>390</v>
      </c>
      <c r="F338" s="506">
        <v>390</v>
      </c>
      <c r="G338" s="507">
        <v>0</v>
      </c>
      <c r="H338" s="503"/>
      <c r="I338" s="503"/>
      <c r="J338" s="503"/>
      <c r="K338" s="503"/>
    </row>
    <row r="339" spans="1:11" ht="12">
      <c r="A339" s="504">
        <v>2140337024</v>
      </c>
      <c r="B339" s="539" t="s">
        <v>27</v>
      </c>
      <c r="C339" s="505" t="s">
        <v>315</v>
      </c>
      <c r="D339" s="506">
        <v>450</v>
      </c>
      <c r="E339" s="506">
        <v>260</v>
      </c>
      <c r="F339" s="506">
        <v>260</v>
      </c>
      <c r="G339" s="507">
        <v>0</v>
      </c>
      <c r="H339" s="503"/>
      <c r="I339" s="503"/>
      <c r="J339" s="503"/>
      <c r="K339" s="503"/>
    </row>
    <row r="340" spans="1:11" ht="12">
      <c r="A340" s="504">
        <v>2140337025</v>
      </c>
      <c r="B340" s="539" t="s">
        <v>28</v>
      </c>
      <c r="C340" s="505" t="s">
        <v>315</v>
      </c>
      <c r="D340" s="506">
        <v>340</v>
      </c>
      <c r="E340" s="506">
        <v>0</v>
      </c>
      <c r="F340" s="506">
        <v>0</v>
      </c>
      <c r="G340" s="507">
        <v>0</v>
      </c>
      <c r="H340" s="503"/>
      <c r="I340" s="503"/>
      <c r="J340" s="503"/>
      <c r="K340" s="503"/>
    </row>
    <row r="341" spans="1:11" ht="12">
      <c r="A341" s="504">
        <v>2140337026</v>
      </c>
      <c r="B341" s="539" t="s">
        <v>2283</v>
      </c>
      <c r="C341" s="505" t="s">
        <v>315</v>
      </c>
      <c r="D341" s="506">
        <v>350</v>
      </c>
      <c r="E341" s="506">
        <v>0</v>
      </c>
      <c r="F341" s="506">
        <v>0</v>
      </c>
      <c r="G341" s="507">
        <v>0</v>
      </c>
      <c r="H341" s="503"/>
      <c r="I341" s="503"/>
      <c r="J341" s="503"/>
      <c r="K341" s="503"/>
    </row>
    <row r="342" spans="1:11" ht="12">
      <c r="A342" s="504">
        <v>2140337027</v>
      </c>
      <c r="B342" s="539" t="s">
        <v>29</v>
      </c>
      <c r="C342" s="505" t="s">
        <v>315</v>
      </c>
      <c r="D342" s="506">
        <v>60</v>
      </c>
      <c r="E342" s="506">
        <v>0</v>
      </c>
      <c r="F342" s="506">
        <v>0</v>
      </c>
      <c r="G342" s="507">
        <v>0</v>
      </c>
      <c r="H342" s="503"/>
      <c r="I342" s="503"/>
      <c r="J342" s="503"/>
      <c r="K342" s="503"/>
    </row>
    <row r="343" spans="1:11" ht="12">
      <c r="A343" s="504">
        <v>2140337028</v>
      </c>
      <c r="B343" s="539" t="s">
        <v>879</v>
      </c>
      <c r="C343" s="505" t="s">
        <v>315</v>
      </c>
      <c r="D343" s="506">
        <v>349</v>
      </c>
      <c r="E343" s="506">
        <v>154</v>
      </c>
      <c r="F343" s="506">
        <v>118</v>
      </c>
      <c r="G343" s="507">
        <v>30</v>
      </c>
      <c r="H343" s="503"/>
      <c r="I343" s="503"/>
      <c r="J343" s="503"/>
      <c r="K343" s="503"/>
    </row>
    <row r="344" spans="1:11" ht="12">
      <c r="A344" s="504">
        <v>2140337029</v>
      </c>
      <c r="B344" s="539" t="s">
        <v>2283</v>
      </c>
      <c r="C344" s="505" t="s">
        <v>319</v>
      </c>
      <c r="D344" s="506">
        <v>350</v>
      </c>
      <c r="E344" s="506">
        <v>315</v>
      </c>
      <c r="F344" s="506">
        <v>315</v>
      </c>
      <c r="G344" s="507">
        <v>0</v>
      </c>
      <c r="H344" s="503"/>
      <c r="I344" s="503"/>
      <c r="J344" s="503"/>
      <c r="K344" s="503"/>
    </row>
    <row r="345" spans="1:11" ht="12">
      <c r="A345" s="504">
        <v>2140337030</v>
      </c>
      <c r="B345" s="539" t="s">
        <v>879</v>
      </c>
      <c r="C345" s="505" t="s">
        <v>319</v>
      </c>
      <c r="D345" s="506">
        <v>752</v>
      </c>
      <c r="E345" s="506">
        <v>427</v>
      </c>
      <c r="F345" s="506">
        <v>422</v>
      </c>
      <c r="G345" s="507">
        <v>5</v>
      </c>
      <c r="H345" s="503"/>
      <c r="I345" s="503"/>
      <c r="J345" s="503"/>
      <c r="K345" s="503"/>
    </row>
    <row r="346" spans="1:11" ht="12">
      <c r="A346" s="504">
        <v>2140337031</v>
      </c>
      <c r="B346" s="539" t="s">
        <v>30</v>
      </c>
      <c r="C346" s="505" t="s">
        <v>2095</v>
      </c>
      <c r="D346" s="506">
        <v>575</v>
      </c>
      <c r="E346" s="506">
        <v>482</v>
      </c>
      <c r="F346" s="506">
        <v>482</v>
      </c>
      <c r="G346" s="507">
        <v>0</v>
      </c>
      <c r="H346" s="503"/>
      <c r="I346" s="503"/>
      <c r="J346" s="503"/>
      <c r="K346" s="503"/>
    </row>
    <row r="347" spans="1:11" ht="12">
      <c r="A347" s="504">
        <v>2140337032</v>
      </c>
      <c r="B347" s="539" t="s">
        <v>879</v>
      </c>
      <c r="C347" s="505" t="s">
        <v>2095</v>
      </c>
      <c r="D347" s="506">
        <v>1700</v>
      </c>
      <c r="E347" s="506">
        <v>552</v>
      </c>
      <c r="F347" s="506">
        <v>547</v>
      </c>
      <c r="G347" s="507">
        <v>4</v>
      </c>
      <c r="H347" s="503"/>
      <c r="I347" s="503"/>
      <c r="J347" s="503"/>
      <c r="K347" s="503"/>
    </row>
    <row r="348" spans="1:11" ht="12">
      <c r="A348" s="504">
        <v>2140337033</v>
      </c>
      <c r="B348" s="539" t="s">
        <v>31</v>
      </c>
      <c r="C348" s="505" t="s">
        <v>808</v>
      </c>
      <c r="D348" s="506">
        <v>0</v>
      </c>
      <c r="E348" s="506">
        <v>300</v>
      </c>
      <c r="F348" s="506">
        <v>300</v>
      </c>
      <c r="G348" s="507">
        <v>0</v>
      </c>
      <c r="H348" s="503"/>
      <c r="I348" s="503"/>
      <c r="J348" s="503"/>
      <c r="K348" s="503"/>
    </row>
    <row r="349" spans="1:11" ht="12">
      <c r="A349" s="504">
        <v>2140337034</v>
      </c>
      <c r="B349" s="539" t="s">
        <v>32</v>
      </c>
      <c r="C349" s="505" t="s">
        <v>795</v>
      </c>
      <c r="D349" s="506">
        <v>0</v>
      </c>
      <c r="E349" s="506">
        <v>361</v>
      </c>
      <c r="F349" s="506">
        <v>359</v>
      </c>
      <c r="G349" s="507">
        <v>0</v>
      </c>
      <c r="H349" s="503"/>
      <c r="I349" s="503"/>
      <c r="J349" s="503"/>
      <c r="K349" s="503"/>
    </row>
    <row r="350" spans="1:11" ht="12">
      <c r="A350" s="504">
        <v>2140337035</v>
      </c>
      <c r="B350" s="539" t="s">
        <v>33</v>
      </c>
      <c r="C350" s="505" t="s">
        <v>808</v>
      </c>
      <c r="D350" s="506">
        <v>0</v>
      </c>
      <c r="E350" s="506">
        <v>1188</v>
      </c>
      <c r="F350" s="506">
        <v>1188</v>
      </c>
      <c r="G350" s="507">
        <v>0</v>
      </c>
      <c r="H350" s="503"/>
      <c r="I350" s="503"/>
      <c r="J350" s="503"/>
      <c r="K350" s="503"/>
    </row>
    <row r="351" spans="1:11" ht="12">
      <c r="A351" s="504">
        <v>2140337036</v>
      </c>
      <c r="B351" s="539" t="s">
        <v>34</v>
      </c>
      <c r="C351" s="505" t="s">
        <v>808</v>
      </c>
      <c r="D351" s="506">
        <v>0</v>
      </c>
      <c r="E351" s="506">
        <v>89</v>
      </c>
      <c r="F351" s="506">
        <v>88</v>
      </c>
      <c r="G351" s="507">
        <v>0</v>
      </c>
      <c r="H351" s="503"/>
      <c r="I351" s="503"/>
      <c r="J351" s="503"/>
      <c r="K351" s="503"/>
    </row>
    <row r="352" spans="1:11" ht="12">
      <c r="A352" s="504">
        <v>2140397001</v>
      </c>
      <c r="B352" s="539" t="s">
        <v>35</v>
      </c>
      <c r="C352" s="505" t="s">
        <v>795</v>
      </c>
      <c r="D352" s="506">
        <v>50</v>
      </c>
      <c r="E352" s="506">
        <v>50</v>
      </c>
      <c r="F352" s="506">
        <v>50</v>
      </c>
      <c r="G352" s="507">
        <v>0</v>
      </c>
      <c r="H352" s="503"/>
      <c r="I352" s="503"/>
      <c r="J352" s="503"/>
      <c r="K352" s="503"/>
    </row>
    <row r="353" spans="1:11" ht="12">
      <c r="A353" s="504">
        <v>2140397002</v>
      </c>
      <c r="B353" s="539" t="s">
        <v>36</v>
      </c>
      <c r="C353" s="505" t="s">
        <v>795</v>
      </c>
      <c r="D353" s="506">
        <v>290</v>
      </c>
      <c r="E353" s="506">
        <v>0</v>
      </c>
      <c r="F353" s="506">
        <v>0</v>
      </c>
      <c r="G353" s="507">
        <v>0</v>
      </c>
      <c r="H353" s="503"/>
      <c r="I353" s="503"/>
      <c r="J353" s="503"/>
      <c r="K353" s="503"/>
    </row>
    <row r="354" spans="1:11" ht="12">
      <c r="A354" s="504">
        <v>2140397003</v>
      </c>
      <c r="B354" s="539" t="s">
        <v>37</v>
      </c>
      <c r="C354" s="505" t="s">
        <v>795</v>
      </c>
      <c r="D354" s="506">
        <v>450</v>
      </c>
      <c r="E354" s="506">
        <v>0</v>
      </c>
      <c r="F354" s="506">
        <v>0</v>
      </c>
      <c r="G354" s="507">
        <v>0</v>
      </c>
      <c r="H354" s="503"/>
      <c r="I354" s="503"/>
      <c r="J354" s="503"/>
      <c r="K354" s="503"/>
    </row>
    <row r="355" spans="1:11" ht="12">
      <c r="A355" s="504">
        <v>2140397004</v>
      </c>
      <c r="B355" s="539" t="s">
        <v>38</v>
      </c>
      <c r="C355" s="505" t="s">
        <v>795</v>
      </c>
      <c r="D355" s="506">
        <v>200</v>
      </c>
      <c r="E355" s="506">
        <v>194</v>
      </c>
      <c r="F355" s="506">
        <v>194</v>
      </c>
      <c r="G355" s="507">
        <v>0</v>
      </c>
      <c r="H355" s="503"/>
      <c r="I355" s="503"/>
      <c r="J355" s="503"/>
      <c r="K355" s="503"/>
    </row>
    <row r="356" spans="1:11" ht="12">
      <c r="A356" s="504">
        <v>2140397005</v>
      </c>
      <c r="B356" s="539" t="s">
        <v>39</v>
      </c>
      <c r="C356" s="505" t="s">
        <v>795</v>
      </c>
      <c r="D356" s="506">
        <v>550</v>
      </c>
      <c r="E356" s="506">
        <v>528</v>
      </c>
      <c r="F356" s="506">
        <v>527</v>
      </c>
      <c r="G356" s="507">
        <v>0</v>
      </c>
      <c r="H356" s="503"/>
      <c r="I356" s="503"/>
      <c r="J356" s="503"/>
      <c r="K356" s="503"/>
    </row>
    <row r="357" spans="1:11" ht="12">
      <c r="A357" s="504">
        <v>2140397006</v>
      </c>
      <c r="B357" s="539" t="s">
        <v>40</v>
      </c>
      <c r="C357" s="505" t="s">
        <v>795</v>
      </c>
      <c r="D357" s="506">
        <v>300</v>
      </c>
      <c r="E357" s="506">
        <v>286</v>
      </c>
      <c r="F357" s="506">
        <v>285</v>
      </c>
      <c r="G357" s="507">
        <v>0</v>
      </c>
      <c r="H357" s="503"/>
      <c r="I357" s="503"/>
      <c r="J357" s="503"/>
      <c r="K357" s="503"/>
    </row>
    <row r="358" spans="1:11" ht="12">
      <c r="A358" s="504">
        <v>2140397007</v>
      </c>
      <c r="B358" s="539" t="s">
        <v>41</v>
      </c>
      <c r="C358" s="505" t="s">
        <v>795</v>
      </c>
      <c r="D358" s="506">
        <v>100</v>
      </c>
      <c r="E358" s="506">
        <v>100</v>
      </c>
      <c r="F358" s="506">
        <v>99</v>
      </c>
      <c r="G358" s="507">
        <v>0</v>
      </c>
      <c r="H358" s="503"/>
      <c r="I358" s="503"/>
      <c r="J358" s="503"/>
      <c r="K358" s="503"/>
    </row>
    <row r="359" spans="1:11" ht="12">
      <c r="A359" s="504">
        <v>2140397008</v>
      </c>
      <c r="B359" s="539" t="s">
        <v>42</v>
      </c>
      <c r="C359" s="505" t="s">
        <v>795</v>
      </c>
      <c r="D359" s="506">
        <v>200</v>
      </c>
      <c r="E359" s="506">
        <v>105</v>
      </c>
      <c r="F359" s="506">
        <v>104</v>
      </c>
      <c r="G359" s="507">
        <v>0</v>
      </c>
      <c r="H359" s="503"/>
      <c r="I359" s="503"/>
      <c r="J359" s="503"/>
      <c r="K359" s="503"/>
    </row>
    <row r="360" spans="1:11" ht="12">
      <c r="A360" s="504">
        <v>2140397009</v>
      </c>
      <c r="B360" s="539" t="s">
        <v>43</v>
      </c>
      <c r="C360" s="505" t="s">
        <v>795</v>
      </c>
      <c r="D360" s="506">
        <v>45</v>
      </c>
      <c r="E360" s="506">
        <v>42</v>
      </c>
      <c r="F360" s="506">
        <v>42</v>
      </c>
      <c r="G360" s="507">
        <v>0</v>
      </c>
      <c r="H360" s="503"/>
      <c r="I360" s="503"/>
      <c r="J360" s="503"/>
      <c r="K360" s="503"/>
    </row>
    <row r="361" spans="1:11" ht="12">
      <c r="A361" s="504">
        <v>2140397010</v>
      </c>
      <c r="B361" s="539" t="s">
        <v>44</v>
      </c>
      <c r="C361" s="505" t="s">
        <v>795</v>
      </c>
      <c r="D361" s="506">
        <v>450</v>
      </c>
      <c r="E361" s="506">
        <v>214</v>
      </c>
      <c r="F361" s="506">
        <v>213</v>
      </c>
      <c r="G361" s="507">
        <v>0</v>
      </c>
      <c r="H361" s="503"/>
      <c r="I361" s="503"/>
      <c r="J361" s="503"/>
      <c r="K361" s="503"/>
    </row>
    <row r="362" spans="1:11" ht="12">
      <c r="A362" s="504">
        <v>2140397011</v>
      </c>
      <c r="B362" s="539" t="s">
        <v>45</v>
      </c>
      <c r="C362" s="505" t="s">
        <v>795</v>
      </c>
      <c r="D362" s="506">
        <v>25</v>
      </c>
      <c r="E362" s="506">
        <v>25</v>
      </c>
      <c r="F362" s="506">
        <v>25</v>
      </c>
      <c r="G362" s="507">
        <v>0</v>
      </c>
      <c r="H362" s="503"/>
      <c r="I362" s="503"/>
      <c r="J362" s="503"/>
      <c r="K362" s="503"/>
    </row>
    <row r="363" spans="1:11" ht="12">
      <c r="A363" s="504">
        <v>2140397012</v>
      </c>
      <c r="B363" s="539" t="s">
        <v>46</v>
      </c>
      <c r="C363" s="505" t="s">
        <v>795</v>
      </c>
      <c r="D363" s="506">
        <v>80</v>
      </c>
      <c r="E363" s="506">
        <v>80</v>
      </c>
      <c r="F363" s="506">
        <v>80</v>
      </c>
      <c r="G363" s="507">
        <v>0</v>
      </c>
      <c r="H363" s="503"/>
      <c r="I363" s="503"/>
      <c r="J363" s="503"/>
      <c r="K363" s="503"/>
    </row>
    <row r="364" spans="1:11" ht="12">
      <c r="A364" s="504">
        <v>2140397013</v>
      </c>
      <c r="B364" s="539" t="s">
        <v>47</v>
      </c>
      <c r="C364" s="505" t="s">
        <v>795</v>
      </c>
      <c r="D364" s="506">
        <v>600</v>
      </c>
      <c r="E364" s="506">
        <v>0</v>
      </c>
      <c r="F364" s="506">
        <v>0</v>
      </c>
      <c r="G364" s="507">
        <v>0</v>
      </c>
      <c r="H364" s="503"/>
      <c r="I364" s="503"/>
      <c r="J364" s="503"/>
      <c r="K364" s="503"/>
    </row>
    <row r="365" spans="1:11" ht="12">
      <c r="A365" s="504">
        <v>2140397014</v>
      </c>
      <c r="B365" s="539" t="s">
        <v>48</v>
      </c>
      <c r="C365" s="505" t="s">
        <v>319</v>
      </c>
      <c r="D365" s="506">
        <v>2300</v>
      </c>
      <c r="E365" s="506">
        <v>1924</v>
      </c>
      <c r="F365" s="506">
        <v>1923</v>
      </c>
      <c r="G365" s="507">
        <v>1</v>
      </c>
      <c r="H365" s="503"/>
      <c r="I365" s="503"/>
      <c r="J365" s="503"/>
      <c r="K365" s="503"/>
    </row>
    <row r="366" spans="1:11" ht="12">
      <c r="A366" s="504">
        <v>2140397015</v>
      </c>
      <c r="B366" s="539" t="s">
        <v>49</v>
      </c>
      <c r="C366" s="505" t="s">
        <v>315</v>
      </c>
      <c r="D366" s="506">
        <v>0</v>
      </c>
      <c r="E366" s="506">
        <v>189</v>
      </c>
      <c r="F366" s="506">
        <v>188</v>
      </c>
      <c r="G366" s="507">
        <v>0</v>
      </c>
      <c r="H366" s="503"/>
      <c r="I366" s="503"/>
      <c r="J366" s="503"/>
      <c r="K366" s="503"/>
    </row>
    <row r="367" spans="1:11" ht="12">
      <c r="A367" s="504">
        <v>2140397016</v>
      </c>
      <c r="B367" s="539" t="s">
        <v>50</v>
      </c>
      <c r="C367" s="505" t="s">
        <v>315</v>
      </c>
      <c r="D367" s="506">
        <v>0</v>
      </c>
      <c r="E367" s="506">
        <v>152</v>
      </c>
      <c r="F367" s="506">
        <v>151</v>
      </c>
      <c r="G367" s="507">
        <v>0</v>
      </c>
      <c r="H367" s="503"/>
      <c r="I367" s="503"/>
      <c r="J367" s="503"/>
      <c r="K367" s="503"/>
    </row>
    <row r="368" spans="1:11" ht="12.75" thickBot="1">
      <c r="A368" s="508">
        <v>2140397017</v>
      </c>
      <c r="B368" s="539" t="s">
        <v>51</v>
      </c>
      <c r="C368" s="509" t="s">
        <v>795</v>
      </c>
      <c r="D368" s="510">
        <v>0</v>
      </c>
      <c r="E368" s="510">
        <v>1995</v>
      </c>
      <c r="F368" s="510">
        <v>1995</v>
      </c>
      <c r="G368" s="511">
        <v>0</v>
      </c>
      <c r="H368" s="503"/>
      <c r="I368" s="503"/>
      <c r="J368" s="503"/>
      <c r="K368" s="503"/>
    </row>
    <row r="369" spans="1:11" ht="12.75" thickBot="1">
      <c r="A369" s="1489" t="s">
        <v>52</v>
      </c>
      <c r="B369" s="1490"/>
      <c r="C369" s="1490"/>
      <c r="D369" s="512">
        <f>SUM(D210:D368)</f>
        <v>259415</v>
      </c>
      <c r="E369" s="512">
        <f>SUM(E210:E368)</f>
        <v>277691</v>
      </c>
      <c r="F369" s="512">
        <f>SUM(F210:F368)</f>
        <v>277569</v>
      </c>
      <c r="G369" s="512">
        <f>SUM(G210:G368)</f>
        <v>206</v>
      </c>
      <c r="H369" s="503"/>
      <c r="I369" s="503"/>
      <c r="J369" s="503"/>
      <c r="K369" s="503"/>
    </row>
    <row r="370" spans="1:11" ht="12">
      <c r="A370" s="499">
        <v>2140414001</v>
      </c>
      <c r="B370" s="539" t="s">
        <v>53</v>
      </c>
      <c r="C370" s="500" t="s">
        <v>54</v>
      </c>
      <c r="D370" s="501">
        <v>0</v>
      </c>
      <c r="E370" s="501">
        <v>91</v>
      </c>
      <c r="F370" s="501">
        <v>0</v>
      </c>
      <c r="G370" s="502">
        <v>91</v>
      </c>
      <c r="H370" s="503"/>
      <c r="I370" s="503"/>
      <c r="J370" s="503"/>
      <c r="K370" s="503"/>
    </row>
    <row r="371" spans="1:11" ht="12">
      <c r="A371" s="504">
        <v>2140416015</v>
      </c>
      <c r="B371" s="539" t="s">
        <v>55</v>
      </c>
      <c r="C371" s="505" t="s">
        <v>54</v>
      </c>
      <c r="D371" s="506">
        <v>0</v>
      </c>
      <c r="E371" s="506">
        <v>1094</v>
      </c>
      <c r="F371" s="506">
        <v>1093</v>
      </c>
      <c r="G371" s="507">
        <v>1</v>
      </c>
      <c r="H371" s="503"/>
      <c r="I371" s="503"/>
      <c r="J371" s="503"/>
      <c r="K371" s="503"/>
    </row>
    <row r="372" spans="1:11" ht="12">
      <c r="A372" s="504">
        <v>2140416018</v>
      </c>
      <c r="B372" s="539" t="s">
        <v>56</v>
      </c>
      <c r="C372" s="505" t="s">
        <v>54</v>
      </c>
      <c r="D372" s="506">
        <v>0</v>
      </c>
      <c r="E372" s="506">
        <v>7</v>
      </c>
      <c r="F372" s="506">
        <v>6</v>
      </c>
      <c r="G372" s="507">
        <v>1</v>
      </c>
      <c r="H372" s="503"/>
      <c r="I372" s="503"/>
      <c r="J372" s="503"/>
      <c r="K372" s="503"/>
    </row>
    <row r="373" spans="1:11" ht="12">
      <c r="A373" s="504">
        <v>2140417001</v>
      </c>
      <c r="B373" s="539" t="s">
        <v>57</v>
      </c>
      <c r="C373" s="505" t="s">
        <v>54</v>
      </c>
      <c r="D373" s="506">
        <v>200</v>
      </c>
      <c r="E373" s="506">
        <v>0</v>
      </c>
      <c r="F373" s="506">
        <v>0</v>
      </c>
      <c r="G373" s="507">
        <v>0</v>
      </c>
      <c r="H373" s="503"/>
      <c r="I373" s="503"/>
      <c r="J373" s="503"/>
      <c r="K373" s="503"/>
    </row>
    <row r="374" spans="1:11" ht="12">
      <c r="A374" s="504">
        <v>2140417002</v>
      </c>
      <c r="B374" s="539" t="s">
        <v>58</v>
      </c>
      <c r="C374" s="505" t="s">
        <v>54</v>
      </c>
      <c r="D374" s="506">
        <v>100</v>
      </c>
      <c r="E374" s="506">
        <v>287</v>
      </c>
      <c r="F374" s="506">
        <v>287</v>
      </c>
      <c r="G374" s="507">
        <v>0</v>
      </c>
      <c r="H374" s="503"/>
      <c r="I374" s="503"/>
      <c r="J374" s="503"/>
      <c r="K374" s="503"/>
    </row>
    <row r="375" spans="1:11" ht="12">
      <c r="A375" s="504">
        <v>2140417003</v>
      </c>
      <c r="B375" s="539" t="s">
        <v>59</v>
      </c>
      <c r="C375" s="505" t="s">
        <v>54</v>
      </c>
      <c r="D375" s="506">
        <v>80</v>
      </c>
      <c r="E375" s="506">
        <v>0</v>
      </c>
      <c r="F375" s="506">
        <v>0</v>
      </c>
      <c r="G375" s="507">
        <v>0</v>
      </c>
      <c r="H375" s="503"/>
      <c r="I375" s="503"/>
      <c r="J375" s="503"/>
      <c r="K375" s="503"/>
    </row>
    <row r="376" spans="1:11" ht="12">
      <c r="A376" s="504">
        <v>2140417004</v>
      </c>
      <c r="B376" s="539" t="s">
        <v>60</v>
      </c>
      <c r="C376" s="505" t="s">
        <v>54</v>
      </c>
      <c r="D376" s="506">
        <v>900</v>
      </c>
      <c r="E376" s="506">
        <v>1110</v>
      </c>
      <c r="F376" s="506">
        <v>1109</v>
      </c>
      <c r="G376" s="507">
        <v>1</v>
      </c>
      <c r="H376" s="503"/>
      <c r="I376" s="503"/>
      <c r="J376" s="503"/>
      <c r="K376" s="503"/>
    </row>
    <row r="377" spans="1:11" ht="12">
      <c r="A377" s="504">
        <v>2140417005</v>
      </c>
      <c r="B377" s="539" t="s">
        <v>61</v>
      </c>
      <c r="C377" s="505" t="s">
        <v>54</v>
      </c>
      <c r="D377" s="506">
        <v>2848</v>
      </c>
      <c r="E377" s="506">
        <v>974</v>
      </c>
      <c r="F377" s="506">
        <v>974</v>
      </c>
      <c r="G377" s="507">
        <v>0</v>
      </c>
      <c r="H377" s="503"/>
      <c r="I377" s="503"/>
      <c r="J377" s="503"/>
      <c r="K377" s="503"/>
    </row>
    <row r="378" spans="1:11" ht="12">
      <c r="A378" s="504">
        <v>2140417006</v>
      </c>
      <c r="B378" s="539" t="s">
        <v>62</v>
      </c>
      <c r="C378" s="505" t="s">
        <v>54</v>
      </c>
      <c r="D378" s="506">
        <v>1550</v>
      </c>
      <c r="E378" s="506">
        <v>1550</v>
      </c>
      <c r="F378" s="506">
        <v>1549</v>
      </c>
      <c r="G378" s="507">
        <v>1</v>
      </c>
      <c r="H378" s="503"/>
      <c r="I378" s="503"/>
      <c r="J378" s="503"/>
      <c r="K378" s="503"/>
    </row>
    <row r="379" spans="1:11" ht="12">
      <c r="A379" s="504">
        <v>2140417007</v>
      </c>
      <c r="B379" s="539" t="s">
        <v>1353</v>
      </c>
      <c r="C379" s="505" t="s">
        <v>54</v>
      </c>
      <c r="D379" s="506">
        <v>60</v>
      </c>
      <c r="E379" s="506">
        <v>63</v>
      </c>
      <c r="F379" s="506">
        <v>63</v>
      </c>
      <c r="G379" s="507">
        <v>0</v>
      </c>
      <c r="H379" s="503"/>
      <c r="I379" s="503"/>
      <c r="J379" s="503"/>
      <c r="K379" s="503"/>
    </row>
    <row r="380" spans="1:11" ht="12">
      <c r="A380" s="504">
        <v>2140417008</v>
      </c>
      <c r="B380" s="539" t="s">
        <v>63</v>
      </c>
      <c r="C380" s="505" t="s">
        <v>54</v>
      </c>
      <c r="D380" s="506">
        <v>239</v>
      </c>
      <c r="E380" s="506">
        <v>149</v>
      </c>
      <c r="F380" s="506">
        <v>149</v>
      </c>
      <c r="G380" s="507">
        <v>0</v>
      </c>
      <c r="H380" s="503"/>
      <c r="I380" s="503"/>
      <c r="J380" s="503"/>
      <c r="K380" s="503"/>
    </row>
    <row r="381" spans="1:11" ht="12">
      <c r="A381" s="504">
        <v>2140417009</v>
      </c>
      <c r="B381" s="539" t="s">
        <v>307</v>
      </c>
      <c r="C381" s="505" t="s">
        <v>54</v>
      </c>
      <c r="D381" s="506">
        <v>800</v>
      </c>
      <c r="E381" s="506">
        <v>800</v>
      </c>
      <c r="F381" s="506">
        <v>800</v>
      </c>
      <c r="G381" s="507">
        <v>0</v>
      </c>
      <c r="H381" s="503"/>
      <c r="I381" s="503"/>
      <c r="J381" s="503"/>
      <c r="K381" s="503"/>
    </row>
    <row r="382" spans="1:11" ht="12">
      <c r="A382" s="504">
        <v>2140417010</v>
      </c>
      <c r="B382" s="539" t="s">
        <v>64</v>
      </c>
      <c r="C382" s="505" t="s">
        <v>54</v>
      </c>
      <c r="D382" s="506">
        <v>0</v>
      </c>
      <c r="E382" s="506">
        <v>139</v>
      </c>
      <c r="F382" s="506">
        <v>137</v>
      </c>
      <c r="G382" s="507">
        <v>2</v>
      </c>
      <c r="H382" s="503"/>
      <c r="I382" s="503"/>
      <c r="J382" s="503"/>
      <c r="K382" s="503"/>
    </row>
    <row r="383" spans="1:11" ht="12">
      <c r="A383" s="504">
        <v>2140417011</v>
      </c>
      <c r="B383" s="539" t="s">
        <v>65</v>
      </c>
      <c r="C383" s="505" t="s">
        <v>54</v>
      </c>
      <c r="D383" s="506">
        <v>0</v>
      </c>
      <c r="E383" s="506">
        <v>1317</v>
      </c>
      <c r="F383" s="506">
        <v>1314</v>
      </c>
      <c r="G383" s="507">
        <v>3</v>
      </c>
      <c r="H383" s="503"/>
      <c r="I383" s="503"/>
      <c r="J383" s="503"/>
      <c r="K383" s="503"/>
    </row>
    <row r="384" spans="1:11" ht="12">
      <c r="A384" s="504">
        <v>2140417012</v>
      </c>
      <c r="B384" s="539" t="s">
        <v>66</v>
      </c>
      <c r="C384" s="505" t="s">
        <v>54</v>
      </c>
      <c r="D384" s="506">
        <v>0</v>
      </c>
      <c r="E384" s="506">
        <v>24</v>
      </c>
      <c r="F384" s="506">
        <v>22</v>
      </c>
      <c r="G384" s="507">
        <v>2</v>
      </c>
      <c r="H384" s="503"/>
      <c r="I384" s="503"/>
      <c r="J384" s="503"/>
      <c r="K384" s="503"/>
    </row>
    <row r="385" spans="1:11" ht="12">
      <c r="A385" s="504">
        <v>2140417013</v>
      </c>
      <c r="B385" s="539" t="s">
        <v>67</v>
      </c>
      <c r="C385" s="505" t="s">
        <v>54</v>
      </c>
      <c r="D385" s="506">
        <v>0</v>
      </c>
      <c r="E385" s="506">
        <v>48</v>
      </c>
      <c r="F385" s="506">
        <v>48</v>
      </c>
      <c r="G385" s="507">
        <v>0</v>
      </c>
      <c r="H385" s="503"/>
      <c r="I385" s="503"/>
      <c r="J385" s="503"/>
      <c r="K385" s="503"/>
    </row>
    <row r="386" spans="1:11" ht="12">
      <c r="A386" s="504">
        <v>2140417014</v>
      </c>
      <c r="B386" s="539" t="s">
        <v>68</v>
      </c>
      <c r="C386" s="505" t="s">
        <v>54</v>
      </c>
      <c r="D386" s="506">
        <v>0</v>
      </c>
      <c r="E386" s="506">
        <v>200</v>
      </c>
      <c r="F386" s="506">
        <v>199</v>
      </c>
      <c r="G386" s="507">
        <v>1</v>
      </c>
      <c r="H386" s="503"/>
      <c r="I386" s="503"/>
      <c r="J386" s="503"/>
      <c r="K386" s="503"/>
    </row>
    <row r="387" spans="1:11" ht="12">
      <c r="A387" s="504">
        <v>2140420001</v>
      </c>
      <c r="B387" s="539" t="s">
        <v>69</v>
      </c>
      <c r="C387" s="505" t="s">
        <v>54</v>
      </c>
      <c r="D387" s="506">
        <v>7000</v>
      </c>
      <c r="E387" s="506">
        <v>0</v>
      </c>
      <c r="F387" s="506">
        <v>0</v>
      </c>
      <c r="G387" s="507">
        <v>0</v>
      </c>
      <c r="H387" s="503"/>
      <c r="I387" s="503"/>
      <c r="J387" s="503"/>
      <c r="K387" s="503"/>
    </row>
    <row r="388" spans="1:11" ht="12">
      <c r="A388" s="504">
        <v>2140424002</v>
      </c>
      <c r="B388" s="539" t="s">
        <v>70</v>
      </c>
      <c r="C388" s="505" t="s">
        <v>54</v>
      </c>
      <c r="D388" s="506">
        <v>0</v>
      </c>
      <c r="E388" s="506">
        <v>138</v>
      </c>
      <c r="F388" s="506">
        <v>137</v>
      </c>
      <c r="G388" s="507">
        <v>1</v>
      </c>
      <c r="H388" s="503"/>
      <c r="I388" s="503"/>
      <c r="J388" s="503"/>
      <c r="K388" s="503"/>
    </row>
    <row r="389" spans="1:11" ht="12">
      <c r="A389" s="504">
        <v>2140426004</v>
      </c>
      <c r="B389" s="539" t="s">
        <v>71</v>
      </c>
      <c r="C389" s="505" t="s">
        <v>54</v>
      </c>
      <c r="D389" s="506">
        <v>0</v>
      </c>
      <c r="E389" s="506">
        <v>509</v>
      </c>
      <c r="F389" s="506">
        <v>508</v>
      </c>
      <c r="G389" s="507">
        <v>1</v>
      </c>
      <c r="H389" s="503"/>
      <c r="I389" s="503"/>
      <c r="J389" s="503"/>
      <c r="K389" s="503"/>
    </row>
    <row r="390" spans="1:11" ht="12">
      <c r="A390" s="504">
        <v>2140426005</v>
      </c>
      <c r="B390" s="539" t="s">
        <v>72</v>
      </c>
      <c r="C390" s="505" t="s">
        <v>54</v>
      </c>
      <c r="D390" s="506">
        <v>0</v>
      </c>
      <c r="E390" s="506">
        <v>1312</v>
      </c>
      <c r="F390" s="506">
        <v>1311</v>
      </c>
      <c r="G390" s="507">
        <v>1</v>
      </c>
      <c r="H390" s="503"/>
      <c r="I390" s="503"/>
      <c r="J390" s="503"/>
      <c r="K390" s="503"/>
    </row>
    <row r="391" spans="1:11" ht="12">
      <c r="A391" s="504">
        <v>2140426011</v>
      </c>
      <c r="B391" s="539" t="s">
        <v>73</v>
      </c>
      <c r="C391" s="505" t="s">
        <v>54</v>
      </c>
      <c r="D391" s="506">
        <v>0</v>
      </c>
      <c r="E391" s="506">
        <v>2068</v>
      </c>
      <c r="F391" s="506">
        <v>2068</v>
      </c>
      <c r="G391" s="507">
        <v>0</v>
      </c>
      <c r="H391" s="503"/>
      <c r="I391" s="503"/>
      <c r="J391" s="503"/>
      <c r="K391" s="503"/>
    </row>
    <row r="392" spans="1:11" ht="12">
      <c r="A392" s="504">
        <v>2140426012</v>
      </c>
      <c r="B392" s="539" t="s">
        <v>74</v>
      </c>
      <c r="C392" s="505" t="s">
        <v>54</v>
      </c>
      <c r="D392" s="506">
        <v>0</v>
      </c>
      <c r="E392" s="506">
        <v>0</v>
      </c>
      <c r="F392" s="506">
        <v>3050</v>
      </c>
      <c r="G392" s="507">
        <v>0</v>
      </c>
      <c r="H392" s="503"/>
      <c r="I392" s="503"/>
      <c r="J392" s="503"/>
      <c r="K392" s="503"/>
    </row>
    <row r="393" spans="1:11" ht="12">
      <c r="A393" s="504">
        <v>2140426013</v>
      </c>
      <c r="B393" s="539" t="s">
        <v>75</v>
      </c>
      <c r="C393" s="505" t="s">
        <v>54</v>
      </c>
      <c r="D393" s="506">
        <v>0</v>
      </c>
      <c r="E393" s="506">
        <v>422</v>
      </c>
      <c r="F393" s="506">
        <v>2560</v>
      </c>
      <c r="G393" s="507">
        <v>0</v>
      </c>
      <c r="H393" s="503"/>
      <c r="I393" s="503"/>
      <c r="J393" s="503"/>
      <c r="K393" s="503"/>
    </row>
    <row r="394" spans="1:11" ht="12">
      <c r="A394" s="504">
        <v>2140426014</v>
      </c>
      <c r="B394" s="539" t="s">
        <v>76</v>
      </c>
      <c r="C394" s="505" t="s">
        <v>54</v>
      </c>
      <c r="D394" s="506">
        <v>0</v>
      </c>
      <c r="E394" s="506">
        <v>319</v>
      </c>
      <c r="F394" s="506">
        <v>319</v>
      </c>
      <c r="G394" s="507">
        <v>0</v>
      </c>
      <c r="H394" s="503"/>
      <c r="I394" s="503"/>
      <c r="J394" s="503"/>
      <c r="K394" s="503"/>
    </row>
    <row r="395" spans="1:11" ht="12">
      <c r="A395" s="504">
        <v>2140426016</v>
      </c>
      <c r="B395" s="539" t="s">
        <v>77</v>
      </c>
      <c r="C395" s="505" t="s">
        <v>54</v>
      </c>
      <c r="D395" s="506">
        <v>0</v>
      </c>
      <c r="E395" s="506">
        <v>2412</v>
      </c>
      <c r="F395" s="506">
        <v>2412</v>
      </c>
      <c r="G395" s="507">
        <v>0</v>
      </c>
      <c r="H395" s="503"/>
      <c r="I395" s="503"/>
      <c r="J395" s="503"/>
      <c r="K395" s="503"/>
    </row>
    <row r="396" spans="1:11" ht="12">
      <c r="A396" s="504">
        <v>2140426017</v>
      </c>
      <c r="B396" s="539" t="s">
        <v>78</v>
      </c>
      <c r="C396" s="505" t="s">
        <v>54</v>
      </c>
      <c r="D396" s="506">
        <v>0</v>
      </c>
      <c r="E396" s="506">
        <v>2305</v>
      </c>
      <c r="F396" s="506">
        <v>3515</v>
      </c>
      <c r="G396" s="507">
        <v>0</v>
      </c>
      <c r="H396" s="503"/>
      <c r="I396" s="503"/>
      <c r="J396" s="503"/>
      <c r="K396" s="503"/>
    </row>
    <row r="397" spans="1:11" ht="12">
      <c r="A397" s="504">
        <v>2140426019</v>
      </c>
      <c r="B397" s="539" t="s">
        <v>79</v>
      </c>
      <c r="C397" s="505" t="s">
        <v>54</v>
      </c>
      <c r="D397" s="506">
        <v>200</v>
      </c>
      <c r="E397" s="506">
        <v>810</v>
      </c>
      <c r="F397" s="506">
        <v>809</v>
      </c>
      <c r="G397" s="507">
        <v>1</v>
      </c>
      <c r="H397" s="503"/>
      <c r="I397" s="503"/>
      <c r="J397" s="503"/>
      <c r="K397" s="503"/>
    </row>
    <row r="398" spans="1:11" ht="12">
      <c r="A398" s="504">
        <v>2140427001</v>
      </c>
      <c r="B398" s="539" t="s">
        <v>80</v>
      </c>
      <c r="C398" s="505" t="s">
        <v>54</v>
      </c>
      <c r="D398" s="506">
        <v>205</v>
      </c>
      <c r="E398" s="506">
        <v>0</v>
      </c>
      <c r="F398" s="506">
        <v>0</v>
      </c>
      <c r="G398" s="507">
        <v>0</v>
      </c>
      <c r="H398" s="503"/>
      <c r="I398" s="503"/>
      <c r="J398" s="503"/>
      <c r="K398" s="503"/>
    </row>
    <row r="399" spans="1:11" ht="12">
      <c r="A399" s="504">
        <v>2140427002</v>
      </c>
      <c r="B399" s="539" t="s">
        <v>81</v>
      </c>
      <c r="C399" s="505" t="s">
        <v>54</v>
      </c>
      <c r="D399" s="506">
        <v>3000</v>
      </c>
      <c r="E399" s="506">
        <v>0</v>
      </c>
      <c r="F399" s="506">
        <v>0</v>
      </c>
      <c r="G399" s="507">
        <v>0</v>
      </c>
      <c r="H399" s="503"/>
      <c r="I399" s="503"/>
      <c r="J399" s="503"/>
      <c r="K399" s="503"/>
    </row>
    <row r="400" spans="1:11" ht="12">
      <c r="A400" s="504">
        <v>2140427003</v>
      </c>
      <c r="B400" s="539" t="s">
        <v>82</v>
      </c>
      <c r="C400" s="505" t="s">
        <v>54</v>
      </c>
      <c r="D400" s="506">
        <v>2000</v>
      </c>
      <c r="E400" s="506">
        <v>2000</v>
      </c>
      <c r="F400" s="506">
        <v>2000</v>
      </c>
      <c r="G400" s="507">
        <v>0</v>
      </c>
      <c r="H400" s="503"/>
      <c r="I400" s="503"/>
      <c r="J400" s="503"/>
      <c r="K400" s="503"/>
    </row>
    <row r="401" spans="1:11" ht="12">
      <c r="A401" s="504">
        <v>2140427004</v>
      </c>
      <c r="B401" s="539" t="s">
        <v>83</v>
      </c>
      <c r="C401" s="505" t="s">
        <v>54</v>
      </c>
      <c r="D401" s="506">
        <v>1000</v>
      </c>
      <c r="E401" s="506">
        <v>1193</v>
      </c>
      <c r="F401" s="506">
        <v>1193</v>
      </c>
      <c r="G401" s="507">
        <v>0</v>
      </c>
      <c r="H401" s="503"/>
      <c r="I401" s="503"/>
      <c r="J401" s="503"/>
      <c r="K401" s="503"/>
    </row>
    <row r="402" spans="1:11" ht="12">
      <c r="A402" s="504">
        <v>2140427005</v>
      </c>
      <c r="B402" s="539" t="s">
        <v>84</v>
      </c>
      <c r="C402" s="505" t="s">
        <v>54</v>
      </c>
      <c r="D402" s="506">
        <v>600</v>
      </c>
      <c r="E402" s="506">
        <v>0</v>
      </c>
      <c r="F402" s="506">
        <v>0</v>
      </c>
      <c r="G402" s="507">
        <v>0</v>
      </c>
      <c r="H402" s="503"/>
      <c r="I402" s="503"/>
      <c r="J402" s="503"/>
      <c r="K402" s="503"/>
    </row>
    <row r="403" spans="1:11" ht="12">
      <c r="A403" s="504">
        <v>2140427006</v>
      </c>
      <c r="B403" s="539" t="s">
        <v>85</v>
      </c>
      <c r="C403" s="505" t="s">
        <v>54</v>
      </c>
      <c r="D403" s="506">
        <v>150</v>
      </c>
      <c r="E403" s="506">
        <v>0</v>
      </c>
      <c r="F403" s="506">
        <v>0</v>
      </c>
      <c r="G403" s="507">
        <v>0</v>
      </c>
      <c r="H403" s="503"/>
      <c r="I403" s="503"/>
      <c r="J403" s="503"/>
      <c r="K403" s="503"/>
    </row>
    <row r="404" spans="1:11" ht="12">
      <c r="A404" s="504">
        <v>2140427007</v>
      </c>
      <c r="B404" s="539" t="s">
        <v>86</v>
      </c>
      <c r="C404" s="505" t="s">
        <v>54</v>
      </c>
      <c r="D404" s="506">
        <v>150</v>
      </c>
      <c r="E404" s="506">
        <v>0</v>
      </c>
      <c r="F404" s="506">
        <v>0</v>
      </c>
      <c r="G404" s="507">
        <v>0</v>
      </c>
      <c r="H404" s="503"/>
      <c r="I404" s="503"/>
      <c r="J404" s="503"/>
      <c r="K404" s="503"/>
    </row>
    <row r="405" spans="1:11" ht="12">
      <c r="A405" s="504">
        <v>2140427008</v>
      </c>
      <c r="B405" s="539" t="s">
        <v>87</v>
      </c>
      <c r="C405" s="505" t="s">
        <v>54</v>
      </c>
      <c r="D405" s="506">
        <v>60</v>
      </c>
      <c r="E405" s="506">
        <v>113</v>
      </c>
      <c r="F405" s="506">
        <v>113</v>
      </c>
      <c r="G405" s="507">
        <v>0</v>
      </c>
      <c r="H405" s="503"/>
      <c r="I405" s="503"/>
      <c r="J405" s="503"/>
      <c r="K405" s="503"/>
    </row>
    <row r="406" spans="1:11" ht="12">
      <c r="A406" s="504">
        <v>2140427009</v>
      </c>
      <c r="B406" s="539" t="s">
        <v>88</v>
      </c>
      <c r="C406" s="505" t="s">
        <v>54</v>
      </c>
      <c r="D406" s="506">
        <v>4800</v>
      </c>
      <c r="E406" s="506">
        <v>4477</v>
      </c>
      <c r="F406" s="506">
        <v>4477</v>
      </c>
      <c r="G406" s="507">
        <v>0</v>
      </c>
      <c r="H406" s="503"/>
      <c r="I406" s="503"/>
      <c r="J406" s="503"/>
      <c r="K406" s="503"/>
    </row>
    <row r="407" spans="1:11" ht="12">
      <c r="A407" s="504">
        <v>2140427010</v>
      </c>
      <c r="B407" s="539" t="s">
        <v>89</v>
      </c>
      <c r="C407" s="505" t="s">
        <v>54</v>
      </c>
      <c r="D407" s="506">
        <v>3000</v>
      </c>
      <c r="E407" s="506">
        <v>0</v>
      </c>
      <c r="F407" s="506">
        <v>0</v>
      </c>
      <c r="G407" s="507">
        <v>0</v>
      </c>
      <c r="H407" s="503"/>
      <c r="I407" s="503"/>
      <c r="J407" s="503"/>
      <c r="K407" s="503"/>
    </row>
    <row r="408" spans="1:11" ht="12">
      <c r="A408" s="504">
        <v>2140427011</v>
      </c>
      <c r="B408" s="539" t="s">
        <v>90</v>
      </c>
      <c r="C408" s="505" t="s">
        <v>54</v>
      </c>
      <c r="D408" s="506">
        <v>500</v>
      </c>
      <c r="E408" s="506">
        <v>0</v>
      </c>
      <c r="F408" s="506">
        <v>0</v>
      </c>
      <c r="G408" s="507">
        <v>0</v>
      </c>
      <c r="H408" s="503"/>
      <c r="I408" s="503"/>
      <c r="J408" s="503"/>
      <c r="K408" s="503"/>
    </row>
    <row r="409" spans="1:11" ht="12">
      <c r="A409" s="504">
        <v>2140427012</v>
      </c>
      <c r="B409" s="539" t="s">
        <v>879</v>
      </c>
      <c r="C409" s="505" t="s">
        <v>54</v>
      </c>
      <c r="D409" s="506">
        <v>3000</v>
      </c>
      <c r="E409" s="506">
        <v>2370</v>
      </c>
      <c r="F409" s="506">
        <v>2355</v>
      </c>
      <c r="G409" s="507">
        <v>15</v>
      </c>
      <c r="H409" s="503"/>
      <c r="I409" s="503"/>
      <c r="J409" s="503"/>
      <c r="K409" s="503"/>
    </row>
    <row r="410" spans="1:11" ht="12">
      <c r="A410" s="504">
        <v>2140427013</v>
      </c>
      <c r="B410" s="539" t="s">
        <v>2278</v>
      </c>
      <c r="C410" s="505" t="s">
        <v>54</v>
      </c>
      <c r="D410" s="506">
        <v>12554</v>
      </c>
      <c r="E410" s="506">
        <v>7187</v>
      </c>
      <c r="F410" s="506">
        <v>7170</v>
      </c>
      <c r="G410" s="507">
        <v>17</v>
      </c>
      <c r="H410" s="503"/>
      <c r="I410" s="503"/>
      <c r="J410" s="503"/>
      <c r="K410" s="503"/>
    </row>
    <row r="411" spans="1:11" ht="12">
      <c r="A411" s="504">
        <v>2140427014</v>
      </c>
      <c r="B411" s="539" t="s">
        <v>91</v>
      </c>
      <c r="C411" s="505" t="s">
        <v>54</v>
      </c>
      <c r="D411" s="506">
        <v>0</v>
      </c>
      <c r="E411" s="506">
        <v>700</v>
      </c>
      <c r="F411" s="506">
        <v>698</v>
      </c>
      <c r="G411" s="507">
        <v>2</v>
      </c>
      <c r="H411" s="503"/>
      <c r="I411" s="503"/>
      <c r="J411" s="503"/>
      <c r="K411" s="503"/>
    </row>
    <row r="412" spans="1:11" ht="12">
      <c r="A412" s="504">
        <v>2140427015</v>
      </c>
      <c r="B412" s="539" t="s">
        <v>92</v>
      </c>
      <c r="C412" s="505" t="s">
        <v>54</v>
      </c>
      <c r="D412" s="506">
        <v>0</v>
      </c>
      <c r="E412" s="506">
        <v>394</v>
      </c>
      <c r="F412" s="506">
        <v>386</v>
      </c>
      <c r="G412" s="507">
        <v>8</v>
      </c>
      <c r="H412" s="503"/>
      <c r="I412" s="503"/>
      <c r="J412" s="503"/>
      <c r="K412" s="503"/>
    </row>
    <row r="413" spans="1:11" ht="12">
      <c r="A413" s="504">
        <v>2140427016</v>
      </c>
      <c r="B413" s="539" t="s">
        <v>93</v>
      </c>
      <c r="C413" s="505" t="s">
        <v>54</v>
      </c>
      <c r="D413" s="506">
        <v>0</v>
      </c>
      <c r="E413" s="506">
        <v>60</v>
      </c>
      <c r="F413" s="506">
        <v>60</v>
      </c>
      <c r="G413" s="507">
        <v>0</v>
      </c>
      <c r="H413" s="503"/>
      <c r="I413" s="503"/>
      <c r="J413" s="503"/>
      <c r="K413" s="503"/>
    </row>
    <row r="414" spans="1:11" ht="12">
      <c r="A414" s="504">
        <v>2140427017</v>
      </c>
      <c r="B414" s="539" t="s">
        <v>94</v>
      </c>
      <c r="C414" s="505" t="s">
        <v>54</v>
      </c>
      <c r="D414" s="506">
        <v>0</v>
      </c>
      <c r="E414" s="506">
        <v>327</v>
      </c>
      <c r="F414" s="506">
        <v>326</v>
      </c>
      <c r="G414" s="507">
        <v>1</v>
      </c>
      <c r="H414" s="503"/>
      <c r="I414" s="503"/>
      <c r="J414" s="503"/>
      <c r="K414" s="503"/>
    </row>
    <row r="415" spans="1:11" ht="12">
      <c r="A415" s="504">
        <v>2140427018</v>
      </c>
      <c r="B415" s="539" t="s">
        <v>95</v>
      </c>
      <c r="C415" s="505" t="s">
        <v>54</v>
      </c>
      <c r="D415" s="506">
        <v>0</v>
      </c>
      <c r="E415" s="506">
        <v>2948</v>
      </c>
      <c r="F415" s="506">
        <v>2947</v>
      </c>
      <c r="G415" s="507">
        <v>1</v>
      </c>
      <c r="H415" s="503"/>
      <c r="I415" s="503"/>
      <c r="J415" s="503"/>
      <c r="K415" s="503"/>
    </row>
    <row r="416" spans="1:11" ht="12">
      <c r="A416" s="504">
        <v>2140427019</v>
      </c>
      <c r="B416" s="539" t="s">
        <v>96</v>
      </c>
      <c r="C416" s="505" t="s">
        <v>54</v>
      </c>
      <c r="D416" s="506">
        <v>0</v>
      </c>
      <c r="E416" s="506">
        <v>99</v>
      </c>
      <c r="F416" s="506">
        <v>98</v>
      </c>
      <c r="G416" s="507">
        <v>1</v>
      </c>
      <c r="H416" s="503"/>
      <c r="I416" s="503"/>
      <c r="J416" s="503"/>
      <c r="K416" s="503"/>
    </row>
    <row r="417" spans="1:11" ht="12">
      <c r="A417" s="504">
        <v>2140427021</v>
      </c>
      <c r="B417" s="539" t="s">
        <v>97</v>
      </c>
      <c r="C417" s="505" t="s">
        <v>54</v>
      </c>
      <c r="D417" s="506">
        <v>0</v>
      </c>
      <c r="E417" s="506">
        <v>273</v>
      </c>
      <c r="F417" s="506">
        <v>273</v>
      </c>
      <c r="G417" s="507">
        <v>0</v>
      </c>
      <c r="H417" s="503"/>
      <c r="I417" s="503"/>
      <c r="J417" s="503"/>
      <c r="K417" s="503"/>
    </row>
    <row r="418" spans="1:11" ht="12">
      <c r="A418" s="504">
        <v>2140427022</v>
      </c>
      <c r="B418" s="539" t="s">
        <v>98</v>
      </c>
      <c r="C418" s="505" t="s">
        <v>54</v>
      </c>
      <c r="D418" s="506">
        <v>0</v>
      </c>
      <c r="E418" s="506">
        <v>228</v>
      </c>
      <c r="F418" s="506">
        <v>227</v>
      </c>
      <c r="G418" s="507">
        <v>1</v>
      </c>
      <c r="H418" s="503"/>
      <c r="I418" s="503"/>
      <c r="J418" s="503"/>
      <c r="K418" s="503"/>
    </row>
    <row r="419" spans="1:11" ht="12">
      <c r="A419" s="504">
        <v>2140427023</v>
      </c>
      <c r="B419" s="539" t="s">
        <v>99</v>
      </c>
      <c r="C419" s="505" t="s">
        <v>54</v>
      </c>
      <c r="D419" s="506">
        <v>0</v>
      </c>
      <c r="E419" s="506">
        <v>130</v>
      </c>
      <c r="F419" s="506">
        <v>130</v>
      </c>
      <c r="G419" s="507">
        <v>0</v>
      </c>
      <c r="H419" s="503"/>
      <c r="I419" s="503"/>
      <c r="J419" s="503"/>
      <c r="K419" s="503"/>
    </row>
    <row r="420" spans="1:11" ht="12">
      <c r="A420" s="504">
        <v>2140446004</v>
      </c>
      <c r="B420" s="539" t="s">
        <v>100</v>
      </c>
      <c r="C420" s="505" t="s">
        <v>181</v>
      </c>
      <c r="D420" s="506">
        <v>0</v>
      </c>
      <c r="E420" s="506">
        <v>0</v>
      </c>
      <c r="F420" s="506">
        <v>1214</v>
      </c>
      <c r="G420" s="507">
        <v>0</v>
      </c>
      <c r="H420" s="503"/>
      <c r="I420" s="503"/>
      <c r="J420" s="503"/>
      <c r="K420" s="503"/>
    </row>
    <row r="421" spans="1:11" ht="12">
      <c r="A421" s="504">
        <v>2140447001</v>
      </c>
      <c r="B421" s="539" t="s">
        <v>101</v>
      </c>
      <c r="C421" s="505" t="s">
        <v>181</v>
      </c>
      <c r="D421" s="506">
        <v>7500</v>
      </c>
      <c r="E421" s="506">
        <v>3506</v>
      </c>
      <c r="F421" s="506">
        <v>3504</v>
      </c>
      <c r="G421" s="507">
        <v>0</v>
      </c>
      <c r="H421" s="503"/>
      <c r="I421" s="503"/>
      <c r="J421" s="503"/>
      <c r="K421" s="503"/>
    </row>
    <row r="422" spans="1:11" ht="12">
      <c r="A422" s="504">
        <v>2140447002</v>
      </c>
      <c r="B422" s="539" t="s">
        <v>102</v>
      </c>
      <c r="C422" s="505" t="s">
        <v>181</v>
      </c>
      <c r="D422" s="506">
        <v>500</v>
      </c>
      <c r="E422" s="506">
        <v>211</v>
      </c>
      <c r="F422" s="506">
        <v>169</v>
      </c>
      <c r="G422" s="507">
        <v>0</v>
      </c>
      <c r="H422" s="503"/>
      <c r="I422" s="503"/>
      <c r="J422" s="503"/>
      <c r="K422" s="503"/>
    </row>
    <row r="423" spans="1:11" ht="12">
      <c r="A423" s="504">
        <v>2140447003</v>
      </c>
      <c r="B423" s="539" t="s">
        <v>103</v>
      </c>
      <c r="C423" s="505" t="s">
        <v>181</v>
      </c>
      <c r="D423" s="506">
        <v>1183</v>
      </c>
      <c r="E423" s="506">
        <v>0</v>
      </c>
      <c r="F423" s="506">
        <v>0</v>
      </c>
      <c r="G423" s="507">
        <v>0</v>
      </c>
      <c r="H423" s="503"/>
      <c r="I423" s="503"/>
      <c r="J423" s="503"/>
      <c r="K423" s="503"/>
    </row>
    <row r="424" spans="1:11" ht="12">
      <c r="A424" s="504">
        <v>2140447004</v>
      </c>
      <c r="B424" s="539" t="s">
        <v>104</v>
      </c>
      <c r="C424" s="505" t="s">
        <v>181</v>
      </c>
      <c r="D424" s="506">
        <v>0</v>
      </c>
      <c r="E424" s="506">
        <v>1594</v>
      </c>
      <c r="F424" s="506">
        <v>1594</v>
      </c>
      <c r="G424" s="507">
        <v>0</v>
      </c>
      <c r="H424" s="503"/>
      <c r="I424" s="503"/>
      <c r="J424" s="503"/>
      <c r="K424" s="503"/>
    </row>
    <row r="425" spans="1:11" ht="12">
      <c r="A425" s="504">
        <v>2140467001</v>
      </c>
      <c r="B425" s="539" t="s">
        <v>105</v>
      </c>
      <c r="C425" s="505" t="s">
        <v>106</v>
      </c>
      <c r="D425" s="506">
        <v>0</v>
      </c>
      <c r="E425" s="506">
        <v>8000</v>
      </c>
      <c r="F425" s="506">
        <v>8000</v>
      </c>
      <c r="G425" s="507">
        <v>0</v>
      </c>
      <c r="H425" s="503"/>
      <c r="I425" s="503"/>
      <c r="J425" s="503"/>
      <c r="K425" s="503"/>
    </row>
    <row r="426" spans="1:11" ht="12.75" thickBot="1">
      <c r="A426" s="508">
        <v>2140496001</v>
      </c>
      <c r="B426" s="539" t="s">
        <v>107</v>
      </c>
      <c r="C426" s="509" t="s">
        <v>54</v>
      </c>
      <c r="D426" s="510">
        <v>2369</v>
      </c>
      <c r="E426" s="510">
        <v>2868</v>
      </c>
      <c r="F426" s="510">
        <v>2867</v>
      </c>
      <c r="G426" s="511">
        <v>1</v>
      </c>
      <c r="H426" s="503"/>
      <c r="I426" s="503"/>
      <c r="J426" s="503"/>
      <c r="K426" s="503"/>
    </row>
    <row r="427" spans="1:11" ht="12.75" thickBot="1">
      <c r="A427" s="1489" t="s">
        <v>108</v>
      </c>
      <c r="B427" s="1490"/>
      <c r="C427" s="1490"/>
      <c r="D427" s="512">
        <f>SUM(D370:D426)</f>
        <v>56548</v>
      </c>
      <c r="E427" s="512">
        <f>SUM(E370:E426)</f>
        <v>56826</v>
      </c>
      <c r="F427" s="512">
        <f>SUM(F370:F426)</f>
        <v>64240</v>
      </c>
      <c r="G427" s="512">
        <f>SUM(G370:G426)</f>
        <v>154</v>
      </c>
      <c r="H427" s="503"/>
      <c r="I427" s="503"/>
      <c r="J427" s="503"/>
      <c r="K427" s="503"/>
    </row>
    <row r="428" spans="1:11" ht="12">
      <c r="A428" s="499">
        <v>2140517001</v>
      </c>
      <c r="B428" s="539" t="s">
        <v>2197</v>
      </c>
      <c r="C428" s="500" t="s">
        <v>1217</v>
      </c>
      <c r="D428" s="501">
        <v>0</v>
      </c>
      <c r="E428" s="501">
        <v>1227</v>
      </c>
      <c r="F428" s="501">
        <v>1227</v>
      </c>
      <c r="G428" s="502">
        <v>0</v>
      </c>
      <c r="H428" s="503"/>
      <c r="I428" s="503"/>
      <c r="J428" s="503"/>
      <c r="K428" s="503"/>
    </row>
    <row r="429" spans="1:11" ht="12">
      <c r="A429" s="504">
        <v>2140517002</v>
      </c>
      <c r="B429" s="539" t="s">
        <v>2198</v>
      </c>
      <c r="C429" s="505" t="s">
        <v>1217</v>
      </c>
      <c r="D429" s="506">
        <v>0</v>
      </c>
      <c r="E429" s="506">
        <v>828</v>
      </c>
      <c r="F429" s="506">
        <v>828</v>
      </c>
      <c r="G429" s="507">
        <v>0</v>
      </c>
      <c r="H429" s="503"/>
      <c r="I429" s="503"/>
      <c r="J429" s="503"/>
      <c r="K429" s="503"/>
    </row>
    <row r="430" spans="1:11" ht="12">
      <c r="A430" s="504">
        <v>2140517003</v>
      </c>
      <c r="B430" s="539" t="s">
        <v>2199</v>
      </c>
      <c r="C430" s="505" t="s">
        <v>1217</v>
      </c>
      <c r="D430" s="506">
        <v>0</v>
      </c>
      <c r="E430" s="506">
        <v>1261</v>
      </c>
      <c r="F430" s="506">
        <v>1259</v>
      </c>
      <c r="G430" s="507">
        <v>2</v>
      </c>
      <c r="H430" s="503"/>
      <c r="I430" s="503"/>
      <c r="J430" s="503"/>
      <c r="K430" s="503"/>
    </row>
    <row r="431" spans="1:11" ht="12">
      <c r="A431" s="504">
        <v>2140517004</v>
      </c>
      <c r="B431" s="539" t="s">
        <v>2200</v>
      </c>
      <c r="C431" s="505" t="s">
        <v>1217</v>
      </c>
      <c r="D431" s="506">
        <v>0</v>
      </c>
      <c r="E431" s="506">
        <v>300</v>
      </c>
      <c r="F431" s="506">
        <v>300</v>
      </c>
      <c r="G431" s="507">
        <v>0</v>
      </c>
      <c r="H431" s="503"/>
      <c r="I431" s="503"/>
      <c r="J431" s="503"/>
      <c r="K431" s="503"/>
    </row>
    <row r="432" spans="1:11" ht="12">
      <c r="A432" s="504">
        <v>2140517005</v>
      </c>
      <c r="B432" s="539" t="s">
        <v>2201</v>
      </c>
      <c r="C432" s="505" t="s">
        <v>1217</v>
      </c>
      <c r="D432" s="506">
        <v>0</v>
      </c>
      <c r="E432" s="506">
        <v>125</v>
      </c>
      <c r="F432" s="506">
        <v>125</v>
      </c>
      <c r="G432" s="507">
        <v>0</v>
      </c>
      <c r="H432" s="503"/>
      <c r="I432" s="503"/>
      <c r="J432" s="503"/>
      <c r="K432" s="503"/>
    </row>
    <row r="433" spans="1:11" ht="12">
      <c r="A433" s="504">
        <v>2140517006</v>
      </c>
      <c r="B433" s="539" t="s">
        <v>2199</v>
      </c>
      <c r="C433" s="505" t="s">
        <v>1217</v>
      </c>
      <c r="D433" s="506">
        <v>0</v>
      </c>
      <c r="E433" s="506">
        <v>960</v>
      </c>
      <c r="F433" s="506">
        <v>960</v>
      </c>
      <c r="G433" s="507">
        <v>0</v>
      </c>
      <c r="H433" s="503"/>
      <c r="I433" s="503"/>
      <c r="J433" s="503"/>
      <c r="K433" s="503"/>
    </row>
    <row r="434" spans="1:11" ht="12">
      <c r="A434" s="504">
        <v>2140525009</v>
      </c>
      <c r="B434" s="539" t="s">
        <v>2202</v>
      </c>
      <c r="C434" s="505" t="s">
        <v>1217</v>
      </c>
      <c r="D434" s="506">
        <v>0</v>
      </c>
      <c r="E434" s="506">
        <v>0</v>
      </c>
      <c r="F434" s="506">
        <v>2400</v>
      </c>
      <c r="G434" s="507">
        <v>0</v>
      </c>
      <c r="H434" s="503"/>
      <c r="I434" s="503"/>
      <c r="J434" s="503"/>
      <c r="K434" s="503"/>
    </row>
    <row r="435" spans="1:11" ht="12">
      <c r="A435" s="504">
        <v>2140526020</v>
      </c>
      <c r="B435" s="539" t="s">
        <v>2203</v>
      </c>
      <c r="C435" s="505" t="s">
        <v>1217</v>
      </c>
      <c r="D435" s="506">
        <v>0</v>
      </c>
      <c r="E435" s="506">
        <v>0</v>
      </c>
      <c r="F435" s="506">
        <v>530</v>
      </c>
      <c r="G435" s="507">
        <v>0</v>
      </c>
      <c r="H435" s="503"/>
      <c r="I435" s="503"/>
      <c r="J435" s="503"/>
      <c r="K435" s="503"/>
    </row>
    <row r="436" spans="1:11" ht="12">
      <c r="A436" s="504">
        <v>2140526066</v>
      </c>
      <c r="B436" s="539" t="s">
        <v>2204</v>
      </c>
      <c r="C436" s="505" t="s">
        <v>1217</v>
      </c>
      <c r="D436" s="506">
        <v>0</v>
      </c>
      <c r="E436" s="506">
        <v>0</v>
      </c>
      <c r="F436" s="506">
        <v>63</v>
      </c>
      <c r="G436" s="507">
        <v>0</v>
      </c>
      <c r="H436" s="503"/>
      <c r="I436" s="503"/>
      <c r="J436" s="503"/>
      <c r="K436" s="503"/>
    </row>
    <row r="437" spans="1:11" ht="12">
      <c r="A437" s="504">
        <v>2140526088</v>
      </c>
      <c r="B437" s="539" t="s">
        <v>2205</v>
      </c>
      <c r="C437" s="505" t="s">
        <v>1217</v>
      </c>
      <c r="D437" s="506">
        <v>0</v>
      </c>
      <c r="E437" s="506">
        <v>0</v>
      </c>
      <c r="F437" s="506">
        <v>112</v>
      </c>
      <c r="G437" s="507">
        <v>0</v>
      </c>
      <c r="H437" s="503"/>
      <c r="I437" s="503"/>
      <c r="J437" s="503"/>
      <c r="K437" s="503"/>
    </row>
    <row r="438" spans="1:11" ht="12">
      <c r="A438" s="504">
        <v>2140526093</v>
      </c>
      <c r="B438" s="539" t="s">
        <v>2206</v>
      </c>
      <c r="C438" s="505" t="s">
        <v>1217</v>
      </c>
      <c r="D438" s="506">
        <v>0</v>
      </c>
      <c r="E438" s="506">
        <v>0</v>
      </c>
      <c r="F438" s="506">
        <v>450</v>
      </c>
      <c r="G438" s="507">
        <v>0</v>
      </c>
      <c r="H438" s="503"/>
      <c r="I438" s="503"/>
      <c r="J438" s="503"/>
      <c r="K438" s="503"/>
    </row>
    <row r="439" spans="1:11" ht="12">
      <c r="A439" s="504">
        <v>2140527001</v>
      </c>
      <c r="B439" s="539" t="s">
        <v>2207</v>
      </c>
      <c r="C439" s="505" t="s">
        <v>1217</v>
      </c>
      <c r="D439" s="506">
        <v>0</v>
      </c>
      <c r="E439" s="506">
        <v>350</v>
      </c>
      <c r="F439" s="506">
        <v>339</v>
      </c>
      <c r="G439" s="507">
        <v>11</v>
      </c>
      <c r="H439" s="503"/>
      <c r="I439" s="503"/>
      <c r="J439" s="503"/>
      <c r="K439" s="503"/>
    </row>
    <row r="440" spans="1:11" ht="12">
      <c r="A440" s="504">
        <v>2140527002</v>
      </c>
      <c r="B440" s="539" t="s">
        <v>1832</v>
      </c>
      <c r="C440" s="505" t="s">
        <v>1217</v>
      </c>
      <c r="D440" s="506">
        <v>0</v>
      </c>
      <c r="E440" s="506">
        <v>340</v>
      </c>
      <c r="F440" s="506">
        <v>287</v>
      </c>
      <c r="G440" s="507">
        <v>53</v>
      </c>
      <c r="H440" s="503"/>
      <c r="I440" s="503"/>
      <c r="J440" s="503"/>
      <c r="K440" s="503"/>
    </row>
    <row r="441" spans="1:11" ht="12">
      <c r="A441" s="504">
        <v>2140527003</v>
      </c>
      <c r="B441" s="539" t="s">
        <v>1833</v>
      </c>
      <c r="C441" s="505" t="s">
        <v>1217</v>
      </c>
      <c r="D441" s="506">
        <v>0</v>
      </c>
      <c r="E441" s="506">
        <v>400</v>
      </c>
      <c r="F441" s="506">
        <v>335</v>
      </c>
      <c r="G441" s="507">
        <v>65</v>
      </c>
      <c r="H441" s="503"/>
      <c r="I441" s="503"/>
      <c r="J441" s="503"/>
      <c r="K441" s="503"/>
    </row>
    <row r="442" spans="1:11" ht="12">
      <c r="A442" s="504">
        <v>2140527004</v>
      </c>
      <c r="B442" s="539" t="s">
        <v>1834</v>
      </c>
      <c r="C442" s="505" t="s">
        <v>1217</v>
      </c>
      <c r="D442" s="506">
        <v>0</v>
      </c>
      <c r="E442" s="506">
        <v>150</v>
      </c>
      <c r="F442" s="506">
        <v>150</v>
      </c>
      <c r="G442" s="507">
        <v>0</v>
      </c>
      <c r="H442" s="503"/>
      <c r="I442" s="503"/>
      <c r="J442" s="503"/>
      <c r="K442" s="503"/>
    </row>
    <row r="443" spans="1:11" ht="12">
      <c r="A443" s="504">
        <v>2140527005</v>
      </c>
      <c r="B443" s="539" t="s">
        <v>1835</v>
      </c>
      <c r="C443" s="505" t="s">
        <v>1217</v>
      </c>
      <c r="D443" s="506">
        <v>0</v>
      </c>
      <c r="E443" s="506">
        <v>327</v>
      </c>
      <c r="F443" s="506">
        <v>315</v>
      </c>
      <c r="G443" s="507">
        <v>12</v>
      </c>
      <c r="H443" s="503"/>
      <c r="I443" s="503"/>
      <c r="J443" s="503"/>
      <c r="K443" s="503"/>
    </row>
    <row r="444" spans="1:11" ht="12">
      <c r="A444" s="504">
        <v>2140527006</v>
      </c>
      <c r="B444" s="539" t="s">
        <v>1836</v>
      </c>
      <c r="C444" s="505" t="s">
        <v>1217</v>
      </c>
      <c r="D444" s="506">
        <v>0</v>
      </c>
      <c r="E444" s="506">
        <v>550</v>
      </c>
      <c r="F444" s="506">
        <v>550</v>
      </c>
      <c r="G444" s="507">
        <v>0</v>
      </c>
      <c r="H444" s="503"/>
      <c r="I444" s="503"/>
      <c r="J444" s="503"/>
      <c r="K444" s="503"/>
    </row>
    <row r="445" spans="1:11" ht="12">
      <c r="A445" s="504">
        <v>2140527007</v>
      </c>
      <c r="B445" s="539" t="s">
        <v>1837</v>
      </c>
      <c r="C445" s="505" t="s">
        <v>1217</v>
      </c>
      <c r="D445" s="506">
        <v>0</v>
      </c>
      <c r="E445" s="506">
        <v>150</v>
      </c>
      <c r="F445" s="506">
        <v>142</v>
      </c>
      <c r="G445" s="507">
        <v>8</v>
      </c>
      <c r="H445" s="503"/>
      <c r="I445" s="503"/>
      <c r="J445" s="503"/>
      <c r="K445" s="503"/>
    </row>
    <row r="446" spans="1:11" ht="12">
      <c r="A446" s="504">
        <v>2140527008</v>
      </c>
      <c r="B446" s="539" t="s">
        <v>1834</v>
      </c>
      <c r="C446" s="505" t="s">
        <v>1217</v>
      </c>
      <c r="D446" s="506">
        <v>0</v>
      </c>
      <c r="E446" s="506">
        <v>288</v>
      </c>
      <c r="F446" s="506">
        <v>249</v>
      </c>
      <c r="G446" s="507">
        <v>39</v>
      </c>
      <c r="H446" s="503"/>
      <c r="I446" s="503"/>
      <c r="J446" s="503"/>
      <c r="K446" s="503"/>
    </row>
    <row r="447" spans="1:11" ht="12">
      <c r="A447" s="504">
        <v>2140527009</v>
      </c>
      <c r="B447" s="539" t="s">
        <v>1838</v>
      </c>
      <c r="C447" s="505" t="s">
        <v>1217</v>
      </c>
      <c r="D447" s="506">
        <v>0</v>
      </c>
      <c r="E447" s="506">
        <v>643</v>
      </c>
      <c r="F447" s="506">
        <v>643</v>
      </c>
      <c r="G447" s="507">
        <v>0</v>
      </c>
      <c r="H447" s="503"/>
      <c r="I447" s="503"/>
      <c r="J447" s="503"/>
      <c r="K447" s="503"/>
    </row>
    <row r="448" spans="1:11" ht="12">
      <c r="A448" s="504">
        <v>2140527010</v>
      </c>
      <c r="B448" s="539" t="s">
        <v>1839</v>
      </c>
      <c r="C448" s="505" t="s">
        <v>1217</v>
      </c>
      <c r="D448" s="506">
        <v>0</v>
      </c>
      <c r="E448" s="506">
        <v>50</v>
      </c>
      <c r="F448" s="506">
        <v>50</v>
      </c>
      <c r="G448" s="507">
        <v>0</v>
      </c>
      <c r="H448" s="503"/>
      <c r="I448" s="503"/>
      <c r="J448" s="503"/>
      <c r="K448" s="503"/>
    </row>
    <row r="449" spans="1:11" ht="12">
      <c r="A449" s="504">
        <v>2140527011</v>
      </c>
      <c r="B449" s="539" t="s">
        <v>2576</v>
      </c>
      <c r="C449" s="505" t="s">
        <v>1217</v>
      </c>
      <c r="D449" s="506">
        <v>0</v>
      </c>
      <c r="E449" s="506">
        <v>892</v>
      </c>
      <c r="F449" s="506">
        <v>892</v>
      </c>
      <c r="G449" s="507">
        <v>0</v>
      </c>
      <c r="H449" s="503"/>
      <c r="I449" s="503"/>
      <c r="J449" s="503"/>
      <c r="K449" s="503"/>
    </row>
    <row r="450" spans="1:11" ht="12">
      <c r="A450" s="504">
        <v>2140527012</v>
      </c>
      <c r="B450" s="539" t="s">
        <v>2577</v>
      </c>
      <c r="C450" s="505" t="s">
        <v>1217</v>
      </c>
      <c r="D450" s="506">
        <v>0</v>
      </c>
      <c r="E450" s="506">
        <v>498</v>
      </c>
      <c r="F450" s="506">
        <v>498</v>
      </c>
      <c r="G450" s="507">
        <v>0</v>
      </c>
      <c r="H450" s="503"/>
      <c r="I450" s="503"/>
      <c r="J450" s="503"/>
      <c r="K450" s="503"/>
    </row>
    <row r="451" spans="1:11" ht="12">
      <c r="A451" s="504">
        <v>2140527013</v>
      </c>
      <c r="B451" s="539" t="s">
        <v>2578</v>
      </c>
      <c r="C451" s="505" t="s">
        <v>1217</v>
      </c>
      <c r="D451" s="506">
        <v>0</v>
      </c>
      <c r="E451" s="506">
        <v>250</v>
      </c>
      <c r="F451" s="506">
        <v>250</v>
      </c>
      <c r="G451" s="507">
        <v>0</v>
      </c>
      <c r="H451" s="503"/>
      <c r="I451" s="503"/>
      <c r="J451" s="503"/>
      <c r="K451" s="503"/>
    </row>
    <row r="452" spans="1:11" ht="12">
      <c r="A452" s="504">
        <v>2140527014</v>
      </c>
      <c r="B452" s="539" t="s">
        <v>2579</v>
      </c>
      <c r="C452" s="505" t="s">
        <v>1217</v>
      </c>
      <c r="D452" s="506">
        <v>0</v>
      </c>
      <c r="E452" s="506">
        <v>300</v>
      </c>
      <c r="F452" s="506">
        <v>300</v>
      </c>
      <c r="G452" s="507">
        <v>0</v>
      </c>
      <c r="H452" s="503"/>
      <c r="I452" s="503"/>
      <c r="J452" s="503"/>
      <c r="K452" s="503"/>
    </row>
    <row r="453" spans="1:11" ht="12">
      <c r="A453" s="504">
        <v>2140527015</v>
      </c>
      <c r="B453" s="539" t="s">
        <v>2580</v>
      </c>
      <c r="C453" s="505" t="s">
        <v>1217</v>
      </c>
      <c r="D453" s="506">
        <v>0</v>
      </c>
      <c r="E453" s="506">
        <v>540</v>
      </c>
      <c r="F453" s="506">
        <v>540</v>
      </c>
      <c r="G453" s="507">
        <v>0</v>
      </c>
      <c r="H453" s="503"/>
      <c r="I453" s="503"/>
      <c r="J453" s="503"/>
      <c r="K453" s="503"/>
    </row>
    <row r="454" spans="1:11" ht="12">
      <c r="A454" s="504">
        <v>2140527016</v>
      </c>
      <c r="B454" s="539" t="s">
        <v>2581</v>
      </c>
      <c r="C454" s="505" t="s">
        <v>1217</v>
      </c>
      <c r="D454" s="506">
        <v>0</v>
      </c>
      <c r="E454" s="506">
        <v>200</v>
      </c>
      <c r="F454" s="506">
        <v>200</v>
      </c>
      <c r="G454" s="507">
        <v>0</v>
      </c>
      <c r="H454" s="503"/>
      <c r="I454" s="503"/>
      <c r="J454" s="503"/>
      <c r="K454" s="503"/>
    </row>
    <row r="455" spans="1:11" ht="12">
      <c r="A455" s="504">
        <v>2140527017</v>
      </c>
      <c r="B455" s="539" t="s">
        <v>2582</v>
      </c>
      <c r="C455" s="505" t="s">
        <v>1217</v>
      </c>
      <c r="D455" s="506">
        <v>0</v>
      </c>
      <c r="E455" s="506">
        <v>400</v>
      </c>
      <c r="F455" s="506">
        <v>400</v>
      </c>
      <c r="G455" s="507">
        <v>0</v>
      </c>
      <c r="H455" s="503"/>
      <c r="I455" s="503"/>
      <c r="J455" s="503"/>
      <c r="K455" s="503"/>
    </row>
    <row r="456" spans="1:11" ht="12">
      <c r="A456" s="504">
        <v>2140527018</v>
      </c>
      <c r="B456" s="539" t="s">
        <v>2583</v>
      </c>
      <c r="C456" s="505" t="s">
        <v>1217</v>
      </c>
      <c r="D456" s="506">
        <v>0</v>
      </c>
      <c r="E456" s="506">
        <v>1104</v>
      </c>
      <c r="F456" s="506">
        <v>1104</v>
      </c>
      <c r="G456" s="507">
        <v>0</v>
      </c>
      <c r="H456" s="503"/>
      <c r="I456" s="503"/>
      <c r="J456" s="503"/>
      <c r="K456" s="503"/>
    </row>
    <row r="457" spans="1:11" ht="12">
      <c r="A457" s="504">
        <v>2140527019</v>
      </c>
      <c r="B457" s="539" t="s">
        <v>2584</v>
      </c>
      <c r="C457" s="505" t="s">
        <v>1217</v>
      </c>
      <c r="D457" s="506">
        <v>0</v>
      </c>
      <c r="E457" s="506">
        <v>700</v>
      </c>
      <c r="F457" s="506">
        <v>700</v>
      </c>
      <c r="G457" s="507">
        <v>0</v>
      </c>
      <c r="H457" s="503"/>
      <c r="I457" s="503"/>
      <c r="J457" s="503"/>
      <c r="K457" s="503"/>
    </row>
    <row r="458" spans="1:11" ht="12">
      <c r="A458" s="504">
        <v>2140527020</v>
      </c>
      <c r="B458" s="539" t="s">
        <v>2585</v>
      </c>
      <c r="C458" s="505" t="s">
        <v>1217</v>
      </c>
      <c r="D458" s="506">
        <v>0</v>
      </c>
      <c r="E458" s="506">
        <v>170</v>
      </c>
      <c r="F458" s="506">
        <v>170</v>
      </c>
      <c r="G458" s="507">
        <v>0</v>
      </c>
      <c r="H458" s="503"/>
      <c r="I458" s="503"/>
      <c r="J458" s="503"/>
      <c r="K458" s="503"/>
    </row>
    <row r="459" spans="1:11" ht="12">
      <c r="A459" s="504">
        <v>2140527021</v>
      </c>
      <c r="B459" s="539" t="s">
        <v>2586</v>
      </c>
      <c r="C459" s="505" t="s">
        <v>1217</v>
      </c>
      <c r="D459" s="506">
        <v>0</v>
      </c>
      <c r="E459" s="506">
        <v>1500</v>
      </c>
      <c r="F459" s="506">
        <v>1386</v>
      </c>
      <c r="G459" s="507">
        <v>114</v>
      </c>
      <c r="H459" s="503"/>
      <c r="I459" s="503"/>
      <c r="J459" s="503"/>
      <c r="K459" s="503"/>
    </row>
    <row r="460" spans="1:11" ht="12">
      <c r="A460" s="504">
        <v>2140527022</v>
      </c>
      <c r="B460" s="539" t="s">
        <v>2587</v>
      </c>
      <c r="C460" s="505" t="s">
        <v>1217</v>
      </c>
      <c r="D460" s="506">
        <v>0</v>
      </c>
      <c r="E460" s="506">
        <v>400</v>
      </c>
      <c r="F460" s="506">
        <v>400</v>
      </c>
      <c r="G460" s="507">
        <v>0</v>
      </c>
      <c r="H460" s="503"/>
      <c r="I460" s="503"/>
      <c r="J460" s="503"/>
      <c r="K460" s="503"/>
    </row>
    <row r="461" spans="1:11" ht="12">
      <c r="A461" s="504">
        <v>2140527023</v>
      </c>
      <c r="B461" s="539" t="s">
        <v>2588</v>
      </c>
      <c r="C461" s="505" t="s">
        <v>1217</v>
      </c>
      <c r="D461" s="506">
        <v>0</v>
      </c>
      <c r="E461" s="506">
        <v>470</v>
      </c>
      <c r="F461" s="506">
        <v>470</v>
      </c>
      <c r="G461" s="507">
        <v>0</v>
      </c>
      <c r="H461" s="503"/>
      <c r="I461" s="503"/>
      <c r="J461" s="503"/>
      <c r="K461" s="503"/>
    </row>
    <row r="462" spans="1:11" ht="12">
      <c r="A462" s="504">
        <v>2140527024</v>
      </c>
      <c r="B462" s="539" t="s">
        <v>2589</v>
      </c>
      <c r="C462" s="505" t="s">
        <v>1217</v>
      </c>
      <c r="D462" s="506">
        <v>0</v>
      </c>
      <c r="E462" s="506">
        <v>1500</v>
      </c>
      <c r="F462" s="506">
        <v>1488</v>
      </c>
      <c r="G462" s="507">
        <v>12</v>
      </c>
      <c r="H462" s="503"/>
      <c r="I462" s="503"/>
      <c r="J462" s="503"/>
      <c r="K462" s="503"/>
    </row>
    <row r="463" spans="1:11" ht="12">
      <c r="A463" s="504">
        <v>2140527025</v>
      </c>
      <c r="B463" s="539" t="s">
        <v>2590</v>
      </c>
      <c r="C463" s="505" t="s">
        <v>1217</v>
      </c>
      <c r="D463" s="506">
        <v>0</v>
      </c>
      <c r="E463" s="506">
        <v>1033</v>
      </c>
      <c r="F463" s="506">
        <v>991</v>
      </c>
      <c r="G463" s="507">
        <v>42</v>
      </c>
      <c r="H463" s="503"/>
      <c r="I463" s="503"/>
      <c r="J463" s="503"/>
      <c r="K463" s="503"/>
    </row>
    <row r="464" spans="1:11" ht="12">
      <c r="A464" s="504">
        <v>2140527026</v>
      </c>
      <c r="B464" s="539" t="s">
        <v>2591</v>
      </c>
      <c r="C464" s="505" t="s">
        <v>1217</v>
      </c>
      <c r="D464" s="506">
        <v>0</v>
      </c>
      <c r="E464" s="506">
        <v>360</v>
      </c>
      <c r="F464" s="506">
        <v>360</v>
      </c>
      <c r="G464" s="507">
        <v>0</v>
      </c>
      <c r="H464" s="503"/>
      <c r="I464" s="503"/>
      <c r="J464" s="503"/>
      <c r="K464" s="503"/>
    </row>
    <row r="465" spans="1:11" ht="12">
      <c r="A465" s="504">
        <v>2140527027</v>
      </c>
      <c r="B465" s="539" t="s">
        <v>2592</v>
      </c>
      <c r="C465" s="505" t="s">
        <v>1217</v>
      </c>
      <c r="D465" s="506">
        <v>0</v>
      </c>
      <c r="E465" s="506">
        <v>126</v>
      </c>
      <c r="F465" s="506">
        <v>124</v>
      </c>
      <c r="G465" s="507">
        <v>2</v>
      </c>
      <c r="H465" s="503"/>
      <c r="I465" s="503"/>
      <c r="J465" s="503"/>
      <c r="K465" s="503"/>
    </row>
    <row r="466" spans="1:11" ht="12">
      <c r="A466" s="504">
        <v>2140527028</v>
      </c>
      <c r="B466" s="539" t="s">
        <v>2593</v>
      </c>
      <c r="C466" s="505" t="s">
        <v>1217</v>
      </c>
      <c r="D466" s="506">
        <v>0</v>
      </c>
      <c r="E466" s="506">
        <v>600</v>
      </c>
      <c r="F466" s="506">
        <v>529</v>
      </c>
      <c r="G466" s="507">
        <v>71</v>
      </c>
      <c r="H466" s="503"/>
      <c r="I466" s="503"/>
      <c r="J466" s="503"/>
      <c r="K466" s="503"/>
    </row>
    <row r="467" spans="1:11" ht="12">
      <c r="A467" s="504">
        <v>2140527029</v>
      </c>
      <c r="B467" s="539" t="s">
        <v>2594</v>
      </c>
      <c r="C467" s="505" t="s">
        <v>1217</v>
      </c>
      <c r="D467" s="506">
        <v>0</v>
      </c>
      <c r="E467" s="506">
        <v>300</v>
      </c>
      <c r="F467" s="506">
        <v>300</v>
      </c>
      <c r="G467" s="507">
        <v>0</v>
      </c>
      <c r="H467" s="503"/>
      <c r="I467" s="503"/>
      <c r="J467" s="503"/>
      <c r="K467" s="503"/>
    </row>
    <row r="468" spans="1:11" ht="12">
      <c r="A468" s="504">
        <v>2140527030</v>
      </c>
      <c r="B468" s="539" t="s">
        <v>2205</v>
      </c>
      <c r="C468" s="505" t="s">
        <v>1217</v>
      </c>
      <c r="D468" s="506">
        <v>0</v>
      </c>
      <c r="E468" s="506">
        <v>240</v>
      </c>
      <c r="F468" s="506">
        <v>225</v>
      </c>
      <c r="G468" s="507">
        <v>15</v>
      </c>
      <c r="H468" s="503"/>
      <c r="I468" s="503"/>
      <c r="J468" s="503"/>
      <c r="K468" s="503"/>
    </row>
    <row r="469" spans="1:11" ht="12">
      <c r="A469" s="504">
        <v>2140527031</v>
      </c>
      <c r="B469" s="539" t="s">
        <v>2595</v>
      </c>
      <c r="C469" s="505" t="s">
        <v>1217</v>
      </c>
      <c r="D469" s="506">
        <v>0</v>
      </c>
      <c r="E469" s="506">
        <v>660</v>
      </c>
      <c r="F469" s="506">
        <v>588</v>
      </c>
      <c r="G469" s="507">
        <v>72</v>
      </c>
      <c r="H469" s="503"/>
      <c r="I469" s="503"/>
      <c r="J469" s="503"/>
      <c r="K469" s="503"/>
    </row>
    <row r="470" spans="1:11" ht="12">
      <c r="A470" s="504">
        <v>2140527032</v>
      </c>
      <c r="B470" s="539" t="s">
        <v>2596</v>
      </c>
      <c r="C470" s="505" t="s">
        <v>1217</v>
      </c>
      <c r="D470" s="506">
        <v>0</v>
      </c>
      <c r="E470" s="506">
        <v>350</v>
      </c>
      <c r="F470" s="506">
        <v>350</v>
      </c>
      <c r="G470" s="507">
        <v>0</v>
      </c>
      <c r="H470" s="503"/>
      <c r="I470" s="503"/>
      <c r="J470" s="503"/>
      <c r="K470" s="503"/>
    </row>
    <row r="471" spans="1:11" ht="12">
      <c r="A471" s="504">
        <v>2140527033</v>
      </c>
      <c r="B471" s="539" t="s">
        <v>2597</v>
      </c>
      <c r="C471" s="505" t="s">
        <v>1217</v>
      </c>
      <c r="D471" s="506">
        <v>0</v>
      </c>
      <c r="E471" s="506">
        <v>800</v>
      </c>
      <c r="F471" s="506">
        <v>800</v>
      </c>
      <c r="G471" s="507">
        <v>0</v>
      </c>
      <c r="H471" s="503"/>
      <c r="I471" s="503"/>
      <c r="J471" s="503"/>
      <c r="K471" s="503"/>
    </row>
    <row r="472" spans="1:11" ht="12">
      <c r="A472" s="504">
        <v>2140527034</v>
      </c>
      <c r="B472" s="539" t="s">
        <v>2598</v>
      </c>
      <c r="C472" s="505" t="s">
        <v>1217</v>
      </c>
      <c r="D472" s="506">
        <v>0</v>
      </c>
      <c r="E472" s="506">
        <v>373</v>
      </c>
      <c r="F472" s="506">
        <v>373</v>
      </c>
      <c r="G472" s="507">
        <v>0</v>
      </c>
      <c r="H472" s="503"/>
      <c r="I472" s="503"/>
      <c r="J472" s="503"/>
      <c r="K472" s="503"/>
    </row>
    <row r="473" spans="1:11" ht="12">
      <c r="A473" s="504">
        <v>2140527035</v>
      </c>
      <c r="B473" s="539" t="s">
        <v>2599</v>
      </c>
      <c r="C473" s="505" t="s">
        <v>1217</v>
      </c>
      <c r="D473" s="506">
        <v>0</v>
      </c>
      <c r="E473" s="506">
        <v>770</v>
      </c>
      <c r="F473" s="506">
        <v>770</v>
      </c>
      <c r="G473" s="507">
        <v>0</v>
      </c>
      <c r="H473" s="503"/>
      <c r="I473" s="503"/>
      <c r="J473" s="503"/>
      <c r="K473" s="503"/>
    </row>
    <row r="474" spans="1:11" ht="12">
      <c r="A474" s="504">
        <v>2140527036</v>
      </c>
      <c r="B474" s="539" t="s">
        <v>2600</v>
      </c>
      <c r="C474" s="505" t="s">
        <v>1217</v>
      </c>
      <c r="D474" s="506">
        <v>0</v>
      </c>
      <c r="E474" s="506">
        <v>295</v>
      </c>
      <c r="F474" s="506">
        <v>285</v>
      </c>
      <c r="G474" s="507">
        <v>10</v>
      </c>
      <c r="H474" s="503"/>
      <c r="I474" s="503"/>
      <c r="J474" s="503"/>
      <c r="K474" s="503"/>
    </row>
    <row r="475" spans="1:11" ht="12">
      <c r="A475" s="504">
        <v>2140527037</v>
      </c>
      <c r="B475" s="539" t="s">
        <v>2601</v>
      </c>
      <c r="C475" s="505" t="s">
        <v>1217</v>
      </c>
      <c r="D475" s="506">
        <v>0</v>
      </c>
      <c r="E475" s="506">
        <v>293</v>
      </c>
      <c r="F475" s="506">
        <v>275</v>
      </c>
      <c r="G475" s="507">
        <v>18</v>
      </c>
      <c r="H475" s="503"/>
      <c r="I475" s="503"/>
      <c r="J475" s="503"/>
      <c r="K475" s="503"/>
    </row>
    <row r="476" spans="1:11" ht="12">
      <c r="A476" s="504">
        <v>2140527038</v>
      </c>
      <c r="B476" s="539" t="s">
        <v>2602</v>
      </c>
      <c r="C476" s="505" t="s">
        <v>1217</v>
      </c>
      <c r="D476" s="506">
        <v>0</v>
      </c>
      <c r="E476" s="506">
        <v>819</v>
      </c>
      <c r="F476" s="506">
        <v>819</v>
      </c>
      <c r="G476" s="507">
        <v>0</v>
      </c>
      <c r="H476" s="503"/>
      <c r="I476" s="503"/>
      <c r="J476" s="503"/>
      <c r="K476" s="503"/>
    </row>
    <row r="477" spans="1:11" ht="12">
      <c r="A477" s="504">
        <v>2140527039</v>
      </c>
      <c r="B477" s="539" t="s">
        <v>2603</v>
      </c>
      <c r="C477" s="505" t="s">
        <v>1217</v>
      </c>
      <c r="D477" s="506">
        <v>0</v>
      </c>
      <c r="E477" s="506">
        <v>600</v>
      </c>
      <c r="F477" s="506">
        <v>592</v>
      </c>
      <c r="G477" s="507">
        <v>8</v>
      </c>
      <c r="H477" s="503"/>
      <c r="I477" s="503"/>
      <c r="J477" s="503"/>
      <c r="K477" s="503"/>
    </row>
    <row r="478" spans="1:11" ht="12">
      <c r="A478" s="504">
        <v>2140527040</v>
      </c>
      <c r="B478" s="539" t="s">
        <v>2604</v>
      </c>
      <c r="C478" s="505" t="s">
        <v>1217</v>
      </c>
      <c r="D478" s="506">
        <v>0</v>
      </c>
      <c r="E478" s="506">
        <v>486</v>
      </c>
      <c r="F478" s="506">
        <v>454</v>
      </c>
      <c r="G478" s="507">
        <v>32</v>
      </c>
      <c r="H478" s="503"/>
      <c r="I478" s="503"/>
      <c r="J478" s="503"/>
      <c r="K478" s="503"/>
    </row>
    <row r="479" spans="1:11" ht="12">
      <c r="A479" s="504">
        <v>2140527041</v>
      </c>
      <c r="B479" s="539" t="s">
        <v>2605</v>
      </c>
      <c r="C479" s="505" t="s">
        <v>1217</v>
      </c>
      <c r="D479" s="506">
        <v>0</v>
      </c>
      <c r="E479" s="506">
        <v>700</v>
      </c>
      <c r="F479" s="506">
        <v>698</v>
      </c>
      <c r="G479" s="507">
        <v>2</v>
      </c>
      <c r="H479" s="503"/>
      <c r="I479" s="503"/>
      <c r="J479" s="503"/>
      <c r="K479" s="503"/>
    </row>
    <row r="480" spans="1:11" ht="12">
      <c r="A480" s="504">
        <v>2140527042</v>
      </c>
      <c r="B480" s="539" t="s">
        <v>2606</v>
      </c>
      <c r="C480" s="505" t="s">
        <v>1217</v>
      </c>
      <c r="D480" s="506">
        <v>0</v>
      </c>
      <c r="E480" s="506">
        <v>720</v>
      </c>
      <c r="F480" s="506">
        <v>702</v>
      </c>
      <c r="G480" s="507">
        <v>18</v>
      </c>
      <c r="H480" s="503"/>
      <c r="I480" s="503"/>
      <c r="J480" s="503"/>
      <c r="K480" s="503"/>
    </row>
    <row r="481" spans="1:11" ht="12">
      <c r="A481" s="504">
        <v>2140527043</v>
      </c>
      <c r="B481" s="539" t="s">
        <v>2607</v>
      </c>
      <c r="C481" s="505" t="s">
        <v>1217</v>
      </c>
      <c r="D481" s="506">
        <v>0</v>
      </c>
      <c r="E481" s="506">
        <v>200</v>
      </c>
      <c r="F481" s="506">
        <v>126</v>
      </c>
      <c r="G481" s="507">
        <v>74</v>
      </c>
      <c r="H481" s="503"/>
      <c r="I481" s="503"/>
      <c r="J481" s="503"/>
      <c r="K481" s="503"/>
    </row>
    <row r="482" spans="1:11" ht="12">
      <c r="A482" s="504">
        <v>2140527044</v>
      </c>
      <c r="B482" s="539" t="s">
        <v>2608</v>
      </c>
      <c r="C482" s="505" t="s">
        <v>1217</v>
      </c>
      <c r="D482" s="506">
        <v>0</v>
      </c>
      <c r="E482" s="506">
        <v>600</v>
      </c>
      <c r="F482" s="506">
        <v>600</v>
      </c>
      <c r="G482" s="507">
        <v>0</v>
      </c>
      <c r="H482" s="503"/>
      <c r="I482" s="503"/>
      <c r="J482" s="503"/>
      <c r="K482" s="503"/>
    </row>
    <row r="483" spans="1:11" ht="12">
      <c r="A483" s="504">
        <v>2140527045</v>
      </c>
      <c r="B483" s="539" t="s">
        <v>2609</v>
      </c>
      <c r="C483" s="505" t="s">
        <v>1217</v>
      </c>
      <c r="D483" s="506">
        <v>0</v>
      </c>
      <c r="E483" s="506">
        <v>272</v>
      </c>
      <c r="F483" s="506">
        <v>272</v>
      </c>
      <c r="G483" s="507">
        <v>0</v>
      </c>
      <c r="H483" s="503"/>
      <c r="I483" s="503"/>
      <c r="J483" s="503"/>
      <c r="K483" s="503"/>
    </row>
    <row r="484" spans="1:11" ht="12">
      <c r="A484" s="504">
        <v>2140527046</v>
      </c>
      <c r="B484" s="539" t="s">
        <v>2610</v>
      </c>
      <c r="C484" s="505" t="s">
        <v>1217</v>
      </c>
      <c r="D484" s="506">
        <v>0</v>
      </c>
      <c r="E484" s="506">
        <v>579</v>
      </c>
      <c r="F484" s="506">
        <v>579</v>
      </c>
      <c r="G484" s="507">
        <v>0</v>
      </c>
      <c r="H484" s="503"/>
      <c r="I484" s="503"/>
      <c r="J484" s="503"/>
      <c r="K484" s="503"/>
    </row>
    <row r="485" spans="1:11" ht="12">
      <c r="A485" s="504">
        <v>2140527047</v>
      </c>
      <c r="B485" s="539" t="s">
        <v>2611</v>
      </c>
      <c r="C485" s="505" t="s">
        <v>1217</v>
      </c>
      <c r="D485" s="506">
        <v>0</v>
      </c>
      <c r="E485" s="506">
        <v>950</v>
      </c>
      <c r="F485" s="506">
        <v>950</v>
      </c>
      <c r="G485" s="507">
        <v>0</v>
      </c>
      <c r="H485" s="503"/>
      <c r="I485" s="503"/>
      <c r="J485" s="503"/>
      <c r="K485" s="503"/>
    </row>
    <row r="486" spans="1:11" ht="12">
      <c r="A486" s="504">
        <v>2140527048</v>
      </c>
      <c r="B486" s="539" t="s">
        <v>2612</v>
      </c>
      <c r="C486" s="505" t="s">
        <v>1217</v>
      </c>
      <c r="D486" s="506">
        <v>0</v>
      </c>
      <c r="E486" s="506">
        <v>491</v>
      </c>
      <c r="F486" s="506">
        <v>267</v>
      </c>
      <c r="G486" s="507">
        <v>224</v>
      </c>
      <c r="H486" s="503"/>
      <c r="I486" s="503"/>
      <c r="J486" s="503"/>
      <c r="K486" s="503"/>
    </row>
    <row r="487" spans="1:11" ht="12">
      <c r="A487" s="504">
        <v>2140527049</v>
      </c>
      <c r="B487" s="539" t="s">
        <v>2603</v>
      </c>
      <c r="C487" s="505" t="s">
        <v>1217</v>
      </c>
      <c r="D487" s="506">
        <v>0</v>
      </c>
      <c r="E487" s="506">
        <v>578</v>
      </c>
      <c r="F487" s="506">
        <v>578</v>
      </c>
      <c r="G487" s="507">
        <v>0</v>
      </c>
      <c r="H487" s="503"/>
      <c r="I487" s="503"/>
      <c r="J487" s="503"/>
      <c r="K487" s="503"/>
    </row>
    <row r="488" spans="1:11" ht="12">
      <c r="A488" s="504">
        <v>2140527050</v>
      </c>
      <c r="B488" s="539" t="s">
        <v>2613</v>
      </c>
      <c r="C488" s="505" t="s">
        <v>1217</v>
      </c>
      <c r="D488" s="506">
        <v>0</v>
      </c>
      <c r="E488" s="506">
        <v>630</v>
      </c>
      <c r="F488" s="506">
        <v>630</v>
      </c>
      <c r="G488" s="507">
        <v>0</v>
      </c>
      <c r="H488" s="503"/>
      <c r="I488" s="503"/>
      <c r="J488" s="503"/>
      <c r="K488" s="503"/>
    </row>
    <row r="489" spans="1:11" ht="12">
      <c r="A489" s="504">
        <v>2140527051</v>
      </c>
      <c r="B489" s="539" t="s">
        <v>2614</v>
      </c>
      <c r="C489" s="505" t="s">
        <v>1217</v>
      </c>
      <c r="D489" s="506">
        <v>0</v>
      </c>
      <c r="E489" s="506">
        <v>468</v>
      </c>
      <c r="F489" s="506">
        <v>0</v>
      </c>
      <c r="G489" s="507">
        <v>468</v>
      </c>
      <c r="H489" s="503"/>
      <c r="I489" s="503"/>
      <c r="J489" s="503"/>
      <c r="K489" s="503"/>
    </row>
    <row r="490" spans="1:11" ht="12">
      <c r="A490" s="504">
        <v>2140527052</v>
      </c>
      <c r="B490" s="539" t="s">
        <v>2615</v>
      </c>
      <c r="C490" s="505" t="s">
        <v>1217</v>
      </c>
      <c r="D490" s="506">
        <v>0</v>
      </c>
      <c r="E490" s="506">
        <v>300</v>
      </c>
      <c r="F490" s="506">
        <v>300</v>
      </c>
      <c r="G490" s="507">
        <v>0</v>
      </c>
      <c r="H490" s="503"/>
      <c r="I490" s="503"/>
      <c r="J490" s="503"/>
      <c r="K490" s="503"/>
    </row>
    <row r="491" spans="1:11" ht="12">
      <c r="A491" s="504">
        <v>2140527053</v>
      </c>
      <c r="B491" s="539" t="s">
        <v>2616</v>
      </c>
      <c r="C491" s="505" t="s">
        <v>1217</v>
      </c>
      <c r="D491" s="506">
        <v>0</v>
      </c>
      <c r="E491" s="506">
        <v>700</v>
      </c>
      <c r="F491" s="506">
        <v>679</v>
      </c>
      <c r="G491" s="507">
        <v>21</v>
      </c>
      <c r="H491" s="503"/>
      <c r="I491" s="503"/>
      <c r="J491" s="503"/>
      <c r="K491" s="503"/>
    </row>
    <row r="492" spans="1:11" ht="12">
      <c r="A492" s="504">
        <v>2140527054</v>
      </c>
      <c r="B492" s="539" t="s">
        <v>2617</v>
      </c>
      <c r="C492" s="505" t="s">
        <v>1217</v>
      </c>
      <c r="D492" s="506">
        <v>0</v>
      </c>
      <c r="E492" s="506">
        <v>200</v>
      </c>
      <c r="F492" s="506">
        <v>197</v>
      </c>
      <c r="G492" s="507">
        <v>3</v>
      </c>
      <c r="H492" s="503"/>
      <c r="I492" s="503"/>
      <c r="J492" s="503"/>
      <c r="K492" s="503"/>
    </row>
    <row r="493" spans="1:11" ht="12">
      <c r="A493" s="504">
        <v>2140527055</v>
      </c>
      <c r="B493" s="539" t="s">
        <v>2618</v>
      </c>
      <c r="C493" s="505" t="s">
        <v>1217</v>
      </c>
      <c r="D493" s="506">
        <v>0</v>
      </c>
      <c r="E493" s="506">
        <v>50</v>
      </c>
      <c r="F493" s="506">
        <v>39</v>
      </c>
      <c r="G493" s="507">
        <v>11</v>
      </c>
      <c r="H493" s="503"/>
      <c r="I493" s="503"/>
      <c r="J493" s="503"/>
      <c r="K493" s="503"/>
    </row>
    <row r="494" spans="1:11" ht="12">
      <c r="A494" s="504">
        <v>2140527056</v>
      </c>
      <c r="B494" s="539" t="s">
        <v>2619</v>
      </c>
      <c r="C494" s="505" t="s">
        <v>1217</v>
      </c>
      <c r="D494" s="506">
        <v>0</v>
      </c>
      <c r="E494" s="506">
        <v>600</v>
      </c>
      <c r="F494" s="506">
        <v>595</v>
      </c>
      <c r="G494" s="507">
        <v>5</v>
      </c>
      <c r="H494" s="503"/>
      <c r="I494" s="503"/>
      <c r="J494" s="503"/>
      <c r="K494" s="503"/>
    </row>
    <row r="495" spans="1:11" ht="12">
      <c r="A495" s="504">
        <v>2140527057</v>
      </c>
      <c r="B495" s="539" t="s">
        <v>2620</v>
      </c>
      <c r="C495" s="505" t="s">
        <v>1217</v>
      </c>
      <c r="D495" s="506">
        <v>0</v>
      </c>
      <c r="E495" s="506">
        <v>800</v>
      </c>
      <c r="F495" s="506">
        <v>800</v>
      </c>
      <c r="G495" s="507">
        <v>0</v>
      </c>
      <c r="H495" s="503"/>
      <c r="I495" s="503"/>
      <c r="J495" s="503"/>
      <c r="K495" s="503"/>
    </row>
    <row r="496" spans="1:11" ht="12">
      <c r="A496" s="504">
        <v>2140527058</v>
      </c>
      <c r="B496" s="539" t="s">
        <v>2621</v>
      </c>
      <c r="C496" s="505" t="s">
        <v>1217</v>
      </c>
      <c r="D496" s="506">
        <v>0</v>
      </c>
      <c r="E496" s="506">
        <v>345</v>
      </c>
      <c r="F496" s="506">
        <v>342</v>
      </c>
      <c r="G496" s="507">
        <v>3</v>
      </c>
      <c r="H496" s="503"/>
      <c r="I496" s="503"/>
      <c r="J496" s="503"/>
      <c r="K496" s="503"/>
    </row>
    <row r="497" spans="1:11" ht="12">
      <c r="A497" s="504">
        <v>2140527059</v>
      </c>
      <c r="B497" s="539" t="s">
        <v>569</v>
      </c>
      <c r="C497" s="505" t="s">
        <v>1217</v>
      </c>
      <c r="D497" s="506">
        <v>0</v>
      </c>
      <c r="E497" s="506">
        <v>94</v>
      </c>
      <c r="F497" s="506">
        <v>84</v>
      </c>
      <c r="G497" s="507">
        <v>10</v>
      </c>
      <c r="H497" s="503"/>
      <c r="I497" s="503"/>
      <c r="J497" s="503"/>
      <c r="K497" s="503"/>
    </row>
    <row r="498" spans="1:11" ht="12">
      <c r="A498" s="504">
        <v>2140527060</v>
      </c>
      <c r="B498" s="539" t="s">
        <v>570</v>
      </c>
      <c r="C498" s="505" t="s">
        <v>1217</v>
      </c>
      <c r="D498" s="506">
        <v>0</v>
      </c>
      <c r="E498" s="506">
        <v>500</v>
      </c>
      <c r="F498" s="506">
        <v>500</v>
      </c>
      <c r="G498" s="507">
        <v>0</v>
      </c>
      <c r="H498" s="503"/>
      <c r="I498" s="503"/>
      <c r="J498" s="503"/>
      <c r="K498" s="503"/>
    </row>
    <row r="499" spans="1:11" ht="12">
      <c r="A499" s="504">
        <v>2140527061</v>
      </c>
      <c r="B499" s="539" t="s">
        <v>571</v>
      </c>
      <c r="C499" s="505" t="s">
        <v>1217</v>
      </c>
      <c r="D499" s="506">
        <v>0</v>
      </c>
      <c r="E499" s="506">
        <v>450</v>
      </c>
      <c r="F499" s="506">
        <v>449</v>
      </c>
      <c r="G499" s="507">
        <v>1</v>
      </c>
      <c r="H499" s="503"/>
      <c r="I499" s="503"/>
      <c r="J499" s="503"/>
      <c r="K499" s="503"/>
    </row>
    <row r="500" spans="1:11" ht="12">
      <c r="A500" s="504">
        <v>2140527062</v>
      </c>
      <c r="B500" s="539" t="s">
        <v>572</v>
      </c>
      <c r="C500" s="505" t="s">
        <v>1217</v>
      </c>
      <c r="D500" s="506">
        <v>0</v>
      </c>
      <c r="E500" s="506">
        <v>1280</v>
      </c>
      <c r="F500" s="506">
        <v>1280</v>
      </c>
      <c r="G500" s="507">
        <v>0</v>
      </c>
      <c r="H500" s="503"/>
      <c r="I500" s="503"/>
      <c r="J500" s="503"/>
      <c r="K500" s="503"/>
    </row>
    <row r="501" spans="1:11" ht="12">
      <c r="A501" s="504">
        <v>2140527063</v>
      </c>
      <c r="B501" s="539" t="s">
        <v>573</v>
      </c>
      <c r="C501" s="505" t="s">
        <v>1217</v>
      </c>
      <c r="D501" s="506">
        <v>0</v>
      </c>
      <c r="E501" s="506">
        <v>700</v>
      </c>
      <c r="F501" s="506">
        <v>700</v>
      </c>
      <c r="G501" s="507">
        <v>0</v>
      </c>
      <c r="H501" s="503"/>
      <c r="I501" s="503"/>
      <c r="J501" s="503"/>
      <c r="K501" s="503"/>
    </row>
    <row r="502" spans="1:11" ht="12">
      <c r="A502" s="504">
        <v>2140527064</v>
      </c>
      <c r="B502" s="539" t="s">
        <v>574</v>
      </c>
      <c r="C502" s="505" t="s">
        <v>1217</v>
      </c>
      <c r="D502" s="506">
        <v>0</v>
      </c>
      <c r="E502" s="506">
        <v>333</v>
      </c>
      <c r="F502" s="506">
        <v>333</v>
      </c>
      <c r="G502" s="507">
        <v>0</v>
      </c>
      <c r="H502" s="503"/>
      <c r="I502" s="503"/>
      <c r="J502" s="503"/>
      <c r="K502" s="503"/>
    </row>
    <row r="503" spans="1:11" ht="12">
      <c r="A503" s="504">
        <v>2140527065</v>
      </c>
      <c r="B503" s="539" t="s">
        <v>575</v>
      </c>
      <c r="C503" s="505" t="s">
        <v>1217</v>
      </c>
      <c r="D503" s="506">
        <v>0</v>
      </c>
      <c r="E503" s="506">
        <v>350</v>
      </c>
      <c r="F503" s="506">
        <v>350</v>
      </c>
      <c r="G503" s="507">
        <v>0</v>
      </c>
      <c r="H503" s="503"/>
      <c r="I503" s="503"/>
      <c r="J503" s="503"/>
      <c r="K503" s="503"/>
    </row>
    <row r="504" spans="1:11" ht="12">
      <c r="A504" s="504">
        <v>2140527066</v>
      </c>
      <c r="B504" s="539" t="s">
        <v>576</v>
      </c>
      <c r="C504" s="505" t="s">
        <v>1217</v>
      </c>
      <c r="D504" s="506">
        <v>0</v>
      </c>
      <c r="E504" s="506">
        <v>450</v>
      </c>
      <c r="F504" s="506">
        <v>450</v>
      </c>
      <c r="G504" s="507">
        <v>0</v>
      </c>
      <c r="H504" s="503"/>
      <c r="I504" s="503"/>
      <c r="J504" s="503"/>
      <c r="K504" s="503"/>
    </row>
    <row r="505" spans="1:11" ht="12">
      <c r="A505" s="504">
        <v>2140527067</v>
      </c>
      <c r="B505" s="539" t="s">
        <v>577</v>
      </c>
      <c r="C505" s="505" t="s">
        <v>1217</v>
      </c>
      <c r="D505" s="506">
        <v>0</v>
      </c>
      <c r="E505" s="506">
        <v>700</v>
      </c>
      <c r="F505" s="506">
        <v>692</v>
      </c>
      <c r="G505" s="507">
        <v>8</v>
      </c>
      <c r="H505" s="503"/>
      <c r="I505" s="503"/>
      <c r="J505" s="503"/>
      <c r="K505" s="503"/>
    </row>
    <row r="506" spans="1:11" ht="12">
      <c r="A506" s="504">
        <v>2140527068</v>
      </c>
      <c r="B506" s="539" t="s">
        <v>578</v>
      </c>
      <c r="C506" s="505" t="s">
        <v>1217</v>
      </c>
      <c r="D506" s="506">
        <v>0</v>
      </c>
      <c r="E506" s="506">
        <v>600</v>
      </c>
      <c r="F506" s="506">
        <v>600</v>
      </c>
      <c r="G506" s="507">
        <v>0</v>
      </c>
      <c r="H506" s="503"/>
      <c r="I506" s="503"/>
      <c r="J506" s="503"/>
      <c r="K506" s="503"/>
    </row>
    <row r="507" spans="1:11" ht="12">
      <c r="A507" s="504">
        <v>2140527069</v>
      </c>
      <c r="B507" s="539" t="s">
        <v>579</v>
      </c>
      <c r="C507" s="505" t="s">
        <v>1217</v>
      </c>
      <c r="D507" s="506">
        <v>0</v>
      </c>
      <c r="E507" s="506">
        <v>515</v>
      </c>
      <c r="F507" s="506">
        <v>515</v>
      </c>
      <c r="G507" s="507">
        <v>0</v>
      </c>
      <c r="H507" s="503"/>
      <c r="I507" s="503"/>
      <c r="J507" s="503"/>
      <c r="K507" s="503"/>
    </row>
    <row r="508" spans="1:11" ht="12">
      <c r="A508" s="504">
        <v>2140527070</v>
      </c>
      <c r="B508" s="539" t="s">
        <v>580</v>
      </c>
      <c r="C508" s="505" t="s">
        <v>1217</v>
      </c>
      <c r="D508" s="506">
        <v>0</v>
      </c>
      <c r="E508" s="506">
        <v>450</v>
      </c>
      <c r="F508" s="506">
        <v>450</v>
      </c>
      <c r="G508" s="507">
        <v>0</v>
      </c>
      <c r="H508" s="503"/>
      <c r="I508" s="503"/>
      <c r="J508" s="503"/>
      <c r="K508" s="503"/>
    </row>
    <row r="509" spans="1:11" ht="12">
      <c r="A509" s="504">
        <v>2140527071</v>
      </c>
      <c r="B509" s="539" t="s">
        <v>581</v>
      </c>
      <c r="C509" s="505" t="s">
        <v>1217</v>
      </c>
      <c r="D509" s="506">
        <v>0</v>
      </c>
      <c r="E509" s="506">
        <v>135</v>
      </c>
      <c r="F509" s="506">
        <v>135</v>
      </c>
      <c r="G509" s="507">
        <v>0</v>
      </c>
      <c r="H509" s="503"/>
      <c r="I509" s="503"/>
      <c r="J509" s="503"/>
      <c r="K509" s="503"/>
    </row>
    <row r="510" spans="1:11" ht="12">
      <c r="A510" s="504">
        <v>2140527072</v>
      </c>
      <c r="B510" s="539" t="s">
        <v>582</v>
      </c>
      <c r="C510" s="505" t="s">
        <v>1217</v>
      </c>
      <c r="D510" s="506">
        <v>0</v>
      </c>
      <c r="E510" s="506">
        <v>106</v>
      </c>
      <c r="F510" s="506">
        <v>82</v>
      </c>
      <c r="G510" s="507">
        <v>24</v>
      </c>
      <c r="H510" s="503"/>
      <c r="I510" s="503"/>
      <c r="J510" s="503"/>
      <c r="K510" s="503"/>
    </row>
    <row r="511" spans="1:11" ht="12">
      <c r="A511" s="504">
        <v>2140527073</v>
      </c>
      <c r="B511" s="539" t="s">
        <v>583</v>
      </c>
      <c r="C511" s="505" t="s">
        <v>1217</v>
      </c>
      <c r="D511" s="506">
        <v>0</v>
      </c>
      <c r="E511" s="506">
        <v>225</v>
      </c>
      <c r="F511" s="506">
        <v>220</v>
      </c>
      <c r="G511" s="507">
        <v>5</v>
      </c>
      <c r="H511" s="503"/>
      <c r="I511" s="503"/>
      <c r="J511" s="503"/>
      <c r="K511" s="503"/>
    </row>
    <row r="512" spans="1:11" ht="12">
      <c r="A512" s="504">
        <v>2140527074</v>
      </c>
      <c r="B512" s="539" t="s">
        <v>584</v>
      </c>
      <c r="C512" s="505" t="s">
        <v>1217</v>
      </c>
      <c r="D512" s="506">
        <v>0</v>
      </c>
      <c r="E512" s="506">
        <v>117</v>
      </c>
      <c r="F512" s="506">
        <v>117</v>
      </c>
      <c r="G512" s="507">
        <v>0</v>
      </c>
      <c r="H512" s="503"/>
      <c r="I512" s="503"/>
      <c r="J512" s="503"/>
      <c r="K512" s="503"/>
    </row>
    <row r="513" spans="1:11" ht="12">
      <c r="A513" s="504">
        <v>2140527075</v>
      </c>
      <c r="B513" s="539" t="s">
        <v>2605</v>
      </c>
      <c r="C513" s="505" t="s">
        <v>1217</v>
      </c>
      <c r="D513" s="506">
        <v>0</v>
      </c>
      <c r="E513" s="506">
        <v>1000</v>
      </c>
      <c r="F513" s="506">
        <v>1000</v>
      </c>
      <c r="G513" s="507">
        <v>0</v>
      </c>
      <c r="H513" s="503"/>
      <c r="I513" s="503"/>
      <c r="J513" s="503"/>
      <c r="K513" s="503"/>
    </row>
    <row r="514" spans="1:11" ht="12">
      <c r="A514" s="504">
        <v>2140527076</v>
      </c>
      <c r="B514" s="539" t="s">
        <v>585</v>
      </c>
      <c r="C514" s="505" t="s">
        <v>1217</v>
      </c>
      <c r="D514" s="506">
        <v>0</v>
      </c>
      <c r="E514" s="506">
        <v>200</v>
      </c>
      <c r="F514" s="506">
        <v>200</v>
      </c>
      <c r="G514" s="507">
        <v>0</v>
      </c>
      <c r="H514" s="503"/>
      <c r="I514" s="503"/>
      <c r="J514" s="503"/>
      <c r="K514" s="503"/>
    </row>
    <row r="515" spans="1:11" ht="12">
      <c r="A515" s="504">
        <v>2140527077</v>
      </c>
      <c r="B515" s="539" t="s">
        <v>586</v>
      </c>
      <c r="C515" s="505" t="s">
        <v>1217</v>
      </c>
      <c r="D515" s="506">
        <v>0</v>
      </c>
      <c r="E515" s="506">
        <v>400</v>
      </c>
      <c r="F515" s="506">
        <v>400</v>
      </c>
      <c r="G515" s="507">
        <v>0</v>
      </c>
      <c r="H515" s="503"/>
      <c r="I515" s="503"/>
      <c r="J515" s="503"/>
      <c r="K515" s="503"/>
    </row>
    <row r="516" spans="1:11" ht="12">
      <c r="A516" s="504">
        <v>2140527078</v>
      </c>
      <c r="B516" s="539" t="s">
        <v>587</v>
      </c>
      <c r="C516" s="505" t="s">
        <v>1217</v>
      </c>
      <c r="D516" s="506">
        <v>0</v>
      </c>
      <c r="E516" s="506">
        <v>700</v>
      </c>
      <c r="F516" s="506">
        <v>699</v>
      </c>
      <c r="G516" s="507">
        <v>1</v>
      </c>
      <c r="H516" s="503"/>
      <c r="I516" s="503"/>
      <c r="J516" s="503"/>
      <c r="K516" s="503"/>
    </row>
    <row r="517" spans="1:11" ht="12">
      <c r="A517" s="504">
        <v>2140527079</v>
      </c>
      <c r="B517" s="539" t="s">
        <v>588</v>
      </c>
      <c r="C517" s="505" t="s">
        <v>1217</v>
      </c>
      <c r="D517" s="506">
        <v>0</v>
      </c>
      <c r="E517" s="506">
        <v>261</v>
      </c>
      <c r="F517" s="506">
        <v>261</v>
      </c>
      <c r="G517" s="507">
        <v>0</v>
      </c>
      <c r="H517" s="503"/>
      <c r="I517" s="503"/>
      <c r="J517" s="503"/>
      <c r="K517" s="503"/>
    </row>
    <row r="518" spans="1:11" ht="12">
      <c r="A518" s="504">
        <v>2140527080</v>
      </c>
      <c r="B518" s="539" t="s">
        <v>589</v>
      </c>
      <c r="C518" s="505" t="s">
        <v>1217</v>
      </c>
      <c r="D518" s="506">
        <v>0</v>
      </c>
      <c r="E518" s="506">
        <v>1496</v>
      </c>
      <c r="F518" s="506">
        <v>1496</v>
      </c>
      <c r="G518" s="507">
        <v>0</v>
      </c>
      <c r="H518" s="503"/>
      <c r="I518" s="503"/>
      <c r="J518" s="503"/>
      <c r="K518" s="503"/>
    </row>
    <row r="519" spans="1:11" ht="12">
      <c r="A519" s="504">
        <v>2140527081</v>
      </c>
      <c r="B519" s="539" t="s">
        <v>590</v>
      </c>
      <c r="C519" s="505" t="s">
        <v>1217</v>
      </c>
      <c r="D519" s="506">
        <v>0</v>
      </c>
      <c r="E519" s="506">
        <v>190</v>
      </c>
      <c r="F519" s="506">
        <v>181</v>
      </c>
      <c r="G519" s="507">
        <v>9</v>
      </c>
      <c r="H519" s="503"/>
      <c r="I519" s="503"/>
      <c r="J519" s="503"/>
      <c r="K519" s="503"/>
    </row>
    <row r="520" spans="1:11" ht="12">
      <c r="A520" s="504">
        <v>2140527082</v>
      </c>
      <c r="B520" s="539" t="s">
        <v>591</v>
      </c>
      <c r="C520" s="505" t="s">
        <v>1217</v>
      </c>
      <c r="D520" s="506">
        <v>0</v>
      </c>
      <c r="E520" s="506">
        <v>668</v>
      </c>
      <c r="F520" s="506">
        <v>668</v>
      </c>
      <c r="G520" s="507">
        <v>0</v>
      </c>
      <c r="H520" s="503"/>
      <c r="I520" s="503"/>
      <c r="J520" s="503"/>
      <c r="K520" s="503"/>
    </row>
    <row r="521" spans="1:11" ht="12">
      <c r="A521" s="504">
        <v>2140527083</v>
      </c>
      <c r="B521" s="539" t="s">
        <v>592</v>
      </c>
      <c r="C521" s="505" t="s">
        <v>1217</v>
      </c>
      <c r="D521" s="506">
        <v>0</v>
      </c>
      <c r="E521" s="506">
        <v>500</v>
      </c>
      <c r="F521" s="506">
        <v>500</v>
      </c>
      <c r="G521" s="507">
        <v>0</v>
      </c>
      <c r="H521" s="503"/>
      <c r="I521" s="503"/>
      <c r="J521" s="503"/>
      <c r="K521" s="503"/>
    </row>
    <row r="522" spans="1:11" ht="12">
      <c r="A522" s="504">
        <v>2140527084</v>
      </c>
      <c r="B522" s="539" t="s">
        <v>593</v>
      </c>
      <c r="C522" s="505" t="s">
        <v>1217</v>
      </c>
      <c r="D522" s="506">
        <v>0</v>
      </c>
      <c r="E522" s="506">
        <v>680</v>
      </c>
      <c r="F522" s="506">
        <v>680</v>
      </c>
      <c r="G522" s="507">
        <v>0</v>
      </c>
      <c r="H522" s="503"/>
      <c r="I522" s="503"/>
      <c r="J522" s="503"/>
      <c r="K522" s="503"/>
    </row>
    <row r="523" spans="1:11" ht="12">
      <c r="A523" s="504">
        <v>2140527085</v>
      </c>
      <c r="B523" s="539" t="s">
        <v>594</v>
      </c>
      <c r="C523" s="505" t="s">
        <v>1217</v>
      </c>
      <c r="D523" s="506">
        <v>0</v>
      </c>
      <c r="E523" s="506">
        <v>700</v>
      </c>
      <c r="F523" s="506">
        <v>700</v>
      </c>
      <c r="G523" s="507">
        <v>0</v>
      </c>
      <c r="H523" s="503"/>
      <c r="I523" s="503"/>
      <c r="J523" s="503"/>
      <c r="K523" s="503"/>
    </row>
    <row r="524" spans="1:11" ht="12">
      <c r="A524" s="504">
        <v>2140527086</v>
      </c>
      <c r="B524" s="539" t="s">
        <v>1122</v>
      </c>
      <c r="C524" s="505" t="s">
        <v>1217</v>
      </c>
      <c r="D524" s="506">
        <v>0</v>
      </c>
      <c r="E524" s="506">
        <v>315</v>
      </c>
      <c r="F524" s="506">
        <v>315</v>
      </c>
      <c r="G524" s="507">
        <v>0</v>
      </c>
      <c r="H524" s="503"/>
      <c r="I524" s="503"/>
      <c r="J524" s="503"/>
      <c r="K524" s="503"/>
    </row>
    <row r="525" spans="1:11" ht="12">
      <c r="A525" s="504">
        <v>2140527087</v>
      </c>
      <c r="B525" s="539" t="s">
        <v>1123</v>
      </c>
      <c r="C525" s="505" t="s">
        <v>1217</v>
      </c>
      <c r="D525" s="506">
        <v>0</v>
      </c>
      <c r="E525" s="506">
        <v>1000</v>
      </c>
      <c r="F525" s="506">
        <v>1000</v>
      </c>
      <c r="G525" s="507">
        <v>0</v>
      </c>
      <c r="H525" s="503"/>
      <c r="I525" s="503"/>
      <c r="J525" s="503"/>
      <c r="K525" s="503"/>
    </row>
    <row r="526" spans="1:11" ht="12">
      <c r="A526" s="504">
        <v>2140527088</v>
      </c>
      <c r="B526" s="539" t="s">
        <v>1124</v>
      </c>
      <c r="C526" s="505" t="s">
        <v>1217</v>
      </c>
      <c r="D526" s="506">
        <v>0</v>
      </c>
      <c r="E526" s="506">
        <v>320</v>
      </c>
      <c r="F526" s="506">
        <v>320</v>
      </c>
      <c r="G526" s="507">
        <v>0</v>
      </c>
      <c r="H526" s="503"/>
      <c r="I526" s="503"/>
      <c r="J526" s="503"/>
      <c r="K526" s="503"/>
    </row>
    <row r="527" spans="1:11" ht="12">
      <c r="A527" s="504">
        <v>2140527089</v>
      </c>
      <c r="B527" s="539" t="s">
        <v>2603</v>
      </c>
      <c r="C527" s="505" t="s">
        <v>1217</v>
      </c>
      <c r="D527" s="506">
        <v>0</v>
      </c>
      <c r="E527" s="506">
        <v>700</v>
      </c>
      <c r="F527" s="506">
        <v>700</v>
      </c>
      <c r="G527" s="507">
        <v>0</v>
      </c>
      <c r="H527" s="503"/>
      <c r="I527" s="503"/>
      <c r="J527" s="503"/>
      <c r="K527" s="503"/>
    </row>
    <row r="528" spans="1:11" ht="12">
      <c r="A528" s="504">
        <v>2140527090</v>
      </c>
      <c r="B528" s="539" t="s">
        <v>1125</v>
      </c>
      <c r="C528" s="505" t="s">
        <v>1217</v>
      </c>
      <c r="D528" s="506">
        <v>0</v>
      </c>
      <c r="E528" s="506">
        <v>90</v>
      </c>
      <c r="F528" s="506">
        <v>90</v>
      </c>
      <c r="G528" s="507">
        <v>0</v>
      </c>
      <c r="H528" s="503"/>
      <c r="I528" s="503"/>
      <c r="J528" s="503"/>
      <c r="K528" s="503"/>
    </row>
    <row r="529" spans="1:11" ht="12">
      <c r="A529" s="504">
        <v>2140527091</v>
      </c>
      <c r="B529" s="539" t="s">
        <v>1126</v>
      </c>
      <c r="C529" s="505" t="s">
        <v>1217</v>
      </c>
      <c r="D529" s="506">
        <v>0</v>
      </c>
      <c r="E529" s="506">
        <v>500</v>
      </c>
      <c r="F529" s="506">
        <v>500</v>
      </c>
      <c r="G529" s="507">
        <v>0</v>
      </c>
      <c r="H529" s="503"/>
      <c r="I529" s="503"/>
      <c r="J529" s="503"/>
      <c r="K529" s="503"/>
    </row>
    <row r="530" spans="1:11" ht="12">
      <c r="A530" s="504">
        <v>2140527092</v>
      </c>
      <c r="B530" s="539" t="s">
        <v>1127</v>
      </c>
      <c r="C530" s="505" t="s">
        <v>1217</v>
      </c>
      <c r="D530" s="506">
        <v>0</v>
      </c>
      <c r="E530" s="506">
        <v>1500</v>
      </c>
      <c r="F530" s="506">
        <v>1331</v>
      </c>
      <c r="G530" s="507">
        <v>169</v>
      </c>
      <c r="H530" s="503"/>
      <c r="I530" s="503"/>
      <c r="J530" s="503"/>
      <c r="K530" s="503"/>
    </row>
    <row r="531" spans="1:11" ht="12">
      <c r="A531" s="504">
        <v>2140527093</v>
      </c>
      <c r="B531" s="539" t="s">
        <v>1128</v>
      </c>
      <c r="C531" s="505" t="s">
        <v>1217</v>
      </c>
      <c r="D531" s="506">
        <v>0</v>
      </c>
      <c r="E531" s="506">
        <v>200</v>
      </c>
      <c r="F531" s="506">
        <v>200</v>
      </c>
      <c r="G531" s="507">
        <v>0</v>
      </c>
      <c r="H531" s="503"/>
      <c r="I531" s="503"/>
      <c r="J531" s="503"/>
      <c r="K531" s="503"/>
    </row>
    <row r="532" spans="1:11" ht="12.75" thickBot="1">
      <c r="A532" s="508">
        <v>2140527094</v>
      </c>
      <c r="B532" s="539" t="s">
        <v>1129</v>
      </c>
      <c r="C532" s="509" t="s">
        <v>1217</v>
      </c>
      <c r="D532" s="510">
        <v>0</v>
      </c>
      <c r="E532" s="510">
        <v>500</v>
      </c>
      <c r="F532" s="510">
        <v>500</v>
      </c>
      <c r="G532" s="511">
        <v>0</v>
      </c>
      <c r="H532" s="503"/>
      <c r="I532" s="503"/>
      <c r="J532" s="503"/>
      <c r="K532" s="503"/>
    </row>
    <row r="533" spans="1:11" ht="12.75" thickBot="1">
      <c r="A533" s="1489" t="s">
        <v>1130</v>
      </c>
      <c r="B533" s="1490"/>
      <c r="C533" s="1490"/>
      <c r="D533" s="513">
        <f>SUM(D428:D532)</f>
        <v>0</v>
      </c>
      <c r="E533" s="513">
        <f>SUM(E428:E532)</f>
        <v>53086</v>
      </c>
      <c r="F533" s="513">
        <f>SUM(F428:F532)</f>
        <v>54999</v>
      </c>
      <c r="G533" s="514">
        <f>SUM(G428:G532)</f>
        <v>1642</v>
      </c>
      <c r="H533" s="503"/>
      <c r="I533" s="503"/>
      <c r="J533" s="503"/>
      <c r="K533" s="503"/>
    </row>
    <row r="534" spans="1:11" ht="12">
      <c r="A534" s="515">
        <v>2140810005</v>
      </c>
      <c r="B534" s="539" t="s">
        <v>1131</v>
      </c>
      <c r="C534" s="516" t="s">
        <v>1217</v>
      </c>
      <c r="D534" s="517">
        <v>0</v>
      </c>
      <c r="E534" s="517">
        <v>320</v>
      </c>
      <c r="F534" s="517">
        <v>319</v>
      </c>
      <c r="G534" s="517">
        <v>0</v>
      </c>
      <c r="H534" s="503"/>
      <c r="I534" s="503"/>
      <c r="J534" s="503"/>
      <c r="K534" s="503"/>
    </row>
    <row r="535" spans="1:11" ht="12">
      <c r="A535" s="518">
        <v>2140817005</v>
      </c>
      <c r="B535" s="539" t="s">
        <v>1923</v>
      </c>
      <c r="C535" s="505" t="s">
        <v>1217</v>
      </c>
      <c r="D535" s="506">
        <v>0</v>
      </c>
      <c r="E535" s="506">
        <v>1771</v>
      </c>
      <c r="F535" s="506">
        <v>1094</v>
      </c>
      <c r="G535" s="506">
        <v>676</v>
      </c>
      <c r="H535" s="503"/>
      <c r="I535" s="503"/>
      <c r="J535" s="503"/>
      <c r="K535" s="503"/>
    </row>
    <row r="536" spans="1:11" ht="12">
      <c r="A536" s="518">
        <v>2140817006</v>
      </c>
      <c r="B536" s="539" t="s">
        <v>1132</v>
      </c>
      <c r="C536" s="505" t="s">
        <v>1217</v>
      </c>
      <c r="D536" s="506">
        <v>0</v>
      </c>
      <c r="E536" s="506">
        <v>5534</v>
      </c>
      <c r="F536" s="506">
        <v>6115</v>
      </c>
      <c r="G536" s="506">
        <v>807</v>
      </c>
      <c r="H536" s="503"/>
      <c r="I536" s="503"/>
      <c r="J536" s="503"/>
      <c r="K536" s="503"/>
    </row>
    <row r="537" spans="1:11" ht="12">
      <c r="A537" s="518">
        <v>2140820008</v>
      </c>
      <c r="B537" s="539" t="s">
        <v>1133</v>
      </c>
      <c r="C537" s="505" t="s">
        <v>1217</v>
      </c>
      <c r="D537" s="506">
        <v>0</v>
      </c>
      <c r="E537" s="506">
        <v>15</v>
      </c>
      <c r="F537" s="506">
        <v>14</v>
      </c>
      <c r="G537" s="506">
        <v>0</v>
      </c>
      <c r="H537" s="503"/>
      <c r="I537" s="503"/>
      <c r="J537" s="503"/>
      <c r="K537" s="503"/>
    </row>
    <row r="538" spans="1:11" ht="12">
      <c r="A538" s="518">
        <v>2140827008</v>
      </c>
      <c r="B538" s="539" t="s">
        <v>1134</v>
      </c>
      <c r="C538" s="505" t="s">
        <v>1217</v>
      </c>
      <c r="D538" s="506">
        <v>0</v>
      </c>
      <c r="E538" s="506">
        <v>2112</v>
      </c>
      <c r="F538" s="506">
        <v>2112</v>
      </c>
      <c r="G538" s="506">
        <v>0</v>
      </c>
      <c r="H538" s="503"/>
      <c r="I538" s="503"/>
      <c r="J538" s="503"/>
      <c r="K538" s="503"/>
    </row>
    <row r="539" spans="1:11" ht="12.75" thickBot="1">
      <c r="A539" s="518">
        <v>2140827009</v>
      </c>
      <c r="B539" s="539" t="s">
        <v>2273</v>
      </c>
      <c r="C539" s="505" t="s">
        <v>1217</v>
      </c>
      <c r="D539" s="506">
        <v>0</v>
      </c>
      <c r="E539" s="506">
        <v>1400</v>
      </c>
      <c r="F539" s="506">
        <v>1311</v>
      </c>
      <c r="G539" s="506">
        <v>88</v>
      </c>
      <c r="H539" s="503"/>
      <c r="I539" s="503"/>
      <c r="J539" s="503"/>
      <c r="K539" s="503"/>
    </row>
    <row r="540" spans="1:11" ht="12.75" thickBot="1">
      <c r="A540" s="1489" t="s">
        <v>1135</v>
      </c>
      <c r="B540" s="1490"/>
      <c r="C540" s="1490"/>
      <c r="D540" s="513">
        <f>SUM(D534:D539)</f>
        <v>0</v>
      </c>
      <c r="E540" s="513">
        <f>SUM(E534:E539)</f>
        <v>11152</v>
      </c>
      <c r="F540" s="513">
        <f>SUM(F534:F539)</f>
        <v>10965</v>
      </c>
      <c r="G540" s="514">
        <f>SUM(G534:G539)</f>
        <v>1571</v>
      </c>
      <c r="H540" s="503"/>
      <c r="I540" s="503"/>
      <c r="J540" s="503"/>
      <c r="K540" s="503"/>
    </row>
    <row r="541" spans="1:11" ht="12">
      <c r="A541" s="499">
        <v>2141115140</v>
      </c>
      <c r="B541" s="539" t="s">
        <v>1136</v>
      </c>
      <c r="C541" s="500" t="s">
        <v>1137</v>
      </c>
      <c r="D541" s="501">
        <v>390</v>
      </c>
      <c r="E541" s="501">
        <v>2771</v>
      </c>
      <c r="F541" s="501">
        <v>2770</v>
      </c>
      <c r="G541" s="502">
        <v>1</v>
      </c>
      <c r="H541" s="503"/>
      <c r="I541" s="503"/>
      <c r="J541" s="503"/>
      <c r="K541" s="503"/>
    </row>
    <row r="542" spans="1:11" ht="12">
      <c r="A542" s="504">
        <v>2141115210</v>
      </c>
      <c r="B542" s="539" t="s">
        <v>1138</v>
      </c>
      <c r="C542" s="505" t="s">
        <v>1217</v>
      </c>
      <c r="D542" s="506">
        <v>0</v>
      </c>
      <c r="E542" s="506">
        <v>0</v>
      </c>
      <c r="F542" s="506">
        <v>15351</v>
      </c>
      <c r="G542" s="507">
        <v>0</v>
      </c>
      <c r="H542" s="503"/>
      <c r="I542" s="503"/>
      <c r="J542" s="503"/>
      <c r="K542" s="503"/>
    </row>
    <row r="543" spans="1:11" ht="12">
      <c r="A543" s="504">
        <v>2141115269</v>
      </c>
      <c r="B543" s="539" t="s">
        <v>1139</v>
      </c>
      <c r="C543" s="505" t="s">
        <v>1217</v>
      </c>
      <c r="D543" s="506">
        <v>250444</v>
      </c>
      <c r="E543" s="506">
        <v>250444</v>
      </c>
      <c r="F543" s="506">
        <v>84515</v>
      </c>
      <c r="G543" s="507">
        <v>165929</v>
      </c>
      <c r="H543" s="503"/>
      <c r="I543" s="503"/>
      <c r="J543" s="503"/>
      <c r="K543" s="503"/>
    </row>
    <row r="544" spans="1:11" ht="12">
      <c r="A544" s="504">
        <v>2141115270</v>
      </c>
      <c r="B544" s="539" t="s">
        <v>1140</v>
      </c>
      <c r="C544" s="505" t="s">
        <v>1217</v>
      </c>
      <c r="D544" s="506">
        <v>173300</v>
      </c>
      <c r="E544" s="506">
        <v>173300</v>
      </c>
      <c r="F544" s="506">
        <v>111852</v>
      </c>
      <c r="G544" s="507">
        <v>58628</v>
      </c>
      <c r="H544" s="503"/>
      <c r="I544" s="503"/>
      <c r="J544" s="503"/>
      <c r="K544" s="503"/>
    </row>
    <row r="545" spans="1:11" ht="12">
      <c r="A545" s="504">
        <v>2141116011</v>
      </c>
      <c r="B545" s="539" t="s">
        <v>1141</v>
      </c>
      <c r="C545" s="505" t="s">
        <v>1142</v>
      </c>
      <c r="D545" s="506">
        <v>0</v>
      </c>
      <c r="E545" s="506">
        <v>509</v>
      </c>
      <c r="F545" s="506">
        <v>467</v>
      </c>
      <c r="G545" s="507">
        <v>42</v>
      </c>
      <c r="H545" s="503"/>
      <c r="I545" s="503"/>
      <c r="J545" s="503"/>
      <c r="K545" s="503"/>
    </row>
    <row r="546" spans="1:11" ht="12">
      <c r="A546" s="504">
        <v>2141116023</v>
      </c>
      <c r="B546" s="539" t="s">
        <v>1143</v>
      </c>
      <c r="C546" s="505" t="s">
        <v>1217</v>
      </c>
      <c r="D546" s="506">
        <v>0</v>
      </c>
      <c r="E546" s="506">
        <v>0</v>
      </c>
      <c r="F546" s="506">
        <v>449</v>
      </c>
      <c r="G546" s="507">
        <v>0</v>
      </c>
      <c r="H546" s="503"/>
      <c r="I546" s="503"/>
      <c r="J546" s="503"/>
      <c r="K546" s="503"/>
    </row>
    <row r="547" spans="1:11" ht="12">
      <c r="A547" s="504">
        <v>2141116034</v>
      </c>
      <c r="B547" s="539" t="s">
        <v>1144</v>
      </c>
      <c r="C547" s="505" t="s">
        <v>1217</v>
      </c>
      <c r="D547" s="506">
        <v>0</v>
      </c>
      <c r="E547" s="506">
        <v>510</v>
      </c>
      <c r="F547" s="506">
        <v>509</v>
      </c>
      <c r="G547" s="507">
        <v>1</v>
      </c>
      <c r="H547" s="503"/>
      <c r="I547" s="503"/>
      <c r="J547" s="503"/>
      <c r="K547" s="503"/>
    </row>
    <row r="548" spans="1:11" ht="12">
      <c r="A548" s="504">
        <v>2141116049</v>
      </c>
      <c r="B548" s="539" t="s">
        <v>1145</v>
      </c>
      <c r="C548" s="505" t="s">
        <v>1217</v>
      </c>
      <c r="D548" s="506">
        <v>0</v>
      </c>
      <c r="E548" s="506">
        <v>476</v>
      </c>
      <c r="F548" s="506">
        <v>475</v>
      </c>
      <c r="G548" s="507">
        <v>1</v>
      </c>
      <c r="H548" s="503"/>
      <c r="I548" s="503"/>
      <c r="J548" s="503"/>
      <c r="K548" s="503"/>
    </row>
    <row r="549" spans="1:11" ht="12">
      <c r="A549" s="504">
        <v>2141116050</v>
      </c>
      <c r="B549" s="539" t="s">
        <v>1146</v>
      </c>
      <c r="C549" s="505" t="s">
        <v>1217</v>
      </c>
      <c r="D549" s="506">
        <v>0</v>
      </c>
      <c r="E549" s="506">
        <v>0</v>
      </c>
      <c r="F549" s="506">
        <v>240</v>
      </c>
      <c r="G549" s="507">
        <v>0</v>
      </c>
      <c r="H549" s="503"/>
      <c r="I549" s="503"/>
      <c r="J549" s="503"/>
      <c r="K549" s="503"/>
    </row>
    <row r="550" spans="1:11" ht="12">
      <c r="A550" s="504">
        <v>2141116088</v>
      </c>
      <c r="B550" s="539" t="s">
        <v>1147</v>
      </c>
      <c r="C550" s="505" t="s">
        <v>1217</v>
      </c>
      <c r="D550" s="506">
        <v>0</v>
      </c>
      <c r="E550" s="506">
        <v>1745</v>
      </c>
      <c r="F550" s="506">
        <v>1745</v>
      </c>
      <c r="G550" s="507">
        <v>0</v>
      </c>
      <c r="H550" s="503"/>
      <c r="I550" s="503"/>
      <c r="J550" s="503"/>
      <c r="K550" s="503"/>
    </row>
    <row r="551" spans="1:11" ht="12">
      <c r="A551" s="504">
        <v>2141116106</v>
      </c>
      <c r="B551" s="539" t="s">
        <v>1148</v>
      </c>
      <c r="C551" s="505" t="s">
        <v>1217</v>
      </c>
      <c r="D551" s="506">
        <v>0</v>
      </c>
      <c r="E551" s="506">
        <v>551</v>
      </c>
      <c r="F551" s="506">
        <v>2199</v>
      </c>
      <c r="G551" s="507">
        <v>1</v>
      </c>
      <c r="H551" s="503"/>
      <c r="I551" s="503"/>
      <c r="J551" s="503"/>
      <c r="K551" s="503"/>
    </row>
    <row r="552" spans="1:11" ht="12">
      <c r="A552" s="504">
        <v>2141116107</v>
      </c>
      <c r="B552" s="539" t="s">
        <v>1149</v>
      </c>
      <c r="C552" s="505" t="s">
        <v>1217</v>
      </c>
      <c r="D552" s="506">
        <v>0</v>
      </c>
      <c r="E552" s="506">
        <v>0</v>
      </c>
      <c r="F552" s="506">
        <v>178</v>
      </c>
      <c r="G552" s="507">
        <v>0</v>
      </c>
      <c r="H552" s="503"/>
      <c r="I552" s="503"/>
      <c r="J552" s="503"/>
      <c r="K552" s="503"/>
    </row>
    <row r="553" spans="1:11" ht="12">
      <c r="A553" s="504">
        <v>2141116116</v>
      </c>
      <c r="B553" s="539" t="s">
        <v>1341</v>
      </c>
      <c r="C553" s="505" t="s">
        <v>1137</v>
      </c>
      <c r="D553" s="506">
        <v>0</v>
      </c>
      <c r="E553" s="506">
        <v>690</v>
      </c>
      <c r="F553" s="506">
        <v>689</v>
      </c>
      <c r="G553" s="507">
        <v>1</v>
      </c>
      <c r="H553" s="503"/>
      <c r="I553" s="503"/>
      <c r="J553" s="503"/>
      <c r="K553" s="503"/>
    </row>
    <row r="554" spans="1:11" ht="12">
      <c r="A554" s="504">
        <v>2141116118</v>
      </c>
      <c r="B554" s="539" t="s">
        <v>1150</v>
      </c>
      <c r="C554" s="505" t="s">
        <v>1137</v>
      </c>
      <c r="D554" s="506">
        <v>3287</v>
      </c>
      <c r="E554" s="506">
        <v>3127</v>
      </c>
      <c r="F554" s="506">
        <v>3122</v>
      </c>
      <c r="G554" s="507">
        <v>5</v>
      </c>
      <c r="H554" s="503"/>
      <c r="I554" s="503"/>
      <c r="J554" s="503"/>
      <c r="K554" s="503"/>
    </row>
    <row r="555" spans="1:11" ht="12">
      <c r="A555" s="504">
        <v>2141116119</v>
      </c>
      <c r="B555" s="539" t="s">
        <v>1151</v>
      </c>
      <c r="C555" s="505" t="s">
        <v>1137</v>
      </c>
      <c r="D555" s="506">
        <v>0</v>
      </c>
      <c r="E555" s="506">
        <v>160</v>
      </c>
      <c r="F555" s="506">
        <v>159</v>
      </c>
      <c r="G555" s="507">
        <v>1</v>
      </c>
      <c r="H555" s="503"/>
      <c r="I555" s="503"/>
      <c r="J555" s="503"/>
      <c r="K555" s="503"/>
    </row>
    <row r="556" spans="1:11" ht="12">
      <c r="A556" s="504">
        <v>2141116131</v>
      </c>
      <c r="B556" s="539" t="s">
        <v>1152</v>
      </c>
      <c r="C556" s="505" t="s">
        <v>1217</v>
      </c>
      <c r="D556" s="506">
        <v>0</v>
      </c>
      <c r="E556" s="506">
        <v>0</v>
      </c>
      <c r="F556" s="506">
        <v>745</v>
      </c>
      <c r="G556" s="507">
        <v>0</v>
      </c>
      <c r="H556" s="503"/>
      <c r="I556" s="503"/>
      <c r="J556" s="503"/>
      <c r="K556" s="503"/>
    </row>
    <row r="557" spans="1:11" ht="12">
      <c r="A557" s="504">
        <v>2141116132</v>
      </c>
      <c r="B557" s="539" t="s">
        <v>1341</v>
      </c>
      <c r="C557" s="505" t="s">
        <v>1217</v>
      </c>
      <c r="D557" s="506">
        <v>0</v>
      </c>
      <c r="E557" s="506">
        <v>2218</v>
      </c>
      <c r="F557" s="506">
        <v>2509</v>
      </c>
      <c r="G557" s="507">
        <v>2</v>
      </c>
      <c r="H557" s="503"/>
      <c r="I557" s="503"/>
      <c r="J557" s="503"/>
      <c r="K557" s="503"/>
    </row>
    <row r="558" spans="1:11" ht="12">
      <c r="A558" s="504">
        <v>2141116152</v>
      </c>
      <c r="B558" s="539" t="s">
        <v>1153</v>
      </c>
      <c r="C558" s="505" t="s">
        <v>1217</v>
      </c>
      <c r="D558" s="506">
        <v>0</v>
      </c>
      <c r="E558" s="506">
        <v>875</v>
      </c>
      <c r="F558" s="506">
        <v>875</v>
      </c>
      <c r="G558" s="507">
        <v>0</v>
      </c>
      <c r="H558" s="503"/>
      <c r="I558" s="503"/>
      <c r="J558" s="503"/>
      <c r="K558" s="503"/>
    </row>
    <row r="559" spans="1:11" ht="12">
      <c r="A559" s="504">
        <v>2141116154</v>
      </c>
      <c r="B559" s="539" t="s">
        <v>1154</v>
      </c>
      <c r="C559" s="505" t="s">
        <v>1217</v>
      </c>
      <c r="D559" s="506">
        <v>0</v>
      </c>
      <c r="E559" s="506">
        <v>0</v>
      </c>
      <c r="F559" s="506">
        <v>273</v>
      </c>
      <c r="G559" s="507">
        <v>0</v>
      </c>
      <c r="H559" s="503"/>
      <c r="I559" s="503"/>
      <c r="J559" s="503"/>
      <c r="K559" s="503"/>
    </row>
    <row r="560" spans="1:11" ht="12">
      <c r="A560" s="504">
        <v>2141116156</v>
      </c>
      <c r="B560" s="539" t="s">
        <v>1145</v>
      </c>
      <c r="C560" s="505" t="s">
        <v>1217</v>
      </c>
      <c r="D560" s="506">
        <v>0</v>
      </c>
      <c r="E560" s="506">
        <v>1386</v>
      </c>
      <c r="F560" s="506">
        <v>1386</v>
      </c>
      <c r="G560" s="507">
        <v>0</v>
      </c>
      <c r="H560" s="503"/>
      <c r="I560" s="503"/>
      <c r="J560" s="503"/>
      <c r="K560" s="503"/>
    </row>
    <row r="561" spans="1:11" ht="12">
      <c r="A561" s="504">
        <v>2141116161</v>
      </c>
      <c r="B561" s="539" t="s">
        <v>1155</v>
      </c>
      <c r="C561" s="505" t="s">
        <v>1217</v>
      </c>
      <c r="D561" s="506">
        <v>0</v>
      </c>
      <c r="E561" s="506">
        <v>8755</v>
      </c>
      <c r="F561" s="506">
        <v>10415</v>
      </c>
      <c r="G561" s="507">
        <v>7</v>
      </c>
      <c r="H561" s="503"/>
      <c r="I561" s="503"/>
      <c r="J561" s="503"/>
      <c r="K561" s="503"/>
    </row>
    <row r="562" spans="1:11" ht="12">
      <c r="A562" s="504">
        <v>2141116162</v>
      </c>
      <c r="B562" s="539" t="s">
        <v>1156</v>
      </c>
      <c r="C562" s="505" t="s">
        <v>1217</v>
      </c>
      <c r="D562" s="506">
        <v>0</v>
      </c>
      <c r="E562" s="506">
        <v>414</v>
      </c>
      <c r="F562" s="506">
        <v>414</v>
      </c>
      <c r="G562" s="507">
        <v>0</v>
      </c>
      <c r="H562" s="503"/>
      <c r="I562" s="503"/>
      <c r="J562" s="503"/>
      <c r="K562" s="503"/>
    </row>
    <row r="563" spans="1:11" ht="12">
      <c r="A563" s="504">
        <v>2141116165</v>
      </c>
      <c r="B563" s="539" t="s">
        <v>1157</v>
      </c>
      <c r="C563" s="505" t="s">
        <v>1142</v>
      </c>
      <c r="D563" s="506">
        <v>0</v>
      </c>
      <c r="E563" s="506">
        <v>7121</v>
      </c>
      <c r="F563" s="506">
        <v>7121</v>
      </c>
      <c r="G563" s="507">
        <v>0</v>
      </c>
      <c r="H563" s="503"/>
      <c r="I563" s="503"/>
      <c r="J563" s="503"/>
      <c r="K563" s="503"/>
    </row>
    <row r="564" spans="1:11" ht="12">
      <c r="A564" s="504">
        <v>2141116180</v>
      </c>
      <c r="B564" s="539" t="s">
        <v>1158</v>
      </c>
      <c r="C564" s="505" t="s">
        <v>1159</v>
      </c>
      <c r="D564" s="506">
        <v>0</v>
      </c>
      <c r="E564" s="506">
        <v>750</v>
      </c>
      <c r="F564" s="506">
        <v>750</v>
      </c>
      <c r="G564" s="507">
        <v>0</v>
      </c>
      <c r="H564" s="503"/>
      <c r="I564" s="503"/>
      <c r="J564" s="503"/>
      <c r="K564" s="503"/>
    </row>
    <row r="565" spans="1:11" ht="12">
      <c r="A565" s="504">
        <v>2141116184</v>
      </c>
      <c r="B565" s="539" t="s">
        <v>1160</v>
      </c>
      <c r="C565" s="505" t="s">
        <v>1137</v>
      </c>
      <c r="D565" s="506">
        <v>1588</v>
      </c>
      <c r="E565" s="506">
        <v>1588</v>
      </c>
      <c r="F565" s="506">
        <v>1588</v>
      </c>
      <c r="G565" s="507">
        <v>0</v>
      </c>
      <c r="H565" s="503"/>
      <c r="I565" s="503"/>
      <c r="J565" s="503"/>
      <c r="K565" s="503"/>
    </row>
    <row r="566" spans="1:11" ht="12">
      <c r="A566" s="504">
        <v>2141116188</v>
      </c>
      <c r="B566" s="539" t="s">
        <v>1161</v>
      </c>
      <c r="C566" s="505" t="s">
        <v>1159</v>
      </c>
      <c r="D566" s="506">
        <v>0</v>
      </c>
      <c r="E566" s="506">
        <v>7960</v>
      </c>
      <c r="F566" s="506">
        <v>7959</v>
      </c>
      <c r="G566" s="507">
        <v>1</v>
      </c>
      <c r="H566" s="503"/>
      <c r="I566" s="503"/>
      <c r="J566" s="503"/>
      <c r="K566" s="503"/>
    </row>
    <row r="567" spans="1:11" ht="12">
      <c r="A567" s="504">
        <v>2141116191</v>
      </c>
      <c r="B567" s="539" t="s">
        <v>1162</v>
      </c>
      <c r="C567" s="505" t="s">
        <v>1159</v>
      </c>
      <c r="D567" s="506">
        <v>5106</v>
      </c>
      <c r="E567" s="506">
        <v>5700</v>
      </c>
      <c r="F567" s="506">
        <v>5700</v>
      </c>
      <c r="G567" s="507">
        <v>0</v>
      </c>
      <c r="H567" s="503"/>
      <c r="I567" s="503"/>
      <c r="J567" s="503"/>
      <c r="K567" s="503"/>
    </row>
    <row r="568" spans="1:11" ht="12">
      <c r="A568" s="504">
        <v>2141116194</v>
      </c>
      <c r="B568" s="539" t="s">
        <v>1163</v>
      </c>
      <c r="C568" s="505" t="s">
        <v>1137</v>
      </c>
      <c r="D568" s="506">
        <v>0</v>
      </c>
      <c r="E568" s="506">
        <v>100</v>
      </c>
      <c r="F568" s="506">
        <v>99</v>
      </c>
      <c r="G568" s="507">
        <v>1</v>
      </c>
      <c r="H568" s="503"/>
      <c r="I568" s="503"/>
      <c r="J568" s="503"/>
      <c r="K568" s="503"/>
    </row>
    <row r="569" spans="1:11" ht="12">
      <c r="A569" s="504">
        <v>2141116195</v>
      </c>
      <c r="B569" s="539" t="s">
        <v>1164</v>
      </c>
      <c r="C569" s="505" t="s">
        <v>1137</v>
      </c>
      <c r="D569" s="506">
        <v>1900</v>
      </c>
      <c r="E569" s="506">
        <v>1987</v>
      </c>
      <c r="F569" s="506">
        <v>1986</v>
      </c>
      <c r="G569" s="507">
        <v>1</v>
      </c>
      <c r="H569" s="503"/>
      <c r="I569" s="503"/>
      <c r="J569" s="503"/>
      <c r="K569" s="503"/>
    </row>
    <row r="570" spans="1:11" ht="12">
      <c r="A570" s="504">
        <v>2141116196</v>
      </c>
      <c r="B570" s="539" t="s">
        <v>1165</v>
      </c>
      <c r="C570" s="505" t="s">
        <v>1137</v>
      </c>
      <c r="D570" s="506">
        <v>200</v>
      </c>
      <c r="E570" s="506">
        <v>0</v>
      </c>
      <c r="F570" s="506">
        <v>0</v>
      </c>
      <c r="G570" s="507">
        <v>0</v>
      </c>
      <c r="H570" s="503"/>
      <c r="I570" s="503"/>
      <c r="J570" s="503"/>
      <c r="K570" s="503"/>
    </row>
    <row r="571" spans="1:11" ht="12">
      <c r="A571" s="504">
        <v>2141116198</v>
      </c>
      <c r="B571" s="539" t="s">
        <v>1166</v>
      </c>
      <c r="C571" s="505" t="s">
        <v>1142</v>
      </c>
      <c r="D571" s="506">
        <v>2116</v>
      </c>
      <c r="E571" s="506">
        <v>0</v>
      </c>
      <c r="F571" s="506">
        <v>0</v>
      </c>
      <c r="G571" s="507">
        <v>0</v>
      </c>
      <c r="H571" s="503"/>
      <c r="I571" s="503"/>
      <c r="J571" s="503"/>
      <c r="K571" s="503"/>
    </row>
    <row r="572" spans="1:11" ht="12">
      <c r="A572" s="504">
        <v>2141116199</v>
      </c>
      <c r="B572" s="539" t="s">
        <v>1167</v>
      </c>
      <c r="C572" s="505" t="s">
        <v>1159</v>
      </c>
      <c r="D572" s="506">
        <v>0</v>
      </c>
      <c r="E572" s="506">
        <v>16030</v>
      </c>
      <c r="F572" s="506">
        <v>16030</v>
      </c>
      <c r="G572" s="507">
        <v>0</v>
      </c>
      <c r="H572" s="503"/>
      <c r="I572" s="503"/>
      <c r="J572" s="503"/>
      <c r="K572" s="503"/>
    </row>
    <row r="573" spans="1:11" ht="12">
      <c r="A573" s="504">
        <v>2141116209</v>
      </c>
      <c r="B573" s="539" t="s">
        <v>1168</v>
      </c>
      <c r="C573" s="505" t="s">
        <v>1142</v>
      </c>
      <c r="D573" s="506">
        <v>664</v>
      </c>
      <c r="E573" s="506">
        <v>622</v>
      </c>
      <c r="F573" s="506">
        <v>621</v>
      </c>
      <c r="G573" s="507">
        <v>1</v>
      </c>
      <c r="H573" s="503"/>
      <c r="I573" s="503"/>
      <c r="J573" s="503"/>
      <c r="K573" s="503"/>
    </row>
    <row r="574" spans="1:11" ht="12">
      <c r="A574" s="504">
        <v>2141116220</v>
      </c>
      <c r="B574" s="539" t="s">
        <v>1169</v>
      </c>
      <c r="C574" s="505" t="s">
        <v>1217</v>
      </c>
      <c r="D574" s="506">
        <v>0</v>
      </c>
      <c r="E574" s="506">
        <v>0</v>
      </c>
      <c r="F574" s="506">
        <v>60</v>
      </c>
      <c r="G574" s="507">
        <v>0</v>
      </c>
      <c r="H574" s="503"/>
      <c r="I574" s="503"/>
      <c r="J574" s="503"/>
      <c r="K574" s="503"/>
    </row>
    <row r="575" spans="1:11" ht="12">
      <c r="A575" s="504">
        <v>2141116245</v>
      </c>
      <c r="B575" s="539" t="s">
        <v>1170</v>
      </c>
      <c r="C575" s="505" t="s">
        <v>1142</v>
      </c>
      <c r="D575" s="506">
        <v>350</v>
      </c>
      <c r="E575" s="506">
        <v>0</v>
      </c>
      <c r="F575" s="506">
        <v>0</v>
      </c>
      <c r="G575" s="507">
        <v>0</v>
      </c>
      <c r="H575" s="503"/>
      <c r="I575" s="503"/>
      <c r="J575" s="503"/>
      <c r="K575" s="503"/>
    </row>
    <row r="576" spans="1:11" ht="12">
      <c r="A576" s="504">
        <v>2141116264</v>
      </c>
      <c r="B576" s="539" t="s">
        <v>1171</v>
      </c>
      <c r="C576" s="505" t="s">
        <v>1217</v>
      </c>
      <c r="D576" s="506">
        <v>0</v>
      </c>
      <c r="E576" s="506">
        <v>0</v>
      </c>
      <c r="F576" s="506">
        <v>303</v>
      </c>
      <c r="G576" s="507">
        <v>0</v>
      </c>
      <c r="H576" s="503"/>
      <c r="I576" s="503"/>
      <c r="J576" s="503"/>
      <c r="K576" s="503"/>
    </row>
    <row r="577" spans="1:11" ht="12">
      <c r="A577" s="504">
        <v>2141116277</v>
      </c>
      <c r="B577" s="539" t="s">
        <v>1172</v>
      </c>
      <c r="C577" s="505" t="s">
        <v>1137</v>
      </c>
      <c r="D577" s="506">
        <v>0</v>
      </c>
      <c r="E577" s="506">
        <v>166</v>
      </c>
      <c r="F577" s="506">
        <v>166</v>
      </c>
      <c r="G577" s="507">
        <v>0</v>
      </c>
      <c r="H577" s="503"/>
      <c r="I577" s="503"/>
      <c r="J577" s="503"/>
      <c r="K577" s="503"/>
    </row>
    <row r="578" spans="1:11" ht="12">
      <c r="A578" s="504">
        <v>2141116280</v>
      </c>
      <c r="B578" s="539" t="s">
        <v>1173</v>
      </c>
      <c r="C578" s="505" t="s">
        <v>1137</v>
      </c>
      <c r="D578" s="506">
        <v>0</v>
      </c>
      <c r="E578" s="506">
        <v>103</v>
      </c>
      <c r="F578" s="506">
        <v>103</v>
      </c>
      <c r="G578" s="507">
        <v>0</v>
      </c>
      <c r="H578" s="503"/>
      <c r="I578" s="503"/>
      <c r="J578" s="503"/>
      <c r="K578" s="503"/>
    </row>
    <row r="579" spans="1:11" ht="12">
      <c r="A579" s="504">
        <v>2141117000</v>
      </c>
      <c r="B579" s="539" t="s">
        <v>666</v>
      </c>
      <c r="C579" s="505" t="s">
        <v>1142</v>
      </c>
      <c r="D579" s="506">
        <v>13200</v>
      </c>
      <c r="E579" s="506">
        <v>12204</v>
      </c>
      <c r="F579" s="506">
        <v>12160</v>
      </c>
      <c r="G579" s="507">
        <v>44</v>
      </c>
      <c r="H579" s="503"/>
      <c r="I579" s="503"/>
      <c r="J579" s="503"/>
      <c r="K579" s="503"/>
    </row>
    <row r="580" spans="1:11" ht="12">
      <c r="A580" s="504">
        <v>2141117001</v>
      </c>
      <c r="B580" s="539" t="s">
        <v>667</v>
      </c>
      <c r="C580" s="505" t="s">
        <v>668</v>
      </c>
      <c r="D580" s="506">
        <v>2889</v>
      </c>
      <c r="E580" s="506">
        <v>0</v>
      </c>
      <c r="F580" s="506">
        <v>0</v>
      </c>
      <c r="G580" s="507">
        <v>0</v>
      </c>
      <c r="H580" s="503"/>
      <c r="I580" s="503"/>
      <c r="J580" s="503"/>
      <c r="K580" s="503"/>
    </row>
    <row r="581" spans="1:11" ht="12">
      <c r="A581" s="504">
        <v>2141117002</v>
      </c>
      <c r="B581" s="539" t="s">
        <v>669</v>
      </c>
      <c r="C581" s="505" t="s">
        <v>670</v>
      </c>
      <c r="D581" s="506">
        <v>8300</v>
      </c>
      <c r="E581" s="506">
        <v>6550</v>
      </c>
      <c r="F581" s="506">
        <v>9550</v>
      </c>
      <c r="G581" s="507">
        <v>0</v>
      </c>
      <c r="H581" s="503"/>
      <c r="I581" s="503"/>
      <c r="J581" s="503"/>
      <c r="K581" s="503"/>
    </row>
    <row r="582" spans="1:11" ht="12">
      <c r="A582" s="504">
        <v>2141117003</v>
      </c>
      <c r="B582" s="539" t="s">
        <v>671</v>
      </c>
      <c r="C582" s="505" t="s">
        <v>670</v>
      </c>
      <c r="D582" s="506">
        <v>11200</v>
      </c>
      <c r="E582" s="506">
        <v>9160</v>
      </c>
      <c r="F582" s="506">
        <v>13159</v>
      </c>
      <c r="G582" s="507">
        <v>1</v>
      </c>
      <c r="H582" s="503"/>
      <c r="I582" s="503"/>
      <c r="J582" s="503"/>
      <c r="K582" s="503"/>
    </row>
    <row r="583" spans="1:11" ht="12">
      <c r="A583" s="504">
        <v>2141117004</v>
      </c>
      <c r="B583" s="539" t="s">
        <v>672</v>
      </c>
      <c r="C583" s="505" t="s">
        <v>670</v>
      </c>
      <c r="D583" s="506">
        <v>21431</v>
      </c>
      <c r="E583" s="506">
        <v>18431</v>
      </c>
      <c r="F583" s="506">
        <v>17726</v>
      </c>
      <c r="G583" s="507">
        <v>705</v>
      </c>
      <c r="H583" s="503"/>
      <c r="I583" s="503"/>
      <c r="J583" s="503"/>
      <c r="K583" s="503"/>
    </row>
    <row r="584" spans="1:11" ht="12">
      <c r="A584" s="504">
        <v>2141117005</v>
      </c>
      <c r="B584" s="539" t="s">
        <v>673</v>
      </c>
      <c r="C584" s="505" t="s">
        <v>670</v>
      </c>
      <c r="D584" s="506">
        <v>3256</v>
      </c>
      <c r="E584" s="506">
        <v>10276</v>
      </c>
      <c r="F584" s="506">
        <v>10264</v>
      </c>
      <c r="G584" s="507">
        <v>12</v>
      </c>
      <c r="H584" s="503"/>
      <c r="I584" s="503"/>
      <c r="J584" s="503"/>
      <c r="K584" s="503"/>
    </row>
    <row r="585" spans="1:11" ht="12">
      <c r="A585" s="504">
        <v>2141117006</v>
      </c>
      <c r="B585" s="539" t="s">
        <v>674</v>
      </c>
      <c r="C585" s="505" t="s">
        <v>670</v>
      </c>
      <c r="D585" s="506">
        <v>1650</v>
      </c>
      <c r="E585" s="506">
        <v>1050</v>
      </c>
      <c r="F585" s="506">
        <v>1049</v>
      </c>
      <c r="G585" s="507">
        <v>1</v>
      </c>
      <c r="H585" s="503"/>
      <c r="I585" s="503"/>
      <c r="J585" s="503"/>
      <c r="K585" s="503"/>
    </row>
    <row r="586" spans="1:11" ht="12">
      <c r="A586" s="504">
        <v>2141117007</v>
      </c>
      <c r="B586" s="539" t="s">
        <v>1341</v>
      </c>
      <c r="C586" s="505" t="s">
        <v>670</v>
      </c>
      <c r="D586" s="506">
        <v>4320</v>
      </c>
      <c r="E586" s="506">
        <v>1320</v>
      </c>
      <c r="F586" s="506">
        <v>1318</v>
      </c>
      <c r="G586" s="507">
        <v>2</v>
      </c>
      <c r="H586" s="503"/>
      <c r="I586" s="503"/>
      <c r="J586" s="503"/>
      <c r="K586" s="503"/>
    </row>
    <row r="587" spans="1:11" ht="12">
      <c r="A587" s="504">
        <v>2141117008</v>
      </c>
      <c r="B587" s="539" t="s">
        <v>666</v>
      </c>
      <c r="C587" s="505" t="s">
        <v>670</v>
      </c>
      <c r="D587" s="506">
        <v>11784</v>
      </c>
      <c r="E587" s="506">
        <v>13161</v>
      </c>
      <c r="F587" s="506">
        <v>12727</v>
      </c>
      <c r="G587" s="507">
        <v>434</v>
      </c>
      <c r="H587" s="503"/>
      <c r="I587" s="503"/>
      <c r="J587" s="503"/>
      <c r="K587" s="503"/>
    </row>
    <row r="588" spans="1:11" ht="12">
      <c r="A588" s="504">
        <v>2141117009</v>
      </c>
      <c r="B588" s="539" t="s">
        <v>1338</v>
      </c>
      <c r="C588" s="505" t="s">
        <v>670</v>
      </c>
      <c r="D588" s="506">
        <v>6516</v>
      </c>
      <c r="E588" s="506">
        <v>0</v>
      </c>
      <c r="F588" s="506">
        <v>0</v>
      </c>
      <c r="G588" s="507">
        <v>0</v>
      </c>
      <c r="H588" s="503"/>
      <c r="I588" s="503"/>
      <c r="J588" s="503"/>
      <c r="K588" s="503"/>
    </row>
    <row r="589" spans="1:11" ht="12">
      <c r="A589" s="504">
        <v>2141117010</v>
      </c>
      <c r="B589" s="539" t="s">
        <v>675</v>
      </c>
      <c r="C589" s="505" t="s">
        <v>670</v>
      </c>
      <c r="D589" s="506">
        <v>60</v>
      </c>
      <c r="E589" s="506">
        <v>60</v>
      </c>
      <c r="F589" s="506">
        <v>59</v>
      </c>
      <c r="G589" s="507">
        <v>1</v>
      </c>
      <c r="H589" s="503"/>
      <c r="I589" s="503"/>
      <c r="J589" s="503"/>
      <c r="K589" s="503"/>
    </row>
    <row r="590" spans="1:11" ht="12">
      <c r="A590" s="504">
        <v>2141117011</v>
      </c>
      <c r="B590" s="539" t="s">
        <v>676</v>
      </c>
      <c r="C590" s="505" t="s">
        <v>670</v>
      </c>
      <c r="D590" s="506">
        <v>45</v>
      </c>
      <c r="E590" s="506">
        <v>4</v>
      </c>
      <c r="F590" s="506">
        <v>0</v>
      </c>
      <c r="G590" s="507">
        <v>4</v>
      </c>
      <c r="H590" s="503"/>
      <c r="I590" s="503"/>
      <c r="J590" s="503"/>
      <c r="K590" s="503"/>
    </row>
    <row r="591" spans="1:11" ht="12">
      <c r="A591" s="504">
        <v>2141117012</v>
      </c>
      <c r="B591" s="539" t="s">
        <v>1341</v>
      </c>
      <c r="C591" s="505" t="s">
        <v>677</v>
      </c>
      <c r="D591" s="506">
        <v>5300</v>
      </c>
      <c r="E591" s="506">
        <v>5948</v>
      </c>
      <c r="F591" s="506">
        <v>5944</v>
      </c>
      <c r="G591" s="507">
        <v>2</v>
      </c>
      <c r="H591" s="503"/>
      <c r="I591" s="503"/>
      <c r="J591" s="503"/>
      <c r="K591" s="503"/>
    </row>
    <row r="592" spans="1:11" ht="12">
      <c r="A592" s="504">
        <v>2141117013</v>
      </c>
      <c r="B592" s="539" t="s">
        <v>678</v>
      </c>
      <c r="C592" s="505" t="s">
        <v>677</v>
      </c>
      <c r="D592" s="506">
        <v>1405</v>
      </c>
      <c r="E592" s="506">
        <v>453</v>
      </c>
      <c r="F592" s="506">
        <v>452</v>
      </c>
      <c r="G592" s="507">
        <v>1</v>
      </c>
      <c r="H592" s="503"/>
      <c r="I592" s="503"/>
      <c r="J592" s="503"/>
      <c r="K592" s="503"/>
    </row>
    <row r="593" spans="1:11" ht="12">
      <c r="A593" s="504">
        <v>2141117014</v>
      </c>
      <c r="B593" s="539" t="s">
        <v>679</v>
      </c>
      <c r="C593" s="505" t="s">
        <v>677</v>
      </c>
      <c r="D593" s="506">
        <v>3057</v>
      </c>
      <c r="E593" s="506">
        <v>6671</v>
      </c>
      <c r="F593" s="506">
        <v>6671</v>
      </c>
      <c r="G593" s="507">
        <v>0</v>
      </c>
      <c r="H593" s="503"/>
      <c r="I593" s="503"/>
      <c r="J593" s="503"/>
      <c r="K593" s="503"/>
    </row>
    <row r="594" spans="1:11" ht="12">
      <c r="A594" s="504">
        <v>2141117015</v>
      </c>
      <c r="B594" s="539" t="s">
        <v>669</v>
      </c>
      <c r="C594" s="505" t="s">
        <v>677</v>
      </c>
      <c r="D594" s="506">
        <v>9000</v>
      </c>
      <c r="E594" s="506">
        <v>2320</v>
      </c>
      <c r="F594" s="506">
        <v>4318</v>
      </c>
      <c r="G594" s="507">
        <v>0</v>
      </c>
      <c r="H594" s="503"/>
      <c r="I594" s="503"/>
      <c r="J594" s="503"/>
      <c r="K594" s="503"/>
    </row>
    <row r="595" spans="1:11" ht="12">
      <c r="A595" s="504">
        <v>2141117016</v>
      </c>
      <c r="B595" s="539" t="s">
        <v>680</v>
      </c>
      <c r="C595" s="505" t="s">
        <v>677</v>
      </c>
      <c r="D595" s="506">
        <v>14938</v>
      </c>
      <c r="E595" s="506">
        <v>9491</v>
      </c>
      <c r="F595" s="506">
        <v>9491</v>
      </c>
      <c r="G595" s="507">
        <v>0</v>
      </c>
      <c r="H595" s="503"/>
      <c r="I595" s="503"/>
      <c r="J595" s="503"/>
      <c r="K595" s="503"/>
    </row>
    <row r="596" spans="1:11" ht="12">
      <c r="A596" s="504">
        <v>2141117017</v>
      </c>
      <c r="B596" s="539" t="s">
        <v>666</v>
      </c>
      <c r="C596" s="505" t="s">
        <v>677</v>
      </c>
      <c r="D596" s="506">
        <v>4906</v>
      </c>
      <c r="E596" s="506">
        <v>3721</v>
      </c>
      <c r="F596" s="506">
        <v>3720</v>
      </c>
      <c r="G596" s="507">
        <v>0</v>
      </c>
      <c r="H596" s="503"/>
      <c r="I596" s="503"/>
      <c r="J596" s="503"/>
      <c r="K596" s="503"/>
    </row>
    <row r="597" spans="1:11" ht="12">
      <c r="A597" s="504">
        <v>2141117018</v>
      </c>
      <c r="B597" s="539" t="s">
        <v>681</v>
      </c>
      <c r="C597" s="505" t="s">
        <v>677</v>
      </c>
      <c r="D597" s="506">
        <v>461</v>
      </c>
      <c r="E597" s="506">
        <v>461</v>
      </c>
      <c r="F597" s="506">
        <v>460</v>
      </c>
      <c r="G597" s="507">
        <v>0</v>
      </c>
      <c r="H597" s="503"/>
      <c r="I597" s="503"/>
      <c r="J597" s="503"/>
      <c r="K597" s="503"/>
    </row>
    <row r="598" spans="1:11" ht="12">
      <c r="A598" s="504">
        <v>2141117019</v>
      </c>
      <c r="B598" s="539" t="s">
        <v>682</v>
      </c>
      <c r="C598" s="505" t="s">
        <v>677</v>
      </c>
      <c r="D598" s="506">
        <v>700</v>
      </c>
      <c r="E598" s="506">
        <v>700</v>
      </c>
      <c r="F598" s="506">
        <v>699</v>
      </c>
      <c r="G598" s="507">
        <v>0</v>
      </c>
      <c r="H598" s="503"/>
      <c r="I598" s="503"/>
      <c r="J598" s="503"/>
      <c r="K598" s="503"/>
    </row>
    <row r="599" spans="1:11" ht="12">
      <c r="A599" s="504">
        <v>2141117020</v>
      </c>
      <c r="B599" s="539" t="s">
        <v>683</v>
      </c>
      <c r="C599" s="505" t="s">
        <v>677</v>
      </c>
      <c r="D599" s="506">
        <v>500</v>
      </c>
      <c r="E599" s="506">
        <v>500</v>
      </c>
      <c r="F599" s="506">
        <v>497</v>
      </c>
      <c r="G599" s="507">
        <v>0</v>
      </c>
      <c r="H599" s="503"/>
      <c r="I599" s="503"/>
      <c r="J599" s="503"/>
      <c r="K599" s="503"/>
    </row>
    <row r="600" spans="1:11" ht="12">
      <c r="A600" s="504">
        <v>2141117021</v>
      </c>
      <c r="B600" s="539" t="s">
        <v>669</v>
      </c>
      <c r="C600" s="505" t="s">
        <v>1208</v>
      </c>
      <c r="D600" s="506">
        <v>7167</v>
      </c>
      <c r="E600" s="506">
        <v>5589</v>
      </c>
      <c r="F600" s="506">
        <v>5587</v>
      </c>
      <c r="G600" s="507">
        <v>2</v>
      </c>
      <c r="H600" s="503"/>
      <c r="I600" s="503"/>
      <c r="J600" s="503"/>
      <c r="K600" s="503"/>
    </row>
    <row r="601" spans="1:11" ht="12">
      <c r="A601" s="504">
        <v>2141117022</v>
      </c>
      <c r="B601" s="539" t="s">
        <v>679</v>
      </c>
      <c r="C601" s="505" t="s">
        <v>1208</v>
      </c>
      <c r="D601" s="506">
        <v>4300</v>
      </c>
      <c r="E601" s="506">
        <v>8688</v>
      </c>
      <c r="F601" s="506">
        <v>8684</v>
      </c>
      <c r="G601" s="507">
        <v>4</v>
      </c>
      <c r="H601" s="503"/>
      <c r="I601" s="503"/>
      <c r="J601" s="503"/>
      <c r="K601" s="503"/>
    </row>
    <row r="602" spans="1:11" ht="12">
      <c r="A602" s="504">
        <v>2141117023</v>
      </c>
      <c r="B602" s="539" t="s">
        <v>684</v>
      </c>
      <c r="C602" s="505" t="s">
        <v>1208</v>
      </c>
      <c r="D602" s="506">
        <v>5281</v>
      </c>
      <c r="E602" s="506">
        <v>7081</v>
      </c>
      <c r="F602" s="506">
        <v>6723</v>
      </c>
      <c r="G602" s="507">
        <v>358</v>
      </c>
      <c r="H602" s="503"/>
      <c r="I602" s="503"/>
      <c r="J602" s="503"/>
      <c r="K602" s="503"/>
    </row>
    <row r="603" spans="1:11" ht="12">
      <c r="A603" s="504">
        <v>2141117024</v>
      </c>
      <c r="B603" s="539" t="s">
        <v>685</v>
      </c>
      <c r="C603" s="505" t="s">
        <v>1208</v>
      </c>
      <c r="D603" s="506">
        <v>300</v>
      </c>
      <c r="E603" s="506">
        <v>450</v>
      </c>
      <c r="F603" s="506">
        <v>447</v>
      </c>
      <c r="G603" s="507">
        <v>3</v>
      </c>
      <c r="H603" s="503"/>
      <c r="I603" s="503"/>
      <c r="J603" s="503"/>
      <c r="K603" s="503"/>
    </row>
    <row r="604" spans="1:11" ht="12">
      <c r="A604" s="504">
        <v>2141117025</v>
      </c>
      <c r="B604" s="539" t="s">
        <v>686</v>
      </c>
      <c r="C604" s="505" t="s">
        <v>1208</v>
      </c>
      <c r="D604" s="506">
        <v>1548</v>
      </c>
      <c r="E604" s="506">
        <v>147</v>
      </c>
      <c r="F604" s="506">
        <v>147</v>
      </c>
      <c r="G604" s="507">
        <v>0</v>
      </c>
      <c r="H604" s="503"/>
      <c r="I604" s="503"/>
      <c r="J604" s="503"/>
      <c r="K604" s="503"/>
    </row>
    <row r="605" spans="1:11" ht="12">
      <c r="A605" s="504">
        <v>2141117026</v>
      </c>
      <c r="B605" s="539" t="s">
        <v>687</v>
      </c>
      <c r="C605" s="505" t="s">
        <v>1208</v>
      </c>
      <c r="D605" s="506">
        <v>50</v>
      </c>
      <c r="E605" s="506">
        <v>0</v>
      </c>
      <c r="F605" s="506">
        <v>0</v>
      </c>
      <c r="G605" s="507">
        <v>0</v>
      </c>
      <c r="H605" s="503"/>
      <c r="I605" s="503"/>
      <c r="J605" s="503"/>
      <c r="K605" s="503"/>
    </row>
    <row r="606" spans="1:11" ht="12">
      <c r="A606" s="504">
        <v>2141117027</v>
      </c>
      <c r="B606" s="539" t="s">
        <v>688</v>
      </c>
      <c r="C606" s="505" t="s">
        <v>1208</v>
      </c>
      <c r="D606" s="506">
        <v>1317</v>
      </c>
      <c r="E606" s="506">
        <v>95</v>
      </c>
      <c r="F606" s="506">
        <v>94</v>
      </c>
      <c r="G606" s="507">
        <v>1</v>
      </c>
      <c r="H606" s="503"/>
      <c r="I606" s="503"/>
      <c r="J606" s="503"/>
      <c r="K606" s="503"/>
    </row>
    <row r="607" spans="1:11" ht="12">
      <c r="A607" s="504">
        <v>2141117028</v>
      </c>
      <c r="B607" s="539" t="s">
        <v>1143</v>
      </c>
      <c r="C607" s="505" t="s">
        <v>1208</v>
      </c>
      <c r="D607" s="506">
        <v>200</v>
      </c>
      <c r="E607" s="506">
        <v>525</v>
      </c>
      <c r="F607" s="506">
        <v>523</v>
      </c>
      <c r="G607" s="507">
        <v>2</v>
      </c>
      <c r="H607" s="503"/>
      <c r="I607" s="503"/>
      <c r="J607" s="503"/>
      <c r="K607" s="503"/>
    </row>
    <row r="608" spans="1:11" ht="12">
      <c r="A608" s="504">
        <v>2141117029</v>
      </c>
      <c r="B608" s="539" t="s">
        <v>689</v>
      </c>
      <c r="C608" s="505" t="s">
        <v>1208</v>
      </c>
      <c r="D608" s="506">
        <v>110</v>
      </c>
      <c r="E608" s="506">
        <v>0</v>
      </c>
      <c r="F608" s="506">
        <v>0</v>
      </c>
      <c r="G608" s="507">
        <v>0</v>
      </c>
      <c r="H608" s="503"/>
      <c r="I608" s="503"/>
      <c r="J608" s="503"/>
      <c r="K608" s="503"/>
    </row>
    <row r="609" spans="1:11" ht="12">
      <c r="A609" s="504">
        <v>2141117030</v>
      </c>
      <c r="B609" s="539" t="s">
        <v>1341</v>
      </c>
      <c r="C609" s="505" t="s">
        <v>1208</v>
      </c>
      <c r="D609" s="506">
        <v>6274</v>
      </c>
      <c r="E609" s="506">
        <v>0</v>
      </c>
      <c r="F609" s="506">
        <v>5208</v>
      </c>
      <c r="G609" s="507">
        <v>0</v>
      </c>
      <c r="H609" s="503"/>
      <c r="I609" s="503"/>
      <c r="J609" s="503"/>
      <c r="K609" s="503"/>
    </row>
    <row r="610" spans="1:11" ht="12">
      <c r="A610" s="504">
        <v>2141117031</v>
      </c>
      <c r="B610" s="539" t="s">
        <v>666</v>
      </c>
      <c r="C610" s="505" t="s">
        <v>1208</v>
      </c>
      <c r="D610" s="506">
        <v>7159</v>
      </c>
      <c r="E610" s="506">
        <v>3159</v>
      </c>
      <c r="F610" s="506">
        <v>2921</v>
      </c>
      <c r="G610" s="507">
        <v>238</v>
      </c>
      <c r="H610" s="503"/>
      <c r="I610" s="503"/>
      <c r="J610" s="503"/>
      <c r="K610" s="503"/>
    </row>
    <row r="611" spans="1:11" ht="12">
      <c r="A611" s="504">
        <v>2141117032</v>
      </c>
      <c r="B611" s="539" t="s">
        <v>690</v>
      </c>
      <c r="C611" s="505" t="s">
        <v>1208</v>
      </c>
      <c r="D611" s="506">
        <v>280</v>
      </c>
      <c r="E611" s="506">
        <v>245</v>
      </c>
      <c r="F611" s="506">
        <v>245</v>
      </c>
      <c r="G611" s="507">
        <v>0</v>
      </c>
      <c r="H611" s="503"/>
      <c r="I611" s="503"/>
      <c r="J611" s="503"/>
      <c r="K611" s="503"/>
    </row>
    <row r="612" spans="1:11" ht="12">
      <c r="A612" s="504">
        <v>2141117033</v>
      </c>
      <c r="B612" s="539" t="s">
        <v>691</v>
      </c>
      <c r="C612" s="505" t="s">
        <v>1208</v>
      </c>
      <c r="D612" s="506">
        <v>65</v>
      </c>
      <c r="E612" s="506">
        <v>0</v>
      </c>
      <c r="F612" s="506">
        <v>0</v>
      </c>
      <c r="G612" s="507">
        <v>0</v>
      </c>
      <c r="H612" s="503"/>
      <c r="I612" s="503"/>
      <c r="J612" s="503"/>
      <c r="K612" s="503"/>
    </row>
    <row r="613" spans="1:11" ht="12">
      <c r="A613" s="504">
        <v>2141117034</v>
      </c>
      <c r="B613" s="539" t="s">
        <v>666</v>
      </c>
      <c r="C613" s="505" t="s">
        <v>692</v>
      </c>
      <c r="D613" s="506">
        <v>12500</v>
      </c>
      <c r="E613" s="506">
        <v>8500</v>
      </c>
      <c r="F613" s="506">
        <v>8500</v>
      </c>
      <c r="G613" s="507">
        <v>0</v>
      </c>
      <c r="H613" s="503"/>
      <c r="I613" s="503"/>
      <c r="J613" s="503"/>
      <c r="K613" s="503"/>
    </row>
    <row r="614" spans="1:11" ht="12">
      <c r="A614" s="504">
        <v>2141117035</v>
      </c>
      <c r="B614" s="539" t="s">
        <v>693</v>
      </c>
      <c r="C614" s="505" t="s">
        <v>692</v>
      </c>
      <c r="D614" s="506">
        <v>15000</v>
      </c>
      <c r="E614" s="506">
        <v>13000</v>
      </c>
      <c r="F614" s="506">
        <v>13000</v>
      </c>
      <c r="G614" s="507">
        <v>0</v>
      </c>
      <c r="H614" s="503"/>
      <c r="I614" s="503"/>
      <c r="J614" s="503"/>
      <c r="K614" s="503"/>
    </row>
    <row r="615" spans="1:11" ht="12">
      <c r="A615" s="504">
        <v>2141117036</v>
      </c>
      <c r="B615" s="539" t="s">
        <v>669</v>
      </c>
      <c r="C615" s="505" t="s">
        <v>692</v>
      </c>
      <c r="D615" s="506">
        <v>2500</v>
      </c>
      <c r="E615" s="506">
        <v>4080</v>
      </c>
      <c r="F615" s="506">
        <v>4079</v>
      </c>
      <c r="G615" s="507">
        <v>1</v>
      </c>
      <c r="H615" s="503"/>
      <c r="I615" s="503"/>
      <c r="J615" s="503"/>
      <c r="K615" s="503"/>
    </row>
    <row r="616" spans="1:11" ht="12">
      <c r="A616" s="504">
        <v>2141117037</v>
      </c>
      <c r="B616" s="539" t="s">
        <v>694</v>
      </c>
      <c r="C616" s="505" t="s">
        <v>692</v>
      </c>
      <c r="D616" s="506">
        <v>10000</v>
      </c>
      <c r="E616" s="506">
        <v>3700</v>
      </c>
      <c r="F616" s="506">
        <v>8200</v>
      </c>
      <c r="G616" s="507">
        <v>0</v>
      </c>
      <c r="H616" s="503"/>
      <c r="I616" s="503"/>
      <c r="J616" s="503"/>
      <c r="K616" s="503"/>
    </row>
    <row r="617" spans="1:11" ht="12">
      <c r="A617" s="504">
        <v>2141117038</v>
      </c>
      <c r="B617" s="539" t="s">
        <v>695</v>
      </c>
      <c r="C617" s="505" t="s">
        <v>692</v>
      </c>
      <c r="D617" s="506">
        <v>3500</v>
      </c>
      <c r="E617" s="506">
        <v>4295</v>
      </c>
      <c r="F617" s="506">
        <v>4294</v>
      </c>
      <c r="G617" s="507">
        <v>0</v>
      </c>
      <c r="H617" s="503"/>
      <c r="I617" s="503"/>
      <c r="J617" s="503"/>
      <c r="K617" s="503"/>
    </row>
    <row r="618" spans="1:11" ht="12">
      <c r="A618" s="504">
        <v>2141117039</v>
      </c>
      <c r="B618" s="539" t="s">
        <v>696</v>
      </c>
      <c r="C618" s="505" t="s">
        <v>692</v>
      </c>
      <c r="D618" s="506">
        <v>9500</v>
      </c>
      <c r="E618" s="506">
        <v>6571</v>
      </c>
      <c r="F618" s="506">
        <v>11069</v>
      </c>
      <c r="G618" s="507">
        <v>2</v>
      </c>
      <c r="H618" s="503"/>
      <c r="I618" s="503"/>
      <c r="J618" s="503"/>
      <c r="K618" s="503"/>
    </row>
    <row r="619" spans="1:11" ht="12">
      <c r="A619" s="504">
        <v>2141117040</v>
      </c>
      <c r="B619" s="539" t="s">
        <v>697</v>
      </c>
      <c r="C619" s="505" t="s">
        <v>692</v>
      </c>
      <c r="D619" s="506">
        <v>138</v>
      </c>
      <c r="E619" s="506">
        <v>0</v>
      </c>
      <c r="F619" s="506">
        <v>0</v>
      </c>
      <c r="G619" s="507">
        <v>0</v>
      </c>
      <c r="H619" s="503"/>
      <c r="I619" s="503"/>
      <c r="J619" s="503"/>
      <c r="K619" s="503"/>
    </row>
    <row r="620" spans="1:11" ht="12">
      <c r="A620" s="504">
        <v>2141117041</v>
      </c>
      <c r="B620" s="539" t="s">
        <v>698</v>
      </c>
      <c r="C620" s="505" t="s">
        <v>692</v>
      </c>
      <c r="D620" s="506">
        <v>130</v>
      </c>
      <c r="E620" s="506">
        <v>0</v>
      </c>
      <c r="F620" s="506">
        <v>0</v>
      </c>
      <c r="G620" s="507">
        <v>0</v>
      </c>
      <c r="H620" s="503"/>
      <c r="I620" s="503"/>
      <c r="J620" s="503"/>
      <c r="K620" s="503"/>
    </row>
    <row r="621" spans="1:11" ht="12">
      <c r="A621" s="504">
        <v>2141117042</v>
      </c>
      <c r="B621" s="539" t="s">
        <v>693</v>
      </c>
      <c r="C621" s="505" t="s">
        <v>699</v>
      </c>
      <c r="D621" s="506">
        <v>8415</v>
      </c>
      <c r="E621" s="506">
        <v>7555</v>
      </c>
      <c r="F621" s="506">
        <v>7555</v>
      </c>
      <c r="G621" s="507">
        <v>0</v>
      </c>
      <c r="H621" s="503"/>
      <c r="I621" s="503"/>
      <c r="J621" s="503"/>
      <c r="K621" s="503"/>
    </row>
    <row r="622" spans="1:11" ht="12">
      <c r="A622" s="504">
        <v>2141117043</v>
      </c>
      <c r="B622" s="539" t="s">
        <v>666</v>
      </c>
      <c r="C622" s="505" t="s">
        <v>699</v>
      </c>
      <c r="D622" s="506">
        <v>10729</v>
      </c>
      <c r="E622" s="506">
        <v>7869</v>
      </c>
      <c r="F622" s="506">
        <v>7869</v>
      </c>
      <c r="G622" s="507">
        <v>0</v>
      </c>
      <c r="H622" s="503"/>
      <c r="I622" s="503"/>
      <c r="J622" s="503"/>
      <c r="K622" s="503"/>
    </row>
    <row r="623" spans="1:11" ht="12">
      <c r="A623" s="504">
        <v>2141117044</v>
      </c>
      <c r="B623" s="539" t="s">
        <v>669</v>
      </c>
      <c r="C623" s="505" t="s">
        <v>699</v>
      </c>
      <c r="D623" s="506">
        <v>8000</v>
      </c>
      <c r="E623" s="506">
        <v>7120</v>
      </c>
      <c r="F623" s="506">
        <v>8120</v>
      </c>
      <c r="G623" s="507">
        <v>0</v>
      </c>
      <c r="H623" s="503"/>
      <c r="I623" s="503"/>
      <c r="J623" s="503"/>
      <c r="K623" s="503"/>
    </row>
    <row r="624" spans="1:11" ht="12">
      <c r="A624" s="504">
        <v>2141117045</v>
      </c>
      <c r="B624" s="539" t="s">
        <v>679</v>
      </c>
      <c r="C624" s="505" t="s">
        <v>699</v>
      </c>
      <c r="D624" s="506">
        <v>8127</v>
      </c>
      <c r="E624" s="506">
        <v>9770</v>
      </c>
      <c r="F624" s="506">
        <v>9770</v>
      </c>
      <c r="G624" s="507">
        <v>0</v>
      </c>
      <c r="H624" s="503"/>
      <c r="I624" s="503"/>
      <c r="J624" s="503"/>
      <c r="K624" s="503"/>
    </row>
    <row r="625" spans="1:11" ht="12">
      <c r="A625" s="504">
        <v>2141117046</v>
      </c>
      <c r="B625" s="539" t="s">
        <v>673</v>
      </c>
      <c r="C625" s="505" t="s">
        <v>699</v>
      </c>
      <c r="D625" s="506">
        <v>3870</v>
      </c>
      <c r="E625" s="506">
        <v>4822</v>
      </c>
      <c r="F625" s="506">
        <v>4821</v>
      </c>
      <c r="G625" s="507">
        <v>1</v>
      </c>
      <c r="H625" s="503"/>
      <c r="I625" s="503"/>
      <c r="J625" s="503"/>
      <c r="K625" s="503"/>
    </row>
    <row r="626" spans="1:11" ht="12">
      <c r="A626" s="504">
        <v>2141117047</v>
      </c>
      <c r="B626" s="539" t="s">
        <v>1338</v>
      </c>
      <c r="C626" s="505" t="s">
        <v>699</v>
      </c>
      <c r="D626" s="506">
        <v>13715</v>
      </c>
      <c r="E626" s="506">
        <v>13500</v>
      </c>
      <c r="F626" s="506">
        <v>16500</v>
      </c>
      <c r="G626" s="507">
        <v>0</v>
      </c>
      <c r="H626" s="503"/>
      <c r="I626" s="503"/>
      <c r="J626" s="503"/>
      <c r="K626" s="503"/>
    </row>
    <row r="627" spans="1:11" ht="12">
      <c r="A627" s="504">
        <v>2141117048</v>
      </c>
      <c r="B627" s="539" t="s">
        <v>700</v>
      </c>
      <c r="C627" s="505" t="s">
        <v>699</v>
      </c>
      <c r="D627" s="506">
        <v>200</v>
      </c>
      <c r="E627" s="506">
        <v>348</v>
      </c>
      <c r="F627" s="506">
        <v>347</v>
      </c>
      <c r="G627" s="507">
        <v>1</v>
      </c>
      <c r="H627" s="503"/>
      <c r="I627" s="503"/>
      <c r="J627" s="503"/>
      <c r="K627" s="503"/>
    </row>
    <row r="628" spans="1:11" ht="12">
      <c r="A628" s="504">
        <v>2141117049</v>
      </c>
      <c r="B628" s="539" t="s">
        <v>701</v>
      </c>
      <c r="C628" s="505" t="s">
        <v>699</v>
      </c>
      <c r="D628" s="506">
        <v>200</v>
      </c>
      <c r="E628" s="506">
        <v>200</v>
      </c>
      <c r="F628" s="506">
        <v>199</v>
      </c>
      <c r="G628" s="507">
        <v>1</v>
      </c>
      <c r="H628" s="503"/>
      <c r="I628" s="503"/>
      <c r="J628" s="503"/>
      <c r="K628" s="503"/>
    </row>
    <row r="629" spans="1:11" ht="12">
      <c r="A629" s="504">
        <v>2141117050</v>
      </c>
      <c r="B629" s="539" t="s">
        <v>702</v>
      </c>
      <c r="C629" s="505" t="s">
        <v>699</v>
      </c>
      <c r="D629" s="506">
        <v>200</v>
      </c>
      <c r="E629" s="506">
        <v>229</v>
      </c>
      <c r="F629" s="506">
        <v>227</v>
      </c>
      <c r="G629" s="507">
        <v>2</v>
      </c>
      <c r="H629" s="503"/>
      <c r="I629" s="503"/>
      <c r="J629" s="503"/>
      <c r="K629" s="503"/>
    </row>
    <row r="630" spans="1:11" ht="12">
      <c r="A630" s="504">
        <v>2141117051</v>
      </c>
      <c r="B630" s="539" t="s">
        <v>703</v>
      </c>
      <c r="C630" s="505" t="s">
        <v>699</v>
      </c>
      <c r="D630" s="506">
        <v>1400</v>
      </c>
      <c r="E630" s="506">
        <v>1400</v>
      </c>
      <c r="F630" s="506">
        <v>1399</v>
      </c>
      <c r="G630" s="507">
        <v>1</v>
      </c>
      <c r="H630" s="503"/>
      <c r="I630" s="503"/>
      <c r="J630" s="503"/>
      <c r="K630" s="503"/>
    </row>
    <row r="631" spans="1:11" ht="12">
      <c r="A631" s="504">
        <v>2141117052</v>
      </c>
      <c r="B631" s="539" t="s">
        <v>704</v>
      </c>
      <c r="C631" s="505" t="s">
        <v>668</v>
      </c>
      <c r="D631" s="506">
        <v>650</v>
      </c>
      <c r="E631" s="506">
        <v>1180</v>
      </c>
      <c r="F631" s="506">
        <v>1180</v>
      </c>
      <c r="G631" s="507">
        <v>0</v>
      </c>
      <c r="H631" s="503"/>
      <c r="I631" s="503"/>
      <c r="J631" s="503"/>
      <c r="K631" s="503"/>
    </row>
    <row r="632" spans="1:11" ht="12">
      <c r="A632" s="504">
        <v>2141117053</v>
      </c>
      <c r="B632" s="539" t="s">
        <v>705</v>
      </c>
      <c r="C632" s="505" t="s">
        <v>668</v>
      </c>
      <c r="D632" s="506">
        <v>6739</v>
      </c>
      <c r="E632" s="506">
        <v>7537</v>
      </c>
      <c r="F632" s="506">
        <v>7536</v>
      </c>
      <c r="G632" s="507">
        <v>1</v>
      </c>
      <c r="H632" s="503"/>
      <c r="I632" s="503"/>
      <c r="J632" s="503"/>
      <c r="K632" s="503"/>
    </row>
    <row r="633" spans="1:11" ht="12">
      <c r="A633" s="504">
        <v>2141117054</v>
      </c>
      <c r="B633" s="539" t="s">
        <v>694</v>
      </c>
      <c r="C633" s="505" t="s">
        <v>668</v>
      </c>
      <c r="D633" s="506">
        <v>9244</v>
      </c>
      <c r="E633" s="506">
        <v>12493</v>
      </c>
      <c r="F633" s="506">
        <v>12493</v>
      </c>
      <c r="G633" s="507">
        <v>0</v>
      </c>
      <c r="H633" s="503"/>
      <c r="I633" s="503"/>
      <c r="J633" s="503"/>
      <c r="K633" s="503"/>
    </row>
    <row r="634" spans="1:11" ht="12">
      <c r="A634" s="504">
        <v>2141117055</v>
      </c>
      <c r="B634" s="539" t="s">
        <v>706</v>
      </c>
      <c r="C634" s="505" t="s">
        <v>668</v>
      </c>
      <c r="D634" s="506">
        <v>6038</v>
      </c>
      <c r="E634" s="506">
        <v>7048</v>
      </c>
      <c r="F634" s="506">
        <v>7009</v>
      </c>
      <c r="G634" s="507">
        <v>10</v>
      </c>
      <c r="H634" s="503"/>
      <c r="I634" s="503"/>
      <c r="J634" s="503"/>
      <c r="K634" s="503"/>
    </row>
    <row r="635" spans="1:11" ht="12">
      <c r="A635" s="504">
        <v>2141117056</v>
      </c>
      <c r="B635" s="539" t="s">
        <v>666</v>
      </c>
      <c r="C635" s="505" t="s">
        <v>668</v>
      </c>
      <c r="D635" s="506">
        <v>7831</v>
      </c>
      <c r="E635" s="506">
        <v>5750</v>
      </c>
      <c r="F635" s="506">
        <v>5641</v>
      </c>
      <c r="G635" s="507">
        <v>108</v>
      </c>
      <c r="H635" s="503"/>
      <c r="I635" s="503"/>
      <c r="J635" s="503"/>
      <c r="K635" s="503"/>
    </row>
    <row r="636" spans="1:11" ht="12">
      <c r="A636" s="504">
        <v>2141117057</v>
      </c>
      <c r="B636" s="539" t="s">
        <v>669</v>
      </c>
      <c r="C636" s="505" t="s">
        <v>668</v>
      </c>
      <c r="D636" s="506">
        <v>4292</v>
      </c>
      <c r="E636" s="506">
        <v>2847</v>
      </c>
      <c r="F636" s="506">
        <v>2847</v>
      </c>
      <c r="G636" s="507">
        <v>0</v>
      </c>
      <c r="H636" s="503"/>
      <c r="I636" s="503"/>
      <c r="J636" s="503"/>
      <c r="K636" s="503"/>
    </row>
    <row r="637" spans="1:11" ht="12">
      <c r="A637" s="504">
        <v>2141117058</v>
      </c>
      <c r="B637" s="539" t="s">
        <v>707</v>
      </c>
      <c r="C637" s="505" t="s">
        <v>668</v>
      </c>
      <c r="D637" s="506">
        <v>262</v>
      </c>
      <c r="E637" s="506">
        <v>244</v>
      </c>
      <c r="F637" s="506">
        <v>244</v>
      </c>
      <c r="G637" s="507">
        <v>0</v>
      </c>
      <c r="H637" s="503"/>
      <c r="I637" s="503"/>
      <c r="J637" s="503"/>
      <c r="K637" s="503"/>
    </row>
    <row r="638" spans="1:11" ht="12">
      <c r="A638" s="504">
        <v>2141117059</v>
      </c>
      <c r="B638" s="539" t="s">
        <v>708</v>
      </c>
      <c r="C638" s="505" t="s">
        <v>668</v>
      </c>
      <c r="D638" s="506">
        <v>1440</v>
      </c>
      <c r="E638" s="506">
        <v>2818</v>
      </c>
      <c r="F638" s="506">
        <v>2817</v>
      </c>
      <c r="G638" s="507">
        <v>1</v>
      </c>
      <c r="H638" s="503"/>
      <c r="I638" s="503"/>
      <c r="J638" s="503"/>
      <c r="K638" s="503"/>
    </row>
    <row r="639" spans="1:11" ht="12">
      <c r="A639" s="504">
        <v>2141117060</v>
      </c>
      <c r="B639" s="539" t="s">
        <v>709</v>
      </c>
      <c r="C639" s="505" t="s">
        <v>668</v>
      </c>
      <c r="D639" s="506">
        <v>300</v>
      </c>
      <c r="E639" s="506">
        <v>211</v>
      </c>
      <c r="F639" s="506">
        <v>211</v>
      </c>
      <c r="G639" s="507">
        <v>0</v>
      </c>
      <c r="H639" s="503"/>
      <c r="I639" s="503"/>
      <c r="J639" s="503"/>
      <c r="K639" s="503"/>
    </row>
    <row r="640" spans="1:11" ht="12">
      <c r="A640" s="504">
        <v>2141117061</v>
      </c>
      <c r="B640" s="539" t="s">
        <v>710</v>
      </c>
      <c r="C640" s="505" t="s">
        <v>668</v>
      </c>
      <c r="D640" s="506">
        <v>30</v>
      </c>
      <c r="E640" s="506">
        <v>30</v>
      </c>
      <c r="F640" s="506">
        <v>30</v>
      </c>
      <c r="G640" s="507">
        <v>0</v>
      </c>
      <c r="H640" s="503"/>
      <c r="I640" s="503"/>
      <c r="J640" s="503"/>
      <c r="K640" s="503"/>
    </row>
    <row r="641" spans="1:11" ht="12">
      <c r="A641" s="504">
        <v>2141117062</v>
      </c>
      <c r="B641" s="539" t="s">
        <v>711</v>
      </c>
      <c r="C641" s="505" t="s">
        <v>668</v>
      </c>
      <c r="D641" s="506">
        <v>1003</v>
      </c>
      <c r="E641" s="506">
        <v>300</v>
      </c>
      <c r="F641" s="506">
        <v>299</v>
      </c>
      <c r="G641" s="507">
        <v>0</v>
      </c>
      <c r="H641" s="503"/>
      <c r="I641" s="503"/>
      <c r="J641" s="503"/>
      <c r="K641" s="503"/>
    </row>
    <row r="642" spans="1:11" ht="12">
      <c r="A642" s="504">
        <v>2141117063</v>
      </c>
      <c r="B642" s="539" t="s">
        <v>712</v>
      </c>
      <c r="C642" s="505" t="s">
        <v>668</v>
      </c>
      <c r="D642" s="506">
        <v>122</v>
      </c>
      <c r="E642" s="506">
        <v>0</v>
      </c>
      <c r="F642" s="506">
        <v>0</v>
      </c>
      <c r="G642" s="507">
        <v>0</v>
      </c>
      <c r="H642" s="503"/>
      <c r="I642" s="503"/>
      <c r="J642" s="503"/>
      <c r="K642" s="503"/>
    </row>
    <row r="643" spans="1:11" ht="12">
      <c r="A643" s="504">
        <v>2141117064</v>
      </c>
      <c r="B643" s="539" t="s">
        <v>713</v>
      </c>
      <c r="C643" s="505" t="s">
        <v>668</v>
      </c>
      <c r="D643" s="506">
        <v>48</v>
      </c>
      <c r="E643" s="506">
        <v>0</v>
      </c>
      <c r="F643" s="506">
        <v>0</v>
      </c>
      <c r="G643" s="507">
        <v>0</v>
      </c>
      <c r="H643" s="503"/>
      <c r="I643" s="503"/>
      <c r="J643" s="503"/>
      <c r="K643" s="503"/>
    </row>
    <row r="644" spans="1:11" ht="12">
      <c r="A644" s="504">
        <v>2141117065</v>
      </c>
      <c r="B644" s="539" t="s">
        <v>714</v>
      </c>
      <c r="C644" s="505" t="s">
        <v>1142</v>
      </c>
      <c r="D644" s="506">
        <v>341</v>
      </c>
      <c r="E644" s="506">
        <v>0</v>
      </c>
      <c r="F644" s="506">
        <v>0</v>
      </c>
      <c r="G644" s="507">
        <v>0</v>
      </c>
      <c r="H644" s="503"/>
      <c r="I644" s="503"/>
      <c r="J644" s="503"/>
      <c r="K644" s="503"/>
    </row>
    <row r="645" spans="1:11" ht="12">
      <c r="A645" s="504">
        <v>2141117066</v>
      </c>
      <c r="B645" s="539" t="s">
        <v>669</v>
      </c>
      <c r="C645" s="505" t="s">
        <v>1142</v>
      </c>
      <c r="D645" s="506">
        <v>10100</v>
      </c>
      <c r="E645" s="506">
        <v>5695</v>
      </c>
      <c r="F645" s="506">
        <v>7695</v>
      </c>
      <c r="G645" s="507">
        <v>0</v>
      </c>
      <c r="H645" s="503"/>
      <c r="I645" s="503"/>
      <c r="J645" s="503"/>
      <c r="K645" s="503"/>
    </row>
    <row r="646" spans="1:11" ht="12">
      <c r="A646" s="504">
        <v>2141117067</v>
      </c>
      <c r="B646" s="539" t="s">
        <v>679</v>
      </c>
      <c r="C646" s="505" t="s">
        <v>1142</v>
      </c>
      <c r="D646" s="506">
        <v>13824</v>
      </c>
      <c r="E646" s="506">
        <v>18064</v>
      </c>
      <c r="F646" s="506">
        <v>18063</v>
      </c>
      <c r="G646" s="507">
        <v>1</v>
      </c>
      <c r="H646" s="503"/>
      <c r="I646" s="503"/>
      <c r="J646" s="503"/>
      <c r="K646" s="503"/>
    </row>
    <row r="647" spans="1:11" ht="12">
      <c r="A647" s="504">
        <v>2141117068</v>
      </c>
      <c r="B647" s="539" t="s">
        <v>711</v>
      </c>
      <c r="C647" s="505" t="s">
        <v>1142</v>
      </c>
      <c r="D647" s="506">
        <v>580</v>
      </c>
      <c r="E647" s="506">
        <v>390</v>
      </c>
      <c r="F647" s="506">
        <v>385</v>
      </c>
      <c r="G647" s="507">
        <v>5</v>
      </c>
      <c r="H647" s="503"/>
      <c r="I647" s="503"/>
      <c r="J647" s="503"/>
      <c r="K647" s="503"/>
    </row>
    <row r="648" spans="1:11" ht="12">
      <c r="A648" s="504">
        <v>2141117069</v>
      </c>
      <c r="B648" s="539" t="s">
        <v>715</v>
      </c>
      <c r="C648" s="505" t="s">
        <v>1142</v>
      </c>
      <c r="D648" s="506">
        <v>1500</v>
      </c>
      <c r="E648" s="506">
        <v>556</v>
      </c>
      <c r="F648" s="506">
        <v>552</v>
      </c>
      <c r="G648" s="507">
        <v>4</v>
      </c>
      <c r="H648" s="503"/>
      <c r="I648" s="503"/>
      <c r="J648" s="503"/>
      <c r="K648" s="503"/>
    </row>
    <row r="649" spans="1:11" ht="12">
      <c r="A649" s="504">
        <v>2141117070</v>
      </c>
      <c r="B649" s="539" t="s">
        <v>686</v>
      </c>
      <c r="C649" s="505" t="s">
        <v>1142</v>
      </c>
      <c r="D649" s="506">
        <v>2000</v>
      </c>
      <c r="E649" s="506">
        <v>900</v>
      </c>
      <c r="F649" s="506">
        <v>897</v>
      </c>
      <c r="G649" s="507">
        <v>3</v>
      </c>
      <c r="H649" s="503"/>
      <c r="I649" s="503"/>
      <c r="J649" s="503"/>
      <c r="K649" s="503"/>
    </row>
    <row r="650" spans="1:11" ht="12">
      <c r="A650" s="504">
        <v>2141117071</v>
      </c>
      <c r="B650" s="539" t="s">
        <v>716</v>
      </c>
      <c r="C650" s="505" t="s">
        <v>1142</v>
      </c>
      <c r="D650" s="506">
        <v>1200</v>
      </c>
      <c r="E650" s="506">
        <v>637</v>
      </c>
      <c r="F650" s="506">
        <v>636</v>
      </c>
      <c r="G650" s="507">
        <v>1</v>
      </c>
      <c r="H650" s="503"/>
      <c r="I650" s="503"/>
      <c r="J650" s="503"/>
      <c r="K650" s="503"/>
    </row>
    <row r="651" spans="1:11" ht="12">
      <c r="A651" s="504">
        <v>2141117072</v>
      </c>
      <c r="B651" s="539" t="s">
        <v>717</v>
      </c>
      <c r="C651" s="505" t="s">
        <v>1142</v>
      </c>
      <c r="D651" s="506">
        <v>1000</v>
      </c>
      <c r="E651" s="506">
        <v>0</v>
      </c>
      <c r="F651" s="506">
        <v>0</v>
      </c>
      <c r="G651" s="507">
        <v>0</v>
      </c>
      <c r="H651" s="503"/>
      <c r="I651" s="503"/>
      <c r="J651" s="503"/>
      <c r="K651" s="503"/>
    </row>
    <row r="652" spans="1:11" ht="12">
      <c r="A652" s="504">
        <v>2141117073</v>
      </c>
      <c r="B652" s="539" t="s">
        <v>718</v>
      </c>
      <c r="C652" s="505" t="s">
        <v>1142</v>
      </c>
      <c r="D652" s="506">
        <v>300</v>
      </c>
      <c r="E652" s="506">
        <v>0</v>
      </c>
      <c r="F652" s="506">
        <v>0</v>
      </c>
      <c r="G652" s="507">
        <v>0</v>
      </c>
      <c r="H652" s="503"/>
      <c r="I652" s="503"/>
      <c r="J652" s="503"/>
      <c r="K652" s="503"/>
    </row>
    <row r="653" spans="1:11" ht="12">
      <c r="A653" s="504">
        <v>2141117074</v>
      </c>
      <c r="B653" s="539" t="s">
        <v>1341</v>
      </c>
      <c r="C653" s="505" t="s">
        <v>1142</v>
      </c>
      <c r="D653" s="506">
        <v>15280</v>
      </c>
      <c r="E653" s="506">
        <v>1339</v>
      </c>
      <c r="F653" s="506">
        <v>4335</v>
      </c>
      <c r="G653" s="507">
        <v>4</v>
      </c>
      <c r="H653" s="503"/>
      <c r="I653" s="503"/>
      <c r="J653" s="503"/>
      <c r="K653" s="503"/>
    </row>
    <row r="654" spans="1:11" ht="12">
      <c r="A654" s="504">
        <v>2141117075</v>
      </c>
      <c r="B654" s="539" t="s">
        <v>684</v>
      </c>
      <c r="C654" s="505" t="s">
        <v>1142</v>
      </c>
      <c r="D654" s="506">
        <v>4150</v>
      </c>
      <c r="E654" s="506">
        <v>4150</v>
      </c>
      <c r="F654" s="506">
        <v>4150</v>
      </c>
      <c r="G654" s="507">
        <v>0</v>
      </c>
      <c r="H654" s="503"/>
      <c r="I654" s="503"/>
      <c r="J654" s="503"/>
      <c r="K654" s="503"/>
    </row>
    <row r="655" spans="1:11" ht="12">
      <c r="A655" s="504">
        <v>2141117077</v>
      </c>
      <c r="B655" s="539" t="s">
        <v>719</v>
      </c>
      <c r="C655" s="505" t="s">
        <v>1142</v>
      </c>
      <c r="D655" s="506">
        <v>246</v>
      </c>
      <c r="E655" s="506">
        <v>246</v>
      </c>
      <c r="F655" s="506">
        <v>237</v>
      </c>
      <c r="G655" s="507">
        <v>9</v>
      </c>
      <c r="H655" s="503"/>
      <c r="I655" s="503"/>
      <c r="J655" s="503"/>
      <c r="K655" s="503"/>
    </row>
    <row r="656" spans="1:11" ht="12">
      <c r="A656" s="504">
        <v>2141117078</v>
      </c>
      <c r="B656" s="539" t="s">
        <v>666</v>
      </c>
      <c r="C656" s="505" t="s">
        <v>720</v>
      </c>
      <c r="D656" s="506">
        <v>9771</v>
      </c>
      <c r="E656" s="506">
        <v>6571</v>
      </c>
      <c r="F656" s="506">
        <v>6571</v>
      </c>
      <c r="G656" s="507">
        <v>0</v>
      </c>
      <c r="H656" s="503"/>
      <c r="I656" s="503"/>
      <c r="J656" s="503"/>
      <c r="K656" s="503"/>
    </row>
    <row r="657" spans="1:11" ht="12">
      <c r="A657" s="504">
        <v>2141117079</v>
      </c>
      <c r="B657" s="539" t="s">
        <v>721</v>
      </c>
      <c r="C657" s="505" t="s">
        <v>720</v>
      </c>
      <c r="D657" s="506">
        <v>6757</v>
      </c>
      <c r="E657" s="506">
        <v>7407</v>
      </c>
      <c r="F657" s="506">
        <v>7496</v>
      </c>
      <c r="G657" s="507">
        <v>0</v>
      </c>
      <c r="H657" s="503"/>
      <c r="I657" s="503"/>
      <c r="J657" s="503"/>
      <c r="K657" s="503"/>
    </row>
    <row r="658" spans="1:11" ht="12">
      <c r="A658" s="504">
        <v>2141117080</v>
      </c>
      <c r="B658" s="539" t="s">
        <v>669</v>
      </c>
      <c r="C658" s="505" t="s">
        <v>720</v>
      </c>
      <c r="D658" s="506">
        <v>2440</v>
      </c>
      <c r="E658" s="506">
        <v>2653</v>
      </c>
      <c r="F658" s="506">
        <v>2653</v>
      </c>
      <c r="G658" s="507">
        <v>0</v>
      </c>
      <c r="H658" s="503"/>
      <c r="I658" s="503"/>
      <c r="J658" s="503"/>
      <c r="K658" s="503"/>
    </row>
    <row r="659" spans="1:11" ht="12">
      <c r="A659" s="504">
        <v>2141117081</v>
      </c>
      <c r="B659" s="539" t="s">
        <v>679</v>
      </c>
      <c r="C659" s="505" t="s">
        <v>720</v>
      </c>
      <c r="D659" s="506">
        <v>10000</v>
      </c>
      <c r="E659" s="506">
        <v>10000</v>
      </c>
      <c r="F659" s="506">
        <v>10000</v>
      </c>
      <c r="G659" s="507">
        <v>0</v>
      </c>
      <c r="H659" s="503"/>
      <c r="I659" s="503"/>
      <c r="J659" s="503"/>
      <c r="K659" s="503"/>
    </row>
    <row r="660" spans="1:11" ht="12">
      <c r="A660" s="504">
        <v>2141117082</v>
      </c>
      <c r="B660" s="539" t="s">
        <v>722</v>
      </c>
      <c r="C660" s="505" t="s">
        <v>720</v>
      </c>
      <c r="D660" s="506">
        <v>764</v>
      </c>
      <c r="E660" s="506">
        <v>0</v>
      </c>
      <c r="F660" s="506">
        <v>0</v>
      </c>
      <c r="G660" s="507">
        <v>0</v>
      </c>
      <c r="H660" s="503"/>
      <c r="I660" s="503"/>
      <c r="J660" s="503"/>
      <c r="K660" s="503"/>
    </row>
    <row r="661" spans="1:11" ht="12">
      <c r="A661" s="504">
        <v>2141117083</v>
      </c>
      <c r="B661" s="539" t="s">
        <v>1341</v>
      </c>
      <c r="C661" s="505" t="s">
        <v>720</v>
      </c>
      <c r="D661" s="506">
        <v>24280</v>
      </c>
      <c r="E661" s="506">
        <v>8814</v>
      </c>
      <c r="F661" s="506">
        <v>13813</v>
      </c>
      <c r="G661" s="507">
        <v>1</v>
      </c>
      <c r="H661" s="503"/>
      <c r="I661" s="503"/>
      <c r="J661" s="503"/>
      <c r="K661" s="503"/>
    </row>
    <row r="662" spans="1:11" ht="12">
      <c r="A662" s="504">
        <v>2141117084</v>
      </c>
      <c r="B662" s="539" t="s">
        <v>723</v>
      </c>
      <c r="C662" s="505" t="s">
        <v>720</v>
      </c>
      <c r="D662" s="506">
        <v>1000</v>
      </c>
      <c r="E662" s="506">
        <v>872</v>
      </c>
      <c r="F662" s="506">
        <v>872</v>
      </c>
      <c r="G662" s="507">
        <v>0</v>
      </c>
      <c r="H662" s="503"/>
      <c r="I662" s="503"/>
      <c r="J662" s="503"/>
      <c r="K662" s="503"/>
    </row>
    <row r="663" spans="1:11" ht="12">
      <c r="A663" s="504">
        <v>2141117085</v>
      </c>
      <c r="B663" s="539" t="s">
        <v>724</v>
      </c>
      <c r="C663" s="505" t="s">
        <v>720</v>
      </c>
      <c r="D663" s="506">
        <v>80</v>
      </c>
      <c r="E663" s="506">
        <v>0</v>
      </c>
      <c r="F663" s="506">
        <v>0</v>
      </c>
      <c r="G663" s="507">
        <v>0</v>
      </c>
      <c r="H663" s="503"/>
      <c r="I663" s="503"/>
      <c r="J663" s="503"/>
      <c r="K663" s="503"/>
    </row>
    <row r="664" spans="1:11" ht="12">
      <c r="A664" s="504">
        <v>2141117086</v>
      </c>
      <c r="B664" s="539" t="s">
        <v>725</v>
      </c>
      <c r="C664" s="505" t="s">
        <v>720</v>
      </c>
      <c r="D664" s="506">
        <v>340</v>
      </c>
      <c r="E664" s="506">
        <v>230</v>
      </c>
      <c r="F664" s="506">
        <v>229</v>
      </c>
      <c r="G664" s="507">
        <v>1</v>
      </c>
      <c r="H664" s="503"/>
      <c r="I664" s="503"/>
      <c r="J664" s="503"/>
      <c r="K664" s="503"/>
    </row>
    <row r="665" spans="1:11" ht="12">
      <c r="A665" s="504">
        <v>2141117087</v>
      </c>
      <c r="B665" s="539" t="s">
        <v>726</v>
      </c>
      <c r="C665" s="505" t="s">
        <v>720</v>
      </c>
      <c r="D665" s="506">
        <v>500</v>
      </c>
      <c r="E665" s="506">
        <v>0</v>
      </c>
      <c r="F665" s="506">
        <v>0</v>
      </c>
      <c r="G665" s="507">
        <v>0</v>
      </c>
      <c r="H665" s="503"/>
      <c r="I665" s="503"/>
      <c r="J665" s="503"/>
      <c r="K665" s="503"/>
    </row>
    <row r="666" spans="1:11" ht="12">
      <c r="A666" s="504">
        <v>2141117088</v>
      </c>
      <c r="B666" s="539" t="s">
        <v>727</v>
      </c>
      <c r="C666" s="505" t="s">
        <v>720</v>
      </c>
      <c r="D666" s="506">
        <v>950</v>
      </c>
      <c r="E666" s="506">
        <v>0</v>
      </c>
      <c r="F666" s="506">
        <v>0</v>
      </c>
      <c r="G666" s="507">
        <v>0</v>
      </c>
      <c r="H666" s="503"/>
      <c r="I666" s="503"/>
      <c r="J666" s="503"/>
      <c r="K666" s="503"/>
    </row>
    <row r="667" spans="1:11" ht="12">
      <c r="A667" s="504">
        <v>2141117089</v>
      </c>
      <c r="B667" s="539" t="s">
        <v>715</v>
      </c>
      <c r="C667" s="505" t="s">
        <v>720</v>
      </c>
      <c r="D667" s="506">
        <v>500</v>
      </c>
      <c r="E667" s="506">
        <v>0</v>
      </c>
      <c r="F667" s="506">
        <v>0</v>
      </c>
      <c r="G667" s="507">
        <v>0</v>
      </c>
      <c r="H667" s="503"/>
      <c r="I667" s="503"/>
      <c r="J667" s="503"/>
      <c r="K667" s="503"/>
    </row>
    <row r="668" spans="1:11" ht="12">
      <c r="A668" s="504">
        <v>2141117090</v>
      </c>
      <c r="B668" s="539" t="s">
        <v>728</v>
      </c>
      <c r="C668" s="505" t="s">
        <v>720</v>
      </c>
      <c r="D668" s="506">
        <v>100</v>
      </c>
      <c r="E668" s="506">
        <v>0</v>
      </c>
      <c r="F668" s="506">
        <v>0</v>
      </c>
      <c r="G668" s="507">
        <v>0</v>
      </c>
      <c r="H668" s="503"/>
      <c r="I668" s="503"/>
      <c r="J668" s="503"/>
      <c r="K668" s="503"/>
    </row>
    <row r="669" spans="1:11" ht="12">
      <c r="A669" s="504">
        <v>2141117091</v>
      </c>
      <c r="B669" s="539" t="s">
        <v>729</v>
      </c>
      <c r="C669" s="505" t="s">
        <v>720</v>
      </c>
      <c r="D669" s="506">
        <v>180</v>
      </c>
      <c r="E669" s="506">
        <v>0</v>
      </c>
      <c r="F669" s="506">
        <v>0</v>
      </c>
      <c r="G669" s="507">
        <v>0</v>
      </c>
      <c r="H669" s="503"/>
      <c r="I669" s="503"/>
      <c r="J669" s="503"/>
      <c r="K669" s="503"/>
    </row>
    <row r="670" spans="1:11" ht="12">
      <c r="A670" s="504">
        <v>2141117092</v>
      </c>
      <c r="B670" s="539" t="s">
        <v>730</v>
      </c>
      <c r="C670" s="505" t="s">
        <v>720</v>
      </c>
      <c r="D670" s="506">
        <v>450</v>
      </c>
      <c r="E670" s="506">
        <v>0</v>
      </c>
      <c r="F670" s="506">
        <v>0</v>
      </c>
      <c r="G670" s="507">
        <v>0</v>
      </c>
      <c r="H670" s="503"/>
      <c r="I670" s="503"/>
      <c r="J670" s="503"/>
      <c r="K670" s="503"/>
    </row>
    <row r="671" spans="1:11" ht="12">
      <c r="A671" s="504">
        <v>2141117093</v>
      </c>
      <c r="B671" s="539" t="s">
        <v>731</v>
      </c>
      <c r="C671" s="505" t="s">
        <v>1137</v>
      </c>
      <c r="D671" s="506">
        <v>10015</v>
      </c>
      <c r="E671" s="506">
        <v>8605</v>
      </c>
      <c r="F671" s="506">
        <v>9679</v>
      </c>
      <c r="G671" s="507">
        <v>6</v>
      </c>
      <c r="H671" s="503"/>
      <c r="I671" s="503"/>
      <c r="J671" s="503"/>
      <c r="K671" s="503"/>
    </row>
    <row r="672" spans="1:11" ht="12">
      <c r="A672" s="504">
        <v>2141117094</v>
      </c>
      <c r="B672" s="539" t="s">
        <v>678</v>
      </c>
      <c r="C672" s="505" t="s">
        <v>1137</v>
      </c>
      <c r="D672" s="506">
        <v>3565</v>
      </c>
      <c r="E672" s="506">
        <v>3925</v>
      </c>
      <c r="F672" s="506">
        <v>4144</v>
      </c>
      <c r="G672" s="507">
        <v>1</v>
      </c>
      <c r="H672" s="503"/>
      <c r="I672" s="503"/>
      <c r="J672" s="503"/>
      <c r="K672" s="503"/>
    </row>
    <row r="673" spans="1:11" ht="12">
      <c r="A673" s="504">
        <v>2141117095</v>
      </c>
      <c r="B673" s="539" t="s">
        <v>732</v>
      </c>
      <c r="C673" s="505" t="s">
        <v>1137</v>
      </c>
      <c r="D673" s="506">
        <v>28136</v>
      </c>
      <c r="E673" s="506">
        <v>35401</v>
      </c>
      <c r="F673" s="506">
        <v>35389</v>
      </c>
      <c r="G673" s="507">
        <v>12</v>
      </c>
      <c r="H673" s="503"/>
      <c r="I673" s="503"/>
      <c r="J673" s="503"/>
      <c r="K673" s="503"/>
    </row>
    <row r="674" spans="1:11" ht="12">
      <c r="A674" s="504">
        <v>2141117096</v>
      </c>
      <c r="B674" s="539" t="s">
        <v>733</v>
      </c>
      <c r="C674" s="505" t="s">
        <v>1137</v>
      </c>
      <c r="D674" s="506">
        <v>15441</v>
      </c>
      <c r="E674" s="506">
        <v>15276</v>
      </c>
      <c r="F674" s="506">
        <v>18456</v>
      </c>
      <c r="G674" s="507">
        <v>2</v>
      </c>
      <c r="H674" s="503"/>
      <c r="I674" s="503"/>
      <c r="J674" s="503"/>
      <c r="K674" s="503"/>
    </row>
    <row r="675" spans="1:11" ht="12">
      <c r="A675" s="504">
        <v>2141117097</v>
      </c>
      <c r="B675" s="539" t="s">
        <v>693</v>
      </c>
      <c r="C675" s="505" t="s">
        <v>1137</v>
      </c>
      <c r="D675" s="506">
        <v>2600</v>
      </c>
      <c r="E675" s="506">
        <v>2600</v>
      </c>
      <c r="F675" s="506">
        <v>2600</v>
      </c>
      <c r="G675" s="507">
        <v>0</v>
      </c>
      <c r="H675" s="503"/>
      <c r="I675" s="503"/>
      <c r="J675" s="503"/>
      <c r="K675" s="503"/>
    </row>
    <row r="676" spans="1:11" ht="12">
      <c r="A676" s="504">
        <v>2141117098</v>
      </c>
      <c r="B676" s="539" t="s">
        <v>734</v>
      </c>
      <c r="C676" s="505" t="s">
        <v>1137</v>
      </c>
      <c r="D676" s="506">
        <v>20330</v>
      </c>
      <c r="E676" s="506">
        <v>19407</v>
      </c>
      <c r="F676" s="506">
        <v>19048</v>
      </c>
      <c r="G676" s="507">
        <v>359</v>
      </c>
      <c r="H676" s="503"/>
      <c r="I676" s="503"/>
      <c r="J676" s="503"/>
      <c r="K676" s="503"/>
    </row>
    <row r="677" spans="1:11" ht="12">
      <c r="A677" s="504">
        <v>2141117099</v>
      </c>
      <c r="B677" s="539" t="s">
        <v>735</v>
      </c>
      <c r="C677" s="505" t="s">
        <v>1137</v>
      </c>
      <c r="D677" s="506">
        <v>0</v>
      </c>
      <c r="E677" s="506">
        <v>0</v>
      </c>
      <c r="F677" s="506">
        <v>3238</v>
      </c>
      <c r="G677" s="507">
        <v>0</v>
      </c>
      <c r="H677" s="503"/>
      <c r="I677" s="503"/>
      <c r="J677" s="503"/>
      <c r="K677" s="503"/>
    </row>
    <row r="678" spans="1:11" ht="12">
      <c r="A678" s="504">
        <v>2141117100</v>
      </c>
      <c r="B678" s="539" t="s">
        <v>736</v>
      </c>
      <c r="C678" s="505" t="s">
        <v>1137</v>
      </c>
      <c r="D678" s="506">
        <v>800</v>
      </c>
      <c r="E678" s="506">
        <v>900</v>
      </c>
      <c r="F678" s="506">
        <v>894</v>
      </c>
      <c r="G678" s="507">
        <v>6</v>
      </c>
      <c r="H678" s="503"/>
      <c r="I678" s="503"/>
      <c r="J678" s="503"/>
      <c r="K678" s="503"/>
    </row>
    <row r="679" spans="1:11" ht="12">
      <c r="A679" s="504">
        <v>2141117101</v>
      </c>
      <c r="B679" s="539" t="s">
        <v>1923</v>
      </c>
      <c r="C679" s="505" t="s">
        <v>1137</v>
      </c>
      <c r="D679" s="506">
        <v>2500</v>
      </c>
      <c r="E679" s="506">
        <v>3100</v>
      </c>
      <c r="F679" s="506">
        <v>2989</v>
      </c>
      <c r="G679" s="507">
        <v>111</v>
      </c>
      <c r="H679" s="503"/>
      <c r="I679" s="503"/>
      <c r="J679" s="503"/>
      <c r="K679" s="503"/>
    </row>
    <row r="680" spans="1:11" ht="12">
      <c r="A680" s="504">
        <v>2141117102</v>
      </c>
      <c r="B680" s="539" t="s">
        <v>1924</v>
      </c>
      <c r="C680" s="505" t="s">
        <v>1137</v>
      </c>
      <c r="D680" s="506">
        <v>400</v>
      </c>
      <c r="E680" s="506">
        <v>500</v>
      </c>
      <c r="F680" s="506">
        <v>475</v>
      </c>
      <c r="G680" s="507">
        <v>25</v>
      </c>
      <c r="H680" s="503"/>
      <c r="I680" s="503"/>
      <c r="J680" s="503"/>
      <c r="K680" s="503"/>
    </row>
    <row r="681" spans="1:11" ht="12">
      <c r="A681" s="504">
        <v>2141117103</v>
      </c>
      <c r="B681" s="539" t="s">
        <v>737</v>
      </c>
      <c r="C681" s="505" t="s">
        <v>1137</v>
      </c>
      <c r="D681" s="506">
        <v>11979</v>
      </c>
      <c r="E681" s="506">
        <v>7979</v>
      </c>
      <c r="F681" s="506">
        <v>7971</v>
      </c>
      <c r="G681" s="507">
        <v>8</v>
      </c>
      <c r="H681" s="503"/>
      <c r="I681" s="503"/>
      <c r="J681" s="503"/>
      <c r="K681" s="503"/>
    </row>
    <row r="682" spans="1:11" ht="12">
      <c r="A682" s="504">
        <v>2141117104</v>
      </c>
      <c r="B682" s="539" t="s">
        <v>738</v>
      </c>
      <c r="C682" s="505" t="s">
        <v>1137</v>
      </c>
      <c r="D682" s="506">
        <v>5259</v>
      </c>
      <c r="E682" s="506">
        <v>5259</v>
      </c>
      <c r="F682" s="506">
        <v>5252</v>
      </c>
      <c r="G682" s="507">
        <v>7</v>
      </c>
      <c r="H682" s="503"/>
      <c r="I682" s="503"/>
      <c r="J682" s="503"/>
      <c r="K682" s="503"/>
    </row>
    <row r="683" spans="1:11" ht="12">
      <c r="A683" s="504">
        <v>2141117105</v>
      </c>
      <c r="B683" s="539" t="s">
        <v>739</v>
      </c>
      <c r="C683" s="505" t="s">
        <v>1137</v>
      </c>
      <c r="D683" s="506">
        <v>5320</v>
      </c>
      <c r="E683" s="506">
        <v>5320</v>
      </c>
      <c r="F683" s="506">
        <v>5313</v>
      </c>
      <c r="G683" s="507">
        <v>7</v>
      </c>
      <c r="H683" s="503"/>
      <c r="I683" s="503"/>
      <c r="J683" s="503"/>
      <c r="K683" s="503"/>
    </row>
    <row r="684" spans="1:11" ht="12">
      <c r="A684" s="504">
        <v>2141117106</v>
      </c>
      <c r="B684" s="539" t="s">
        <v>740</v>
      </c>
      <c r="C684" s="179" t="s">
        <v>1137</v>
      </c>
      <c r="D684" s="506">
        <v>1953</v>
      </c>
      <c r="E684" s="506">
        <v>3003</v>
      </c>
      <c r="F684" s="506">
        <v>2998</v>
      </c>
      <c r="G684" s="507">
        <v>5</v>
      </c>
      <c r="H684" s="503"/>
      <c r="I684" s="503"/>
      <c r="J684" s="503"/>
      <c r="K684" s="503"/>
    </row>
    <row r="685" spans="1:11" ht="12">
      <c r="A685" s="504">
        <v>2141117107</v>
      </c>
      <c r="B685" s="539" t="s">
        <v>741</v>
      </c>
      <c r="C685" s="505" t="s">
        <v>1137</v>
      </c>
      <c r="D685" s="506">
        <v>60</v>
      </c>
      <c r="E685" s="506">
        <v>0</v>
      </c>
      <c r="F685" s="506">
        <v>0</v>
      </c>
      <c r="G685" s="507">
        <v>0</v>
      </c>
      <c r="H685" s="503"/>
      <c r="I685" s="503"/>
      <c r="J685" s="503"/>
      <c r="K685" s="503"/>
    </row>
    <row r="686" spans="1:11" ht="12">
      <c r="A686" s="504">
        <v>2141117108</v>
      </c>
      <c r="B686" s="539" t="s">
        <v>742</v>
      </c>
      <c r="C686" s="505" t="s">
        <v>1137</v>
      </c>
      <c r="D686" s="506">
        <v>2470</v>
      </c>
      <c r="E686" s="506">
        <v>2470</v>
      </c>
      <c r="F686" s="506">
        <v>1961</v>
      </c>
      <c r="G686" s="507">
        <v>509</v>
      </c>
      <c r="H686" s="503"/>
      <c r="I686" s="503"/>
      <c r="J686" s="503"/>
      <c r="K686" s="503"/>
    </row>
    <row r="687" spans="1:11" ht="12">
      <c r="A687" s="504">
        <v>2141117110</v>
      </c>
      <c r="B687" s="539" t="s">
        <v>743</v>
      </c>
      <c r="C687" s="505" t="s">
        <v>1159</v>
      </c>
      <c r="D687" s="506">
        <v>2000</v>
      </c>
      <c r="E687" s="506">
        <v>0</v>
      </c>
      <c r="F687" s="506">
        <v>0</v>
      </c>
      <c r="G687" s="507">
        <v>0</v>
      </c>
      <c r="H687" s="503"/>
      <c r="I687" s="503"/>
      <c r="J687" s="503"/>
      <c r="K687" s="503"/>
    </row>
    <row r="688" spans="1:11" ht="12">
      <c r="A688" s="504">
        <v>2141117112</v>
      </c>
      <c r="B688" s="539" t="s">
        <v>258</v>
      </c>
      <c r="C688" s="505" t="s">
        <v>1217</v>
      </c>
      <c r="D688" s="506">
        <v>4680</v>
      </c>
      <c r="E688" s="506">
        <v>0</v>
      </c>
      <c r="F688" s="506">
        <v>1015</v>
      </c>
      <c r="G688" s="507">
        <v>0</v>
      </c>
      <c r="H688" s="503"/>
      <c r="I688" s="503"/>
      <c r="J688" s="503"/>
      <c r="K688" s="503"/>
    </row>
    <row r="689" spans="1:11" ht="12">
      <c r="A689" s="504">
        <v>2141117113</v>
      </c>
      <c r="B689" s="539" t="s">
        <v>259</v>
      </c>
      <c r="C689" s="505" t="s">
        <v>1217</v>
      </c>
      <c r="D689" s="506">
        <v>760</v>
      </c>
      <c r="E689" s="506">
        <v>0</v>
      </c>
      <c r="F689" s="506">
        <v>0</v>
      </c>
      <c r="G689" s="507">
        <v>0</v>
      </c>
      <c r="H689" s="503"/>
      <c r="I689" s="503"/>
      <c r="J689" s="503"/>
      <c r="K689" s="503"/>
    </row>
    <row r="690" spans="1:11" ht="12">
      <c r="A690" s="504">
        <v>2141117114</v>
      </c>
      <c r="B690" s="539" t="s">
        <v>260</v>
      </c>
      <c r="C690" s="505" t="s">
        <v>1217</v>
      </c>
      <c r="D690" s="506">
        <v>1200</v>
      </c>
      <c r="E690" s="506">
        <v>1959</v>
      </c>
      <c r="F690" s="506">
        <v>1504</v>
      </c>
      <c r="G690" s="507">
        <v>455</v>
      </c>
      <c r="H690" s="503"/>
      <c r="I690" s="503"/>
      <c r="J690" s="503"/>
      <c r="K690" s="503"/>
    </row>
    <row r="691" spans="1:11" ht="12">
      <c r="A691" s="504">
        <v>2141117115</v>
      </c>
      <c r="B691" s="539" t="s">
        <v>261</v>
      </c>
      <c r="C691" s="505" t="s">
        <v>1217</v>
      </c>
      <c r="D691" s="506">
        <v>2780</v>
      </c>
      <c r="E691" s="506">
        <v>2780</v>
      </c>
      <c r="F691" s="506">
        <v>1948</v>
      </c>
      <c r="G691" s="507">
        <v>0</v>
      </c>
      <c r="H691" s="503"/>
      <c r="I691" s="503"/>
      <c r="J691" s="503"/>
      <c r="K691" s="503"/>
    </row>
    <row r="692" spans="1:11" ht="12">
      <c r="A692" s="504">
        <v>2141117116</v>
      </c>
      <c r="B692" s="539" t="s">
        <v>262</v>
      </c>
      <c r="C692" s="505" t="s">
        <v>1217</v>
      </c>
      <c r="D692" s="506">
        <v>900</v>
      </c>
      <c r="E692" s="506">
        <v>900</v>
      </c>
      <c r="F692" s="506">
        <v>900</v>
      </c>
      <c r="G692" s="507">
        <v>0</v>
      </c>
      <c r="H692" s="503"/>
      <c r="I692" s="503"/>
      <c r="J692" s="503"/>
      <c r="K692" s="503"/>
    </row>
    <row r="693" spans="1:11" ht="12">
      <c r="A693" s="504">
        <v>2141117117</v>
      </c>
      <c r="B693" s="539" t="s">
        <v>263</v>
      </c>
      <c r="C693" s="505" t="s">
        <v>1217</v>
      </c>
      <c r="D693" s="506">
        <v>2680</v>
      </c>
      <c r="E693" s="506">
        <v>0</v>
      </c>
      <c r="F693" s="506">
        <v>0</v>
      </c>
      <c r="G693" s="507">
        <v>0</v>
      </c>
      <c r="H693" s="503"/>
      <c r="I693" s="503"/>
      <c r="J693" s="503"/>
      <c r="K693" s="503"/>
    </row>
    <row r="694" spans="1:11" ht="12">
      <c r="A694" s="504">
        <v>2141117118</v>
      </c>
      <c r="B694" s="539" t="s">
        <v>264</v>
      </c>
      <c r="C694" s="505" t="s">
        <v>1217</v>
      </c>
      <c r="D694" s="506">
        <v>1150</v>
      </c>
      <c r="E694" s="506">
        <v>0</v>
      </c>
      <c r="F694" s="506">
        <v>0</v>
      </c>
      <c r="G694" s="507">
        <v>0</v>
      </c>
      <c r="H694" s="503"/>
      <c r="I694" s="503"/>
      <c r="J694" s="503"/>
      <c r="K694" s="503"/>
    </row>
    <row r="695" spans="1:11" ht="12">
      <c r="A695" s="504">
        <v>2141117119</v>
      </c>
      <c r="B695" s="539" t="s">
        <v>265</v>
      </c>
      <c r="C695" s="505" t="s">
        <v>1217</v>
      </c>
      <c r="D695" s="506">
        <v>2386</v>
      </c>
      <c r="E695" s="506">
        <v>0</v>
      </c>
      <c r="F695" s="506">
        <v>0</v>
      </c>
      <c r="G695" s="507">
        <v>0</v>
      </c>
      <c r="H695" s="503"/>
      <c r="I695" s="503"/>
      <c r="J695" s="503"/>
      <c r="K695" s="503"/>
    </row>
    <row r="696" spans="1:11" ht="12">
      <c r="A696" s="504">
        <v>2141117120</v>
      </c>
      <c r="B696" s="539" t="s">
        <v>266</v>
      </c>
      <c r="C696" s="505" t="s">
        <v>1217</v>
      </c>
      <c r="D696" s="506">
        <v>500</v>
      </c>
      <c r="E696" s="506">
        <v>500</v>
      </c>
      <c r="F696" s="506">
        <v>395</v>
      </c>
      <c r="G696" s="507">
        <v>0</v>
      </c>
      <c r="H696" s="503"/>
      <c r="I696" s="503"/>
      <c r="J696" s="503"/>
      <c r="K696" s="503"/>
    </row>
    <row r="697" spans="1:11" ht="12">
      <c r="A697" s="504">
        <v>2141117121</v>
      </c>
      <c r="B697" s="539" t="s">
        <v>267</v>
      </c>
      <c r="C697" s="505" t="s">
        <v>1217</v>
      </c>
      <c r="D697" s="506">
        <v>96</v>
      </c>
      <c r="E697" s="506">
        <v>96</v>
      </c>
      <c r="F697" s="506">
        <v>0</v>
      </c>
      <c r="G697" s="507">
        <v>96</v>
      </c>
      <c r="H697" s="503"/>
      <c r="I697" s="503"/>
      <c r="J697" s="503"/>
      <c r="K697" s="503"/>
    </row>
    <row r="698" spans="1:11" ht="12">
      <c r="A698" s="504">
        <v>2141117122</v>
      </c>
      <c r="B698" s="539" t="s">
        <v>268</v>
      </c>
      <c r="C698" s="505" t="s">
        <v>1217</v>
      </c>
      <c r="D698" s="506">
        <v>1700</v>
      </c>
      <c r="E698" s="506">
        <v>2200</v>
      </c>
      <c r="F698" s="506">
        <v>2198</v>
      </c>
      <c r="G698" s="507">
        <v>2</v>
      </c>
      <c r="H698" s="503"/>
      <c r="I698" s="503"/>
      <c r="J698" s="503"/>
      <c r="K698" s="503"/>
    </row>
    <row r="699" spans="1:11" ht="12">
      <c r="A699" s="504">
        <v>2141117123</v>
      </c>
      <c r="B699" s="539" t="s">
        <v>269</v>
      </c>
      <c r="C699" s="505" t="s">
        <v>1217</v>
      </c>
      <c r="D699" s="506">
        <v>2108</v>
      </c>
      <c r="E699" s="506">
        <v>0</v>
      </c>
      <c r="F699" s="506">
        <v>0</v>
      </c>
      <c r="G699" s="507">
        <v>0</v>
      </c>
      <c r="H699" s="503"/>
      <c r="I699" s="503"/>
      <c r="J699" s="503"/>
      <c r="K699" s="503"/>
    </row>
    <row r="700" spans="1:11" ht="12">
      <c r="A700" s="504">
        <v>2141117124</v>
      </c>
      <c r="B700" s="539" t="s">
        <v>270</v>
      </c>
      <c r="C700" s="505" t="s">
        <v>1217</v>
      </c>
      <c r="D700" s="506">
        <v>2607</v>
      </c>
      <c r="E700" s="506">
        <v>0</v>
      </c>
      <c r="F700" s="506">
        <v>0</v>
      </c>
      <c r="G700" s="507">
        <v>0</v>
      </c>
      <c r="H700" s="503"/>
      <c r="I700" s="503"/>
      <c r="J700" s="503"/>
      <c r="K700" s="503"/>
    </row>
    <row r="701" spans="1:11" ht="12">
      <c r="A701" s="504">
        <v>2141117125</v>
      </c>
      <c r="B701" s="539" t="s">
        <v>271</v>
      </c>
      <c r="C701" s="505" t="s">
        <v>1217</v>
      </c>
      <c r="D701" s="506">
        <v>72</v>
      </c>
      <c r="E701" s="506">
        <v>0</v>
      </c>
      <c r="F701" s="506">
        <v>0</v>
      </c>
      <c r="G701" s="507">
        <v>0</v>
      </c>
      <c r="H701" s="503"/>
      <c r="I701" s="503"/>
      <c r="J701" s="503"/>
      <c r="K701" s="503"/>
    </row>
    <row r="702" spans="1:11" ht="12">
      <c r="A702" s="504">
        <v>2141117126</v>
      </c>
      <c r="B702" s="539" t="s">
        <v>272</v>
      </c>
      <c r="C702" s="505" t="s">
        <v>1217</v>
      </c>
      <c r="D702" s="506">
        <v>1920</v>
      </c>
      <c r="E702" s="506">
        <v>1920</v>
      </c>
      <c r="F702" s="506">
        <v>100</v>
      </c>
      <c r="G702" s="507">
        <v>1820</v>
      </c>
      <c r="H702" s="503"/>
      <c r="I702" s="503"/>
      <c r="J702" s="503"/>
      <c r="K702" s="503"/>
    </row>
    <row r="703" spans="1:11" ht="12">
      <c r="A703" s="504">
        <v>2141117127</v>
      </c>
      <c r="B703" s="539" t="s">
        <v>273</v>
      </c>
      <c r="C703" s="505" t="s">
        <v>1217</v>
      </c>
      <c r="D703" s="506">
        <v>1595</v>
      </c>
      <c r="E703" s="506">
        <v>1595</v>
      </c>
      <c r="F703" s="506">
        <v>1380</v>
      </c>
      <c r="G703" s="507">
        <v>0</v>
      </c>
      <c r="H703" s="503"/>
      <c r="I703" s="503"/>
      <c r="J703" s="503"/>
      <c r="K703" s="503"/>
    </row>
    <row r="704" spans="1:11" ht="12">
      <c r="A704" s="504">
        <v>2141117128</v>
      </c>
      <c r="B704" s="539" t="s">
        <v>274</v>
      </c>
      <c r="C704" s="505" t="s">
        <v>1217</v>
      </c>
      <c r="D704" s="506">
        <v>200</v>
      </c>
      <c r="E704" s="506">
        <v>356</v>
      </c>
      <c r="F704" s="506">
        <v>0</v>
      </c>
      <c r="G704" s="507">
        <v>356</v>
      </c>
      <c r="H704" s="503"/>
      <c r="I704" s="503"/>
      <c r="J704" s="503"/>
      <c r="K704" s="503"/>
    </row>
    <row r="705" spans="1:11" ht="12">
      <c r="A705" s="504">
        <v>2141117129</v>
      </c>
      <c r="B705" s="539" t="s">
        <v>275</v>
      </c>
      <c r="C705" s="505" t="s">
        <v>1217</v>
      </c>
      <c r="D705" s="506">
        <v>4000</v>
      </c>
      <c r="E705" s="506">
        <v>920</v>
      </c>
      <c r="F705" s="506">
        <v>0</v>
      </c>
      <c r="G705" s="507">
        <v>144</v>
      </c>
      <c r="H705" s="503"/>
      <c r="I705" s="503"/>
      <c r="J705" s="503"/>
      <c r="K705" s="503"/>
    </row>
    <row r="706" spans="1:11" ht="12">
      <c r="A706" s="504">
        <v>2141117130</v>
      </c>
      <c r="B706" s="539" t="s">
        <v>276</v>
      </c>
      <c r="C706" s="505" t="s">
        <v>1217</v>
      </c>
      <c r="D706" s="506">
        <v>1200</v>
      </c>
      <c r="E706" s="506">
        <v>236</v>
      </c>
      <c r="F706" s="506">
        <v>0</v>
      </c>
      <c r="G706" s="507">
        <v>0</v>
      </c>
      <c r="H706" s="503"/>
      <c r="I706" s="503"/>
      <c r="J706" s="503"/>
      <c r="K706" s="503"/>
    </row>
    <row r="707" spans="1:11" ht="12">
      <c r="A707" s="504">
        <v>2141117131</v>
      </c>
      <c r="B707" s="539" t="s">
        <v>277</v>
      </c>
      <c r="C707" s="505" t="s">
        <v>1217</v>
      </c>
      <c r="D707" s="506">
        <v>0</v>
      </c>
      <c r="E707" s="506">
        <v>0</v>
      </c>
      <c r="F707" s="506">
        <v>1946</v>
      </c>
      <c r="G707" s="507">
        <v>0</v>
      </c>
      <c r="H707" s="503"/>
      <c r="I707" s="503"/>
      <c r="J707" s="503"/>
      <c r="K707" s="503"/>
    </row>
    <row r="708" spans="1:11" ht="12">
      <c r="A708" s="504">
        <v>2141117133</v>
      </c>
      <c r="B708" s="539" t="s">
        <v>278</v>
      </c>
      <c r="C708" s="505" t="s">
        <v>1217</v>
      </c>
      <c r="D708" s="506">
        <v>0</v>
      </c>
      <c r="E708" s="506">
        <v>11100</v>
      </c>
      <c r="F708" s="506">
        <v>1</v>
      </c>
      <c r="G708" s="507">
        <v>10861</v>
      </c>
      <c r="H708" s="503"/>
      <c r="I708" s="503"/>
      <c r="J708" s="503"/>
      <c r="K708" s="503"/>
    </row>
    <row r="709" spans="1:11" ht="12">
      <c r="A709" s="504">
        <v>2141117134</v>
      </c>
      <c r="B709" s="539" t="s">
        <v>279</v>
      </c>
      <c r="C709" s="505" t="s">
        <v>1217</v>
      </c>
      <c r="D709" s="506">
        <v>24268</v>
      </c>
      <c r="E709" s="506">
        <v>0</v>
      </c>
      <c r="F709" s="506">
        <v>0</v>
      </c>
      <c r="G709" s="507">
        <v>0</v>
      </c>
      <c r="H709" s="503"/>
      <c r="I709" s="503"/>
      <c r="J709" s="503"/>
      <c r="K709" s="503"/>
    </row>
    <row r="710" spans="1:11" ht="12">
      <c r="A710" s="504">
        <v>2141117135</v>
      </c>
      <c r="B710" s="539" t="s">
        <v>280</v>
      </c>
      <c r="C710" s="505" t="s">
        <v>1217</v>
      </c>
      <c r="D710" s="506">
        <v>80000</v>
      </c>
      <c r="E710" s="506">
        <v>80000</v>
      </c>
      <c r="F710" s="506">
        <v>0</v>
      </c>
      <c r="G710" s="507">
        <v>80000</v>
      </c>
      <c r="H710" s="503"/>
      <c r="I710" s="503"/>
      <c r="J710" s="503"/>
      <c r="K710" s="503"/>
    </row>
    <row r="711" spans="1:11" ht="12">
      <c r="A711" s="504">
        <v>2141117136</v>
      </c>
      <c r="B711" s="539" t="s">
        <v>281</v>
      </c>
      <c r="C711" s="505" t="s">
        <v>1217</v>
      </c>
      <c r="D711" s="506">
        <v>0</v>
      </c>
      <c r="E711" s="506">
        <v>16422</v>
      </c>
      <c r="F711" s="506">
        <v>0</v>
      </c>
      <c r="G711" s="507">
        <v>13991</v>
      </c>
      <c r="H711" s="503"/>
      <c r="I711" s="503"/>
      <c r="J711" s="503"/>
      <c r="K711" s="503"/>
    </row>
    <row r="712" spans="1:11" ht="12">
      <c r="A712" s="504">
        <v>2141117138</v>
      </c>
      <c r="B712" s="539" t="s">
        <v>282</v>
      </c>
      <c r="C712" s="505" t="s">
        <v>1217</v>
      </c>
      <c r="D712" s="506">
        <v>1050</v>
      </c>
      <c r="E712" s="506">
        <v>0</v>
      </c>
      <c r="F712" s="506">
        <v>0</v>
      </c>
      <c r="G712" s="507">
        <v>0</v>
      </c>
      <c r="H712" s="503"/>
      <c r="I712" s="503"/>
      <c r="J712" s="503"/>
      <c r="K712" s="503"/>
    </row>
    <row r="713" spans="1:11" ht="12">
      <c r="A713" s="504">
        <v>2141117140</v>
      </c>
      <c r="B713" s="539" t="s">
        <v>283</v>
      </c>
      <c r="C713" s="505" t="s">
        <v>1217</v>
      </c>
      <c r="D713" s="506">
        <v>465</v>
      </c>
      <c r="E713" s="506">
        <v>0</v>
      </c>
      <c r="F713" s="506">
        <v>0</v>
      </c>
      <c r="G713" s="507">
        <v>0</v>
      </c>
      <c r="H713" s="503"/>
      <c r="I713" s="503"/>
      <c r="J713" s="503"/>
      <c r="K713" s="503"/>
    </row>
    <row r="714" spans="1:11" ht="12">
      <c r="A714" s="504">
        <v>2141117141</v>
      </c>
      <c r="B714" s="539" t="s">
        <v>284</v>
      </c>
      <c r="C714" s="505" t="s">
        <v>1217</v>
      </c>
      <c r="D714" s="506">
        <v>75</v>
      </c>
      <c r="E714" s="506">
        <v>0</v>
      </c>
      <c r="F714" s="506">
        <v>0</v>
      </c>
      <c r="G714" s="507">
        <v>0</v>
      </c>
      <c r="H714" s="503"/>
      <c r="I714" s="503"/>
      <c r="J714" s="503"/>
      <c r="K714" s="503"/>
    </row>
    <row r="715" spans="1:11" ht="12">
      <c r="A715" s="504">
        <v>2141117142</v>
      </c>
      <c r="B715" s="539" t="s">
        <v>285</v>
      </c>
      <c r="C715" s="505" t="s">
        <v>1137</v>
      </c>
      <c r="D715" s="506">
        <v>40000</v>
      </c>
      <c r="E715" s="506">
        <v>37400</v>
      </c>
      <c r="F715" s="506">
        <v>0</v>
      </c>
      <c r="G715" s="507">
        <v>37400</v>
      </c>
      <c r="H715" s="503"/>
      <c r="I715" s="503"/>
      <c r="J715" s="503"/>
      <c r="K715" s="503"/>
    </row>
    <row r="716" spans="1:11" ht="12">
      <c r="A716" s="504">
        <v>2141117143</v>
      </c>
      <c r="B716" s="539" t="s">
        <v>286</v>
      </c>
      <c r="C716" s="505" t="s">
        <v>1208</v>
      </c>
      <c r="D716" s="506">
        <v>9000</v>
      </c>
      <c r="E716" s="506">
        <v>0</v>
      </c>
      <c r="F716" s="506">
        <v>0</v>
      </c>
      <c r="G716" s="507">
        <v>0</v>
      </c>
      <c r="H716" s="503"/>
      <c r="I716" s="503"/>
      <c r="J716" s="503"/>
      <c r="K716" s="503"/>
    </row>
    <row r="717" spans="1:11" ht="12">
      <c r="A717" s="504">
        <v>2141117144</v>
      </c>
      <c r="B717" s="539" t="s">
        <v>286</v>
      </c>
      <c r="C717" s="505" t="s">
        <v>692</v>
      </c>
      <c r="D717" s="506">
        <v>9000</v>
      </c>
      <c r="E717" s="506">
        <v>0</v>
      </c>
      <c r="F717" s="506">
        <v>0</v>
      </c>
      <c r="G717" s="507">
        <v>0</v>
      </c>
      <c r="H717" s="503"/>
      <c r="I717" s="503"/>
      <c r="J717" s="503"/>
      <c r="K717" s="503"/>
    </row>
    <row r="718" spans="1:11" ht="12">
      <c r="A718" s="504">
        <v>2141117145</v>
      </c>
      <c r="B718" s="539" t="s">
        <v>287</v>
      </c>
      <c r="C718" s="505" t="s">
        <v>699</v>
      </c>
      <c r="D718" s="506">
        <v>9000</v>
      </c>
      <c r="E718" s="506">
        <v>0</v>
      </c>
      <c r="F718" s="506">
        <v>0</v>
      </c>
      <c r="G718" s="507">
        <v>0</v>
      </c>
      <c r="H718" s="503"/>
      <c r="I718" s="503"/>
      <c r="J718" s="503"/>
      <c r="K718" s="503"/>
    </row>
    <row r="719" spans="1:11" ht="12">
      <c r="A719" s="504">
        <v>2141117146</v>
      </c>
      <c r="B719" s="539" t="s">
        <v>286</v>
      </c>
      <c r="C719" s="505" t="s">
        <v>668</v>
      </c>
      <c r="D719" s="506">
        <v>9000</v>
      </c>
      <c r="E719" s="506">
        <v>0</v>
      </c>
      <c r="F719" s="506">
        <v>0</v>
      </c>
      <c r="G719" s="507">
        <v>0</v>
      </c>
      <c r="H719" s="503"/>
      <c r="I719" s="503"/>
      <c r="J719" s="503"/>
      <c r="K719" s="503"/>
    </row>
    <row r="720" spans="1:11" ht="12">
      <c r="A720" s="504">
        <v>2141117147</v>
      </c>
      <c r="B720" s="539" t="s">
        <v>286</v>
      </c>
      <c r="C720" s="505" t="s">
        <v>720</v>
      </c>
      <c r="D720" s="506">
        <v>9000</v>
      </c>
      <c r="E720" s="506">
        <v>0</v>
      </c>
      <c r="F720" s="506">
        <v>0</v>
      </c>
      <c r="G720" s="507">
        <v>0</v>
      </c>
      <c r="H720" s="503"/>
      <c r="I720" s="503"/>
      <c r="J720" s="503"/>
      <c r="K720" s="503"/>
    </row>
    <row r="721" spans="1:11" ht="12">
      <c r="A721" s="504">
        <v>2141117148</v>
      </c>
      <c r="B721" s="539" t="s">
        <v>286</v>
      </c>
      <c r="C721" s="505" t="s">
        <v>1142</v>
      </c>
      <c r="D721" s="506">
        <v>8650</v>
      </c>
      <c r="E721" s="506">
        <v>0</v>
      </c>
      <c r="F721" s="506">
        <v>0</v>
      </c>
      <c r="G721" s="507">
        <v>0</v>
      </c>
      <c r="H721" s="503"/>
      <c r="I721" s="503"/>
      <c r="J721" s="503"/>
      <c r="K721" s="503"/>
    </row>
    <row r="722" spans="1:11" ht="12">
      <c r="A722" s="504">
        <v>2141117149</v>
      </c>
      <c r="B722" s="539" t="s">
        <v>286</v>
      </c>
      <c r="C722" s="505" t="s">
        <v>677</v>
      </c>
      <c r="D722" s="506">
        <v>9000</v>
      </c>
      <c r="E722" s="506">
        <v>0</v>
      </c>
      <c r="F722" s="506">
        <v>0</v>
      </c>
      <c r="G722" s="507">
        <v>0</v>
      </c>
      <c r="H722" s="503"/>
      <c r="I722" s="503"/>
      <c r="J722" s="503"/>
      <c r="K722" s="503"/>
    </row>
    <row r="723" spans="1:11" ht="12">
      <c r="A723" s="504">
        <v>2141117150</v>
      </c>
      <c r="B723" s="539" t="s">
        <v>287</v>
      </c>
      <c r="C723" s="505" t="s">
        <v>670</v>
      </c>
      <c r="D723" s="506">
        <v>9000</v>
      </c>
      <c r="E723" s="506">
        <v>0</v>
      </c>
      <c r="F723" s="506">
        <v>0</v>
      </c>
      <c r="G723" s="507">
        <v>0</v>
      </c>
      <c r="H723" s="503"/>
      <c r="I723" s="503"/>
      <c r="J723" s="503"/>
      <c r="K723" s="503"/>
    </row>
    <row r="724" spans="1:11" ht="12">
      <c r="A724" s="504">
        <v>2141117151</v>
      </c>
      <c r="B724" s="539" t="s">
        <v>287</v>
      </c>
      <c r="C724" s="505" t="s">
        <v>1217</v>
      </c>
      <c r="D724" s="506">
        <v>80000</v>
      </c>
      <c r="E724" s="506">
        <v>0</v>
      </c>
      <c r="F724" s="506">
        <v>0</v>
      </c>
      <c r="G724" s="507">
        <v>0</v>
      </c>
      <c r="H724" s="503"/>
      <c r="I724" s="503"/>
      <c r="J724" s="503"/>
      <c r="K724" s="503"/>
    </row>
    <row r="725" spans="1:11" ht="12">
      <c r="A725" s="504">
        <v>2141117152</v>
      </c>
      <c r="B725" s="539" t="s">
        <v>288</v>
      </c>
      <c r="C725" s="505" t="s">
        <v>1217</v>
      </c>
      <c r="D725" s="506">
        <v>0</v>
      </c>
      <c r="E725" s="506">
        <v>64301</v>
      </c>
      <c r="F725" s="506">
        <v>64300</v>
      </c>
      <c r="G725" s="507">
        <v>1</v>
      </c>
      <c r="H725" s="503"/>
      <c r="I725" s="503"/>
      <c r="J725" s="503"/>
      <c r="K725" s="503"/>
    </row>
    <row r="726" spans="1:11" ht="12">
      <c r="A726" s="504">
        <v>2141117153</v>
      </c>
      <c r="B726" s="539" t="s">
        <v>289</v>
      </c>
      <c r="C726" s="505" t="s">
        <v>668</v>
      </c>
      <c r="D726" s="506">
        <v>0</v>
      </c>
      <c r="E726" s="506">
        <v>487</v>
      </c>
      <c r="F726" s="506">
        <v>485</v>
      </c>
      <c r="G726" s="507">
        <v>2</v>
      </c>
      <c r="H726" s="503"/>
      <c r="I726" s="503"/>
      <c r="J726" s="503"/>
      <c r="K726" s="503"/>
    </row>
    <row r="727" spans="1:11" ht="12">
      <c r="A727" s="504">
        <v>2141117154</v>
      </c>
      <c r="B727" s="539" t="s">
        <v>666</v>
      </c>
      <c r="C727" s="505" t="s">
        <v>670</v>
      </c>
      <c r="D727" s="506">
        <v>11785</v>
      </c>
      <c r="E727" s="506">
        <v>10408</v>
      </c>
      <c r="F727" s="506">
        <v>10408</v>
      </c>
      <c r="G727" s="507">
        <v>0</v>
      </c>
      <c r="H727" s="503"/>
      <c r="I727" s="503"/>
      <c r="J727" s="503"/>
      <c r="K727" s="503"/>
    </row>
    <row r="728" spans="1:11" ht="12">
      <c r="A728" s="504">
        <v>2141117155</v>
      </c>
      <c r="B728" s="539" t="s">
        <v>666</v>
      </c>
      <c r="C728" s="505" t="s">
        <v>677</v>
      </c>
      <c r="D728" s="506">
        <v>4906</v>
      </c>
      <c r="E728" s="506">
        <v>5291</v>
      </c>
      <c r="F728" s="506">
        <v>5291</v>
      </c>
      <c r="G728" s="507">
        <v>0</v>
      </c>
      <c r="H728" s="503"/>
      <c r="I728" s="503"/>
      <c r="J728" s="503"/>
      <c r="K728" s="503"/>
    </row>
    <row r="729" spans="1:11" ht="12">
      <c r="A729" s="504">
        <v>2141117156</v>
      </c>
      <c r="B729" s="539" t="s">
        <v>290</v>
      </c>
      <c r="C729" s="505" t="s">
        <v>677</v>
      </c>
      <c r="D729" s="506">
        <v>39</v>
      </c>
      <c r="E729" s="506">
        <v>39</v>
      </c>
      <c r="F729" s="506">
        <v>38</v>
      </c>
      <c r="G729" s="507">
        <v>0</v>
      </c>
      <c r="H729" s="503"/>
      <c r="I729" s="503"/>
      <c r="J729" s="503"/>
      <c r="K729" s="503"/>
    </row>
    <row r="730" spans="1:11" ht="12">
      <c r="A730" s="504">
        <v>2141117157</v>
      </c>
      <c r="B730" s="539" t="s">
        <v>666</v>
      </c>
      <c r="C730" s="505" t="s">
        <v>692</v>
      </c>
      <c r="D730" s="506">
        <v>12500</v>
      </c>
      <c r="E730" s="506">
        <v>12134</v>
      </c>
      <c r="F730" s="506">
        <v>12133</v>
      </c>
      <c r="G730" s="507">
        <v>1</v>
      </c>
      <c r="H730" s="503"/>
      <c r="I730" s="503"/>
      <c r="J730" s="503"/>
      <c r="K730" s="503"/>
    </row>
    <row r="731" spans="1:11" ht="12">
      <c r="A731" s="504">
        <v>2141117158</v>
      </c>
      <c r="B731" s="539" t="s">
        <v>666</v>
      </c>
      <c r="C731" s="505" t="s">
        <v>699</v>
      </c>
      <c r="D731" s="506">
        <v>10729</v>
      </c>
      <c r="E731" s="506">
        <v>10933</v>
      </c>
      <c r="F731" s="506">
        <v>10932</v>
      </c>
      <c r="G731" s="507">
        <v>1</v>
      </c>
      <c r="H731" s="503"/>
      <c r="I731" s="503"/>
      <c r="J731" s="503"/>
      <c r="K731" s="503"/>
    </row>
    <row r="732" spans="1:11" ht="12">
      <c r="A732" s="504">
        <v>2141117159</v>
      </c>
      <c r="B732" s="539" t="s">
        <v>666</v>
      </c>
      <c r="C732" s="505" t="s">
        <v>668</v>
      </c>
      <c r="D732" s="506">
        <v>7831</v>
      </c>
      <c r="E732" s="506">
        <v>8118</v>
      </c>
      <c r="F732" s="506">
        <v>8117</v>
      </c>
      <c r="G732" s="507">
        <v>1</v>
      </c>
      <c r="H732" s="503"/>
      <c r="I732" s="503"/>
      <c r="J732" s="503"/>
      <c r="K732" s="503"/>
    </row>
    <row r="733" spans="1:11" ht="12">
      <c r="A733" s="504">
        <v>2141117160</v>
      </c>
      <c r="B733" s="539" t="s">
        <v>666</v>
      </c>
      <c r="C733" s="505" t="s">
        <v>720</v>
      </c>
      <c r="D733" s="506">
        <v>9772</v>
      </c>
      <c r="E733" s="506">
        <v>9676</v>
      </c>
      <c r="F733" s="506">
        <v>9676</v>
      </c>
      <c r="G733" s="507">
        <v>0</v>
      </c>
      <c r="H733" s="503"/>
      <c r="I733" s="503"/>
      <c r="J733" s="503"/>
      <c r="K733" s="503"/>
    </row>
    <row r="734" spans="1:11" ht="12">
      <c r="A734" s="504">
        <v>2141117161</v>
      </c>
      <c r="B734" s="539" t="s">
        <v>666</v>
      </c>
      <c r="C734" s="505" t="s">
        <v>1208</v>
      </c>
      <c r="D734" s="506">
        <v>7160</v>
      </c>
      <c r="E734" s="506">
        <v>6111</v>
      </c>
      <c r="F734" s="506">
        <v>6109</v>
      </c>
      <c r="G734" s="507">
        <v>2</v>
      </c>
      <c r="H734" s="503"/>
      <c r="I734" s="503"/>
      <c r="J734" s="503"/>
      <c r="K734" s="503"/>
    </row>
    <row r="735" spans="1:11" ht="12">
      <c r="A735" s="504">
        <v>2141117162</v>
      </c>
      <c r="B735" s="539" t="s">
        <v>666</v>
      </c>
      <c r="C735" s="505" t="s">
        <v>1142</v>
      </c>
      <c r="D735" s="506">
        <v>13200</v>
      </c>
      <c r="E735" s="506">
        <v>13200</v>
      </c>
      <c r="F735" s="506">
        <v>13200</v>
      </c>
      <c r="G735" s="507">
        <v>0</v>
      </c>
      <c r="H735" s="503"/>
      <c r="I735" s="503"/>
      <c r="J735" s="503"/>
      <c r="K735" s="503"/>
    </row>
    <row r="736" spans="1:11" ht="12">
      <c r="A736" s="504">
        <v>2141117163</v>
      </c>
      <c r="B736" s="539" t="s">
        <v>291</v>
      </c>
      <c r="C736" s="505" t="s">
        <v>1142</v>
      </c>
      <c r="D736" s="506">
        <v>0</v>
      </c>
      <c r="E736" s="506">
        <v>500</v>
      </c>
      <c r="F736" s="506">
        <v>494</v>
      </c>
      <c r="G736" s="507">
        <v>6</v>
      </c>
      <c r="H736" s="503"/>
      <c r="I736" s="503"/>
      <c r="J736" s="503"/>
      <c r="K736" s="503"/>
    </row>
    <row r="737" spans="1:11" ht="12">
      <c r="A737" s="504">
        <v>2141117164</v>
      </c>
      <c r="B737" s="539" t="s">
        <v>1341</v>
      </c>
      <c r="C737" s="505" t="s">
        <v>1142</v>
      </c>
      <c r="D737" s="506">
        <v>0</v>
      </c>
      <c r="E737" s="506">
        <v>5983</v>
      </c>
      <c r="F737" s="506">
        <v>5982</v>
      </c>
      <c r="G737" s="507">
        <v>1</v>
      </c>
      <c r="H737" s="503"/>
      <c r="I737" s="503"/>
      <c r="J737" s="503"/>
      <c r="K737" s="503"/>
    </row>
    <row r="738" spans="1:11" ht="12">
      <c r="A738" s="504">
        <v>2141117165</v>
      </c>
      <c r="B738" s="539" t="s">
        <v>292</v>
      </c>
      <c r="C738" s="505" t="s">
        <v>1217</v>
      </c>
      <c r="D738" s="506">
        <v>0</v>
      </c>
      <c r="E738" s="506">
        <v>8991</v>
      </c>
      <c r="F738" s="506">
        <v>8876</v>
      </c>
      <c r="G738" s="507">
        <v>115</v>
      </c>
      <c r="H738" s="503"/>
      <c r="I738" s="503"/>
      <c r="J738" s="503"/>
      <c r="K738" s="503"/>
    </row>
    <row r="739" spans="1:11" ht="12">
      <c r="A739" s="504">
        <v>2141117166</v>
      </c>
      <c r="B739" s="539" t="s">
        <v>293</v>
      </c>
      <c r="C739" s="505" t="s">
        <v>1217</v>
      </c>
      <c r="D739" s="506">
        <v>0</v>
      </c>
      <c r="E739" s="506">
        <v>17257</v>
      </c>
      <c r="F739" s="506">
        <v>17211</v>
      </c>
      <c r="G739" s="507">
        <v>46</v>
      </c>
      <c r="H739" s="503"/>
      <c r="I739" s="503"/>
      <c r="J739" s="503"/>
      <c r="K739" s="503"/>
    </row>
    <row r="740" spans="1:11" ht="12">
      <c r="A740" s="504">
        <v>2141117167</v>
      </c>
      <c r="B740" s="539" t="s">
        <v>294</v>
      </c>
      <c r="C740" s="505" t="s">
        <v>1217</v>
      </c>
      <c r="D740" s="506">
        <v>0</v>
      </c>
      <c r="E740" s="506">
        <v>7500</v>
      </c>
      <c r="F740" s="506">
        <v>1</v>
      </c>
      <c r="G740" s="507">
        <v>7499</v>
      </c>
      <c r="H740" s="503"/>
      <c r="I740" s="503"/>
      <c r="J740" s="503"/>
      <c r="K740" s="503"/>
    </row>
    <row r="741" spans="1:11" ht="12">
      <c r="A741" s="504">
        <v>2141117168</v>
      </c>
      <c r="B741" s="539" t="s">
        <v>295</v>
      </c>
      <c r="C741" s="505" t="s">
        <v>1217</v>
      </c>
      <c r="D741" s="506">
        <v>0</v>
      </c>
      <c r="E741" s="506">
        <v>43100</v>
      </c>
      <c r="F741" s="506">
        <v>42841</v>
      </c>
      <c r="G741" s="507">
        <v>259</v>
      </c>
      <c r="H741" s="503"/>
      <c r="I741" s="503"/>
      <c r="J741" s="503"/>
      <c r="K741" s="503"/>
    </row>
    <row r="742" spans="1:11" ht="12">
      <c r="A742" s="504">
        <v>2141117170</v>
      </c>
      <c r="B742" s="539" t="s">
        <v>296</v>
      </c>
      <c r="C742" s="505" t="s">
        <v>1217</v>
      </c>
      <c r="D742" s="506">
        <v>0</v>
      </c>
      <c r="E742" s="506">
        <v>26171</v>
      </c>
      <c r="F742" s="506">
        <v>26168</v>
      </c>
      <c r="G742" s="507">
        <v>3</v>
      </c>
      <c r="H742" s="503"/>
      <c r="I742" s="503"/>
      <c r="J742" s="503"/>
      <c r="K742" s="503"/>
    </row>
    <row r="743" spans="1:11" ht="12">
      <c r="A743" s="504">
        <v>2141117171</v>
      </c>
      <c r="B743" s="539" t="s">
        <v>297</v>
      </c>
      <c r="C743" s="505" t="s">
        <v>1217</v>
      </c>
      <c r="D743" s="506">
        <v>0</v>
      </c>
      <c r="E743" s="506">
        <v>15148</v>
      </c>
      <c r="F743" s="506">
        <v>15112</v>
      </c>
      <c r="G743" s="507">
        <v>36</v>
      </c>
      <c r="H743" s="503"/>
      <c r="I743" s="503"/>
      <c r="J743" s="503"/>
      <c r="K743" s="503"/>
    </row>
    <row r="744" spans="1:11" ht="12">
      <c r="A744" s="504">
        <v>2141117175</v>
      </c>
      <c r="B744" s="539" t="s">
        <v>298</v>
      </c>
      <c r="C744" s="505" t="s">
        <v>1217</v>
      </c>
      <c r="D744" s="506">
        <v>0</v>
      </c>
      <c r="E744" s="506">
        <v>400</v>
      </c>
      <c r="F744" s="506">
        <v>400</v>
      </c>
      <c r="G744" s="507">
        <v>0</v>
      </c>
      <c r="H744" s="503"/>
      <c r="I744" s="503"/>
      <c r="J744" s="503"/>
      <c r="K744" s="503"/>
    </row>
    <row r="745" spans="1:11" ht="12">
      <c r="A745" s="504">
        <v>2141117176</v>
      </c>
      <c r="B745" s="539" t="s">
        <v>299</v>
      </c>
      <c r="C745" s="505" t="s">
        <v>677</v>
      </c>
      <c r="D745" s="506">
        <v>0</v>
      </c>
      <c r="E745" s="506">
        <v>4482</v>
      </c>
      <c r="F745" s="506">
        <v>4479</v>
      </c>
      <c r="G745" s="507">
        <v>2</v>
      </c>
      <c r="H745" s="503"/>
      <c r="I745" s="503"/>
      <c r="J745" s="503"/>
      <c r="K745" s="503"/>
    </row>
    <row r="746" spans="1:11" ht="12">
      <c r="A746" s="504">
        <v>2141117177</v>
      </c>
      <c r="B746" s="539" t="s">
        <v>300</v>
      </c>
      <c r="C746" s="505" t="s">
        <v>1159</v>
      </c>
      <c r="D746" s="506">
        <v>0</v>
      </c>
      <c r="E746" s="506">
        <v>10896</v>
      </c>
      <c r="F746" s="506">
        <v>10892</v>
      </c>
      <c r="G746" s="507">
        <v>3</v>
      </c>
      <c r="H746" s="503"/>
      <c r="I746" s="503"/>
      <c r="J746" s="503"/>
      <c r="K746" s="503"/>
    </row>
    <row r="747" spans="1:11" ht="12">
      <c r="A747" s="504">
        <v>2141117179</v>
      </c>
      <c r="B747" s="539" t="s">
        <v>301</v>
      </c>
      <c r="C747" s="505" t="s">
        <v>1137</v>
      </c>
      <c r="D747" s="506">
        <v>0</v>
      </c>
      <c r="E747" s="506">
        <v>300</v>
      </c>
      <c r="F747" s="506">
        <v>72</v>
      </c>
      <c r="G747" s="507">
        <v>228</v>
      </c>
      <c r="H747" s="503"/>
      <c r="I747" s="503"/>
      <c r="J747" s="503"/>
      <c r="K747" s="503"/>
    </row>
    <row r="748" spans="1:11" ht="12">
      <c r="A748" s="504">
        <v>2141117180</v>
      </c>
      <c r="B748" s="539" t="s">
        <v>1306</v>
      </c>
      <c r="C748" s="505" t="s">
        <v>720</v>
      </c>
      <c r="D748" s="506">
        <v>0</v>
      </c>
      <c r="E748" s="506">
        <v>487</v>
      </c>
      <c r="F748" s="506">
        <v>487</v>
      </c>
      <c r="G748" s="507">
        <v>0</v>
      </c>
      <c r="H748" s="503"/>
      <c r="I748" s="503"/>
      <c r="J748" s="503"/>
      <c r="K748" s="503"/>
    </row>
    <row r="749" spans="1:11" ht="12">
      <c r="A749" s="504">
        <v>2141117181</v>
      </c>
      <c r="B749" s="539" t="s">
        <v>1307</v>
      </c>
      <c r="C749" s="505" t="s">
        <v>720</v>
      </c>
      <c r="D749" s="506">
        <v>0</v>
      </c>
      <c r="E749" s="506">
        <v>0</v>
      </c>
      <c r="F749" s="506">
        <v>186</v>
      </c>
      <c r="G749" s="507">
        <v>0</v>
      </c>
      <c r="H749" s="503"/>
      <c r="I749" s="503"/>
      <c r="J749" s="503"/>
      <c r="K749" s="503"/>
    </row>
    <row r="750" spans="1:11" ht="12">
      <c r="A750" s="504">
        <v>2141117182</v>
      </c>
      <c r="B750" s="539" t="s">
        <v>1308</v>
      </c>
      <c r="C750" s="505" t="s">
        <v>1142</v>
      </c>
      <c r="D750" s="506">
        <v>0</v>
      </c>
      <c r="E750" s="506">
        <v>332</v>
      </c>
      <c r="F750" s="506">
        <v>330</v>
      </c>
      <c r="G750" s="507">
        <v>2</v>
      </c>
      <c r="H750" s="503"/>
      <c r="I750" s="503"/>
      <c r="J750" s="503"/>
      <c r="K750" s="503"/>
    </row>
    <row r="751" spans="1:11" ht="12">
      <c r="A751" s="504">
        <v>2141117183</v>
      </c>
      <c r="B751" s="539" t="s">
        <v>1309</v>
      </c>
      <c r="C751" s="505" t="s">
        <v>1137</v>
      </c>
      <c r="D751" s="506">
        <v>0</v>
      </c>
      <c r="E751" s="506">
        <v>0</v>
      </c>
      <c r="F751" s="506">
        <v>6</v>
      </c>
      <c r="G751" s="507">
        <v>0</v>
      </c>
      <c r="H751" s="503"/>
      <c r="I751" s="503"/>
      <c r="J751" s="503"/>
      <c r="K751" s="503"/>
    </row>
    <row r="752" spans="1:11" ht="12">
      <c r="A752" s="504">
        <v>2141117184</v>
      </c>
      <c r="B752" s="539" t="s">
        <v>1310</v>
      </c>
      <c r="C752" s="505" t="s">
        <v>1159</v>
      </c>
      <c r="D752" s="506">
        <v>0</v>
      </c>
      <c r="E752" s="506">
        <v>5106</v>
      </c>
      <c r="F752" s="506">
        <v>5106</v>
      </c>
      <c r="G752" s="507">
        <v>0</v>
      </c>
      <c r="H752" s="503"/>
      <c r="I752" s="503"/>
      <c r="J752" s="503"/>
      <c r="K752" s="503"/>
    </row>
    <row r="753" spans="1:11" ht="12">
      <c r="A753" s="504">
        <v>2141117185</v>
      </c>
      <c r="B753" s="539" t="s">
        <v>1311</v>
      </c>
      <c r="C753" s="505" t="s">
        <v>1137</v>
      </c>
      <c r="D753" s="506">
        <v>0</v>
      </c>
      <c r="E753" s="506">
        <v>368</v>
      </c>
      <c r="F753" s="506">
        <v>366</v>
      </c>
      <c r="G753" s="507">
        <v>2</v>
      </c>
      <c r="H753" s="503"/>
      <c r="I753" s="503"/>
      <c r="J753" s="503"/>
      <c r="K753" s="503"/>
    </row>
    <row r="754" spans="1:11" ht="12">
      <c r="A754" s="504">
        <v>2141117186</v>
      </c>
      <c r="B754" s="539" t="s">
        <v>1312</v>
      </c>
      <c r="C754" s="505" t="s">
        <v>1137</v>
      </c>
      <c r="D754" s="506">
        <v>0</v>
      </c>
      <c r="E754" s="506">
        <v>445</v>
      </c>
      <c r="F754" s="506">
        <v>445</v>
      </c>
      <c r="G754" s="507">
        <v>0</v>
      </c>
      <c r="H754" s="503"/>
      <c r="I754" s="503"/>
      <c r="J754" s="503"/>
      <c r="K754" s="503"/>
    </row>
    <row r="755" spans="1:11" ht="12">
      <c r="A755" s="504">
        <v>2141117192</v>
      </c>
      <c r="B755" s="539" t="s">
        <v>1313</v>
      </c>
      <c r="C755" s="505" t="s">
        <v>677</v>
      </c>
      <c r="D755" s="506">
        <v>0</v>
      </c>
      <c r="E755" s="506">
        <v>150</v>
      </c>
      <c r="F755" s="506">
        <v>127</v>
      </c>
      <c r="G755" s="507">
        <v>0</v>
      </c>
      <c r="H755" s="503"/>
      <c r="I755" s="503"/>
      <c r="J755" s="503"/>
      <c r="K755" s="503"/>
    </row>
    <row r="756" spans="1:11" ht="12">
      <c r="A756" s="504">
        <v>2141117195</v>
      </c>
      <c r="B756" s="539" t="s">
        <v>1314</v>
      </c>
      <c r="C756" s="505" t="s">
        <v>1217</v>
      </c>
      <c r="D756" s="506">
        <v>0</v>
      </c>
      <c r="E756" s="506">
        <v>412</v>
      </c>
      <c r="F756" s="506">
        <v>215</v>
      </c>
      <c r="G756" s="507">
        <v>171</v>
      </c>
      <c r="H756" s="503"/>
      <c r="I756" s="503"/>
      <c r="J756" s="503"/>
      <c r="K756" s="503"/>
    </row>
    <row r="757" spans="1:11" ht="12">
      <c r="A757" s="504">
        <v>2141117196</v>
      </c>
      <c r="B757" s="539" t="s">
        <v>1315</v>
      </c>
      <c r="C757" s="505" t="s">
        <v>692</v>
      </c>
      <c r="D757" s="506">
        <v>0</v>
      </c>
      <c r="E757" s="506">
        <v>0</v>
      </c>
      <c r="F757" s="506">
        <v>705</v>
      </c>
      <c r="G757" s="507">
        <v>0</v>
      </c>
      <c r="H757" s="503"/>
      <c r="I757" s="503"/>
      <c r="J757" s="503"/>
      <c r="K757" s="503"/>
    </row>
    <row r="758" spans="1:11" ht="12">
      <c r="A758" s="504">
        <v>2141117197</v>
      </c>
      <c r="B758" s="539" t="s">
        <v>1316</v>
      </c>
      <c r="C758" s="505" t="s">
        <v>677</v>
      </c>
      <c r="D758" s="506">
        <v>0</v>
      </c>
      <c r="E758" s="506">
        <v>796</v>
      </c>
      <c r="F758" s="506">
        <v>795</v>
      </c>
      <c r="G758" s="507">
        <v>1</v>
      </c>
      <c r="H758" s="503"/>
      <c r="I758" s="503"/>
      <c r="J758" s="503"/>
      <c r="K758" s="503"/>
    </row>
    <row r="759" spans="1:11" ht="12">
      <c r="A759" s="504">
        <v>2141117198</v>
      </c>
      <c r="B759" s="539" t="s">
        <v>1317</v>
      </c>
      <c r="C759" s="505" t="s">
        <v>677</v>
      </c>
      <c r="D759" s="506">
        <v>0</v>
      </c>
      <c r="E759" s="506">
        <v>777</v>
      </c>
      <c r="F759" s="506">
        <v>774</v>
      </c>
      <c r="G759" s="507">
        <v>2</v>
      </c>
      <c r="H759" s="503"/>
      <c r="I759" s="503"/>
      <c r="J759" s="503"/>
      <c r="K759" s="503"/>
    </row>
    <row r="760" spans="1:11" ht="12">
      <c r="A760" s="504">
        <v>2141117199</v>
      </c>
      <c r="B760" s="539" t="s">
        <v>1318</v>
      </c>
      <c r="C760" s="505" t="s">
        <v>677</v>
      </c>
      <c r="D760" s="506">
        <v>0</v>
      </c>
      <c r="E760" s="506">
        <v>666</v>
      </c>
      <c r="F760" s="506">
        <v>665</v>
      </c>
      <c r="G760" s="507">
        <v>1</v>
      </c>
      <c r="H760" s="503"/>
      <c r="I760" s="503"/>
      <c r="J760" s="503"/>
      <c r="K760" s="503"/>
    </row>
    <row r="761" spans="1:11" ht="12">
      <c r="A761" s="504">
        <v>2141117200</v>
      </c>
      <c r="B761" s="539" t="s">
        <v>1319</v>
      </c>
      <c r="C761" s="505" t="s">
        <v>1142</v>
      </c>
      <c r="D761" s="506">
        <v>0</v>
      </c>
      <c r="E761" s="506">
        <v>67</v>
      </c>
      <c r="F761" s="506">
        <v>66</v>
      </c>
      <c r="G761" s="507">
        <v>1</v>
      </c>
      <c r="H761" s="503"/>
      <c r="I761" s="503"/>
      <c r="J761" s="503"/>
      <c r="K761" s="503"/>
    </row>
    <row r="762" spans="1:11" ht="12">
      <c r="A762" s="504">
        <v>2141117201</v>
      </c>
      <c r="B762" s="539" t="s">
        <v>1320</v>
      </c>
      <c r="C762" s="505" t="s">
        <v>1142</v>
      </c>
      <c r="D762" s="506">
        <v>0</v>
      </c>
      <c r="E762" s="506">
        <v>163</v>
      </c>
      <c r="F762" s="506">
        <v>163</v>
      </c>
      <c r="G762" s="507">
        <v>0</v>
      </c>
      <c r="H762" s="503"/>
      <c r="I762" s="503"/>
      <c r="J762" s="503"/>
      <c r="K762" s="503"/>
    </row>
    <row r="763" spans="1:11" ht="12">
      <c r="A763" s="504">
        <v>2141117202</v>
      </c>
      <c r="B763" s="539" t="s">
        <v>1321</v>
      </c>
      <c r="C763" s="505" t="s">
        <v>1142</v>
      </c>
      <c r="D763" s="506">
        <v>0</v>
      </c>
      <c r="E763" s="506">
        <v>100</v>
      </c>
      <c r="F763" s="506">
        <v>99</v>
      </c>
      <c r="G763" s="507">
        <v>1</v>
      </c>
      <c r="H763" s="503"/>
      <c r="I763" s="503"/>
      <c r="J763" s="503"/>
      <c r="K763" s="503"/>
    </row>
    <row r="764" spans="1:11" ht="12">
      <c r="A764" s="504">
        <v>2141117203</v>
      </c>
      <c r="B764" s="539" t="s">
        <v>1322</v>
      </c>
      <c r="C764" s="505" t="s">
        <v>670</v>
      </c>
      <c r="D764" s="506">
        <v>0</v>
      </c>
      <c r="E764" s="506">
        <v>200</v>
      </c>
      <c r="F764" s="506">
        <v>199</v>
      </c>
      <c r="G764" s="507">
        <v>1</v>
      </c>
      <c r="H764" s="503"/>
      <c r="I764" s="503"/>
      <c r="J764" s="503"/>
      <c r="K764" s="503"/>
    </row>
    <row r="765" spans="1:11" ht="12">
      <c r="A765" s="504">
        <v>2141117204</v>
      </c>
      <c r="B765" s="539" t="s">
        <v>1894</v>
      </c>
      <c r="C765" s="505" t="s">
        <v>677</v>
      </c>
      <c r="D765" s="506">
        <v>0</v>
      </c>
      <c r="E765" s="506">
        <v>210</v>
      </c>
      <c r="F765" s="506">
        <v>209</v>
      </c>
      <c r="G765" s="507">
        <v>0</v>
      </c>
      <c r="H765" s="503"/>
      <c r="I765" s="503"/>
      <c r="J765" s="503"/>
      <c r="K765" s="503"/>
    </row>
    <row r="766" spans="1:11" ht="12">
      <c r="A766" s="504">
        <v>2141117205</v>
      </c>
      <c r="B766" s="539" t="s">
        <v>1895</v>
      </c>
      <c r="C766" s="505" t="s">
        <v>1208</v>
      </c>
      <c r="D766" s="506">
        <v>0</v>
      </c>
      <c r="E766" s="506">
        <v>57</v>
      </c>
      <c r="F766" s="506">
        <v>42</v>
      </c>
      <c r="G766" s="507">
        <v>15</v>
      </c>
      <c r="H766" s="503"/>
      <c r="I766" s="503"/>
      <c r="J766" s="503"/>
      <c r="K766" s="503"/>
    </row>
    <row r="767" spans="1:11" ht="12">
      <c r="A767" s="504">
        <v>2141117206</v>
      </c>
      <c r="B767" s="539" t="s">
        <v>1896</v>
      </c>
      <c r="C767" s="505" t="s">
        <v>692</v>
      </c>
      <c r="D767" s="506">
        <v>0</v>
      </c>
      <c r="E767" s="506">
        <v>103</v>
      </c>
      <c r="F767" s="506">
        <v>102</v>
      </c>
      <c r="G767" s="507">
        <v>1</v>
      </c>
      <c r="H767" s="503"/>
      <c r="I767" s="503"/>
      <c r="J767" s="503"/>
      <c r="K767" s="503"/>
    </row>
    <row r="768" spans="1:11" ht="12">
      <c r="A768" s="504">
        <v>2141117207</v>
      </c>
      <c r="B768" s="539" t="s">
        <v>1897</v>
      </c>
      <c r="C768" s="505" t="s">
        <v>699</v>
      </c>
      <c r="D768" s="506">
        <v>0</v>
      </c>
      <c r="E768" s="506">
        <v>180</v>
      </c>
      <c r="F768" s="506">
        <v>179</v>
      </c>
      <c r="G768" s="507">
        <v>1</v>
      </c>
      <c r="H768" s="503"/>
      <c r="I768" s="503"/>
      <c r="J768" s="503"/>
      <c r="K768" s="503"/>
    </row>
    <row r="769" spans="1:11" ht="12">
      <c r="A769" s="504">
        <v>2141117208</v>
      </c>
      <c r="B769" s="539" t="s">
        <v>1898</v>
      </c>
      <c r="C769" s="505" t="s">
        <v>668</v>
      </c>
      <c r="D769" s="506">
        <v>0</v>
      </c>
      <c r="E769" s="506">
        <v>239</v>
      </c>
      <c r="F769" s="506">
        <v>239</v>
      </c>
      <c r="G769" s="507">
        <v>0</v>
      </c>
      <c r="H769" s="503"/>
      <c r="I769" s="503"/>
      <c r="J769" s="503"/>
      <c r="K769" s="503"/>
    </row>
    <row r="770" spans="1:11" ht="12">
      <c r="A770" s="504">
        <v>2141117209</v>
      </c>
      <c r="B770" s="539" t="s">
        <v>1899</v>
      </c>
      <c r="C770" s="505" t="s">
        <v>1142</v>
      </c>
      <c r="D770" s="506">
        <v>0</v>
      </c>
      <c r="E770" s="506">
        <v>187</v>
      </c>
      <c r="F770" s="506">
        <v>172</v>
      </c>
      <c r="G770" s="507">
        <v>15</v>
      </c>
      <c r="H770" s="503"/>
      <c r="I770" s="503"/>
      <c r="J770" s="503"/>
      <c r="K770" s="503"/>
    </row>
    <row r="771" spans="1:11" ht="12">
      <c r="A771" s="504">
        <v>2141117210</v>
      </c>
      <c r="B771" s="539" t="s">
        <v>1900</v>
      </c>
      <c r="C771" s="505" t="s">
        <v>720</v>
      </c>
      <c r="D771" s="506">
        <v>0</v>
      </c>
      <c r="E771" s="506">
        <v>226</v>
      </c>
      <c r="F771" s="506">
        <v>225</v>
      </c>
      <c r="G771" s="507">
        <v>1</v>
      </c>
      <c r="H771" s="503"/>
      <c r="I771" s="503"/>
      <c r="J771" s="503"/>
      <c r="K771" s="503"/>
    </row>
    <row r="772" spans="1:11" ht="12">
      <c r="A772" s="504">
        <v>2141117211</v>
      </c>
      <c r="B772" s="539" t="s">
        <v>1901</v>
      </c>
      <c r="C772" s="505" t="s">
        <v>1137</v>
      </c>
      <c r="D772" s="506">
        <v>0</v>
      </c>
      <c r="E772" s="506">
        <v>30</v>
      </c>
      <c r="F772" s="506">
        <v>24</v>
      </c>
      <c r="G772" s="507">
        <v>6</v>
      </c>
      <c r="H772" s="503"/>
      <c r="I772" s="503"/>
      <c r="J772" s="503"/>
      <c r="K772" s="503"/>
    </row>
    <row r="773" spans="1:11" ht="12">
      <c r="A773" s="504">
        <v>2141117212</v>
      </c>
      <c r="B773" s="539" t="s">
        <v>1902</v>
      </c>
      <c r="C773" s="505" t="s">
        <v>677</v>
      </c>
      <c r="D773" s="506">
        <v>0</v>
      </c>
      <c r="E773" s="506">
        <v>15</v>
      </c>
      <c r="F773" s="506">
        <v>15</v>
      </c>
      <c r="G773" s="507">
        <v>0</v>
      </c>
      <c r="H773" s="503"/>
      <c r="I773" s="503"/>
      <c r="J773" s="503"/>
      <c r="K773" s="503"/>
    </row>
    <row r="774" spans="1:11" ht="12">
      <c r="A774" s="504">
        <v>2141117213</v>
      </c>
      <c r="B774" s="539" t="s">
        <v>1903</v>
      </c>
      <c r="C774" s="505" t="s">
        <v>699</v>
      </c>
      <c r="D774" s="506">
        <v>0</v>
      </c>
      <c r="E774" s="506">
        <v>60</v>
      </c>
      <c r="F774" s="506">
        <v>58</v>
      </c>
      <c r="G774" s="507">
        <v>2</v>
      </c>
      <c r="H774" s="503"/>
      <c r="I774" s="503"/>
      <c r="J774" s="503"/>
      <c r="K774" s="503"/>
    </row>
    <row r="775" spans="1:11" ht="12">
      <c r="A775" s="504">
        <v>2141117214</v>
      </c>
      <c r="B775" s="539" t="s">
        <v>1904</v>
      </c>
      <c r="C775" s="505" t="s">
        <v>668</v>
      </c>
      <c r="D775" s="506">
        <v>0</v>
      </c>
      <c r="E775" s="506">
        <v>25</v>
      </c>
      <c r="F775" s="506">
        <v>25</v>
      </c>
      <c r="G775" s="507">
        <v>0</v>
      </c>
      <c r="H775" s="503"/>
      <c r="I775" s="503"/>
      <c r="J775" s="503"/>
      <c r="K775" s="503"/>
    </row>
    <row r="776" spans="1:11" ht="12">
      <c r="A776" s="504">
        <v>2141117215</v>
      </c>
      <c r="B776" s="539" t="s">
        <v>1905</v>
      </c>
      <c r="C776" s="505" t="s">
        <v>1142</v>
      </c>
      <c r="D776" s="506">
        <v>0</v>
      </c>
      <c r="E776" s="506">
        <v>58</v>
      </c>
      <c r="F776" s="506">
        <v>54</v>
      </c>
      <c r="G776" s="507">
        <v>4</v>
      </c>
      <c r="H776" s="503"/>
      <c r="I776" s="503"/>
      <c r="J776" s="503"/>
      <c r="K776" s="503"/>
    </row>
    <row r="777" spans="1:11" ht="12">
      <c r="A777" s="504">
        <v>2141117217</v>
      </c>
      <c r="B777" s="539" t="s">
        <v>1906</v>
      </c>
      <c r="C777" s="505" t="s">
        <v>670</v>
      </c>
      <c r="D777" s="506">
        <v>0</v>
      </c>
      <c r="E777" s="506">
        <v>0</v>
      </c>
      <c r="F777" s="506">
        <v>632</v>
      </c>
      <c r="G777" s="507">
        <v>0</v>
      </c>
      <c r="H777" s="503"/>
      <c r="I777" s="503"/>
      <c r="J777" s="503"/>
      <c r="K777" s="503"/>
    </row>
    <row r="778" spans="1:11" ht="12">
      <c r="A778" s="504">
        <v>2141117218</v>
      </c>
      <c r="B778" s="539" t="s">
        <v>1907</v>
      </c>
      <c r="C778" s="505" t="s">
        <v>668</v>
      </c>
      <c r="D778" s="506">
        <v>0</v>
      </c>
      <c r="E778" s="506">
        <v>2000</v>
      </c>
      <c r="F778" s="506">
        <v>2000</v>
      </c>
      <c r="G778" s="507">
        <v>0</v>
      </c>
      <c r="H778" s="503"/>
      <c r="I778" s="503"/>
      <c r="J778" s="503"/>
      <c r="K778" s="503"/>
    </row>
    <row r="779" spans="1:11" ht="12">
      <c r="A779" s="504">
        <v>2141117219</v>
      </c>
      <c r="B779" s="539" t="s">
        <v>1908</v>
      </c>
      <c r="C779" s="505" t="s">
        <v>1159</v>
      </c>
      <c r="D779" s="506">
        <v>0</v>
      </c>
      <c r="E779" s="506">
        <v>4957</v>
      </c>
      <c r="F779" s="506">
        <v>4957</v>
      </c>
      <c r="G779" s="507">
        <v>0</v>
      </c>
      <c r="H779" s="503"/>
      <c r="I779" s="503"/>
      <c r="J779" s="503"/>
      <c r="K779" s="503"/>
    </row>
    <row r="780" spans="1:11" ht="12">
      <c r="A780" s="504">
        <v>2141117220</v>
      </c>
      <c r="B780" s="539" t="s">
        <v>1909</v>
      </c>
      <c r="C780" s="505" t="s">
        <v>1159</v>
      </c>
      <c r="D780" s="506">
        <v>0</v>
      </c>
      <c r="E780" s="506">
        <v>494</v>
      </c>
      <c r="F780" s="506">
        <v>493</v>
      </c>
      <c r="G780" s="507">
        <v>1</v>
      </c>
      <c r="H780" s="503"/>
      <c r="I780" s="503"/>
      <c r="J780" s="503"/>
      <c r="K780" s="503"/>
    </row>
    <row r="781" spans="1:11" ht="12">
      <c r="A781" s="504">
        <v>2141117221</v>
      </c>
      <c r="B781" s="539" t="s">
        <v>1910</v>
      </c>
      <c r="C781" s="505" t="s">
        <v>1217</v>
      </c>
      <c r="D781" s="506">
        <v>0</v>
      </c>
      <c r="E781" s="506">
        <v>15000</v>
      </c>
      <c r="F781" s="506">
        <v>14908</v>
      </c>
      <c r="G781" s="507">
        <v>92</v>
      </c>
      <c r="H781" s="503"/>
      <c r="I781" s="503"/>
      <c r="J781" s="503"/>
      <c r="K781" s="503"/>
    </row>
    <row r="782" spans="1:11" ht="12">
      <c r="A782" s="504">
        <v>2141117222</v>
      </c>
      <c r="B782" s="539" t="s">
        <v>1911</v>
      </c>
      <c r="C782" s="505" t="s">
        <v>1159</v>
      </c>
      <c r="D782" s="506">
        <v>0</v>
      </c>
      <c r="E782" s="506">
        <v>14671</v>
      </c>
      <c r="F782" s="506">
        <v>14670</v>
      </c>
      <c r="G782" s="507">
        <v>1</v>
      </c>
      <c r="H782" s="503"/>
      <c r="I782" s="503"/>
      <c r="J782" s="503"/>
      <c r="K782" s="503"/>
    </row>
    <row r="783" spans="1:11" ht="12">
      <c r="A783" s="504">
        <v>2141117223</v>
      </c>
      <c r="B783" s="539" t="s">
        <v>1912</v>
      </c>
      <c r="C783" s="505" t="s">
        <v>1137</v>
      </c>
      <c r="D783" s="506">
        <v>0</v>
      </c>
      <c r="E783" s="506">
        <v>600</v>
      </c>
      <c r="F783" s="506">
        <v>589</v>
      </c>
      <c r="G783" s="507">
        <v>11</v>
      </c>
      <c r="H783" s="503"/>
      <c r="I783" s="503"/>
      <c r="J783" s="503"/>
      <c r="K783" s="503"/>
    </row>
    <row r="784" spans="1:11" ht="12">
      <c r="A784" s="504">
        <v>2141117224</v>
      </c>
      <c r="B784" s="539" t="s">
        <v>1913</v>
      </c>
      <c r="C784" s="505" t="s">
        <v>1137</v>
      </c>
      <c r="D784" s="506">
        <v>0</v>
      </c>
      <c r="E784" s="506">
        <v>1000</v>
      </c>
      <c r="F784" s="506">
        <v>998</v>
      </c>
      <c r="G784" s="507">
        <v>2</v>
      </c>
      <c r="H784" s="503"/>
      <c r="I784" s="503"/>
      <c r="J784" s="503"/>
      <c r="K784" s="503"/>
    </row>
    <row r="785" spans="1:11" ht="12">
      <c r="A785" s="504">
        <v>2141117225</v>
      </c>
      <c r="B785" s="539" t="s">
        <v>1914</v>
      </c>
      <c r="C785" s="505" t="s">
        <v>699</v>
      </c>
      <c r="D785" s="506">
        <v>0</v>
      </c>
      <c r="E785" s="506">
        <v>3225</v>
      </c>
      <c r="F785" s="506">
        <v>3225</v>
      </c>
      <c r="G785" s="507">
        <v>0</v>
      </c>
      <c r="H785" s="503"/>
      <c r="I785" s="503"/>
      <c r="J785" s="503"/>
      <c r="K785" s="503"/>
    </row>
    <row r="786" spans="1:11" ht="12">
      <c r="A786" s="504">
        <v>2141117226</v>
      </c>
      <c r="B786" s="539" t="s">
        <v>1308</v>
      </c>
      <c r="C786" s="505" t="s">
        <v>1208</v>
      </c>
      <c r="D786" s="506">
        <v>0</v>
      </c>
      <c r="E786" s="506">
        <v>1790</v>
      </c>
      <c r="F786" s="506">
        <v>1789</v>
      </c>
      <c r="G786" s="507">
        <v>1</v>
      </c>
      <c r="H786" s="503"/>
      <c r="I786" s="503"/>
      <c r="J786" s="503"/>
      <c r="K786" s="503"/>
    </row>
    <row r="787" spans="1:11" ht="12">
      <c r="A787" s="504">
        <v>2141117227</v>
      </c>
      <c r="B787" s="539" t="s">
        <v>1141</v>
      </c>
      <c r="C787" s="505" t="s">
        <v>1208</v>
      </c>
      <c r="D787" s="506">
        <v>0</v>
      </c>
      <c r="E787" s="506">
        <v>3042</v>
      </c>
      <c r="F787" s="506">
        <v>3041</v>
      </c>
      <c r="G787" s="507">
        <v>1</v>
      </c>
      <c r="H787" s="503"/>
      <c r="I787" s="503"/>
      <c r="J787" s="503"/>
      <c r="K787" s="503"/>
    </row>
    <row r="788" spans="1:11" ht="12">
      <c r="A788" s="504">
        <v>2141117228</v>
      </c>
      <c r="B788" s="539" t="s">
        <v>1915</v>
      </c>
      <c r="C788" s="505" t="s">
        <v>1137</v>
      </c>
      <c r="D788" s="506">
        <v>0</v>
      </c>
      <c r="E788" s="506">
        <v>85</v>
      </c>
      <c r="F788" s="506">
        <v>85</v>
      </c>
      <c r="G788" s="507">
        <v>0</v>
      </c>
      <c r="H788" s="503"/>
      <c r="I788" s="503"/>
      <c r="J788" s="503"/>
      <c r="K788" s="503"/>
    </row>
    <row r="789" spans="1:11" ht="12">
      <c r="A789" s="504">
        <v>2141117229</v>
      </c>
      <c r="B789" s="539" t="s">
        <v>1916</v>
      </c>
      <c r="C789" s="505" t="s">
        <v>720</v>
      </c>
      <c r="D789" s="506">
        <v>0</v>
      </c>
      <c r="E789" s="506">
        <v>131</v>
      </c>
      <c r="F789" s="506">
        <v>131</v>
      </c>
      <c r="G789" s="507">
        <v>0</v>
      </c>
      <c r="H789" s="503"/>
      <c r="I789" s="503"/>
      <c r="J789" s="503"/>
      <c r="K789" s="503"/>
    </row>
    <row r="790" spans="1:11" ht="12">
      <c r="A790" s="504">
        <v>2141117230</v>
      </c>
      <c r="B790" s="539" t="s">
        <v>1917</v>
      </c>
      <c r="C790" s="505" t="s">
        <v>1137</v>
      </c>
      <c r="D790" s="506">
        <v>0</v>
      </c>
      <c r="E790" s="506">
        <v>24268</v>
      </c>
      <c r="F790" s="506">
        <v>23915</v>
      </c>
      <c r="G790" s="507">
        <v>353</v>
      </c>
      <c r="H790" s="503"/>
      <c r="I790" s="503"/>
      <c r="J790" s="503"/>
      <c r="K790" s="503"/>
    </row>
    <row r="791" spans="1:11" ht="12">
      <c r="A791" s="504">
        <v>2141117231</v>
      </c>
      <c r="B791" s="539" t="s">
        <v>1918</v>
      </c>
      <c r="C791" s="505" t="s">
        <v>1217</v>
      </c>
      <c r="D791" s="506">
        <v>0</v>
      </c>
      <c r="E791" s="506">
        <v>4542</v>
      </c>
      <c r="F791" s="506">
        <v>4367</v>
      </c>
      <c r="G791" s="507">
        <v>175</v>
      </c>
      <c r="H791" s="503"/>
      <c r="I791" s="503"/>
      <c r="J791" s="503"/>
      <c r="K791" s="503"/>
    </row>
    <row r="792" spans="1:11" ht="12">
      <c r="A792" s="504">
        <v>2141117232</v>
      </c>
      <c r="B792" s="539" t="s">
        <v>1919</v>
      </c>
      <c r="C792" s="505" t="s">
        <v>699</v>
      </c>
      <c r="D792" s="506">
        <v>0</v>
      </c>
      <c r="E792" s="506">
        <v>4156</v>
      </c>
      <c r="F792" s="506">
        <v>4155</v>
      </c>
      <c r="G792" s="507">
        <v>1</v>
      </c>
      <c r="H792" s="503"/>
      <c r="I792" s="503"/>
      <c r="J792" s="503"/>
      <c r="K792" s="503"/>
    </row>
    <row r="793" spans="1:11" ht="12">
      <c r="A793" s="504">
        <v>2141117233</v>
      </c>
      <c r="B793" s="539" t="s">
        <v>1920</v>
      </c>
      <c r="C793" s="505" t="s">
        <v>1142</v>
      </c>
      <c r="D793" s="506">
        <v>0</v>
      </c>
      <c r="E793" s="506">
        <v>603</v>
      </c>
      <c r="F793" s="506">
        <v>603</v>
      </c>
      <c r="G793" s="507">
        <v>0</v>
      </c>
      <c r="H793" s="503"/>
      <c r="I793" s="503"/>
      <c r="J793" s="503"/>
      <c r="K793" s="503"/>
    </row>
    <row r="794" spans="1:11" ht="12">
      <c r="A794" s="504">
        <v>2141117234</v>
      </c>
      <c r="B794" s="539" t="s">
        <v>2315</v>
      </c>
      <c r="C794" s="505" t="s">
        <v>1208</v>
      </c>
      <c r="D794" s="506">
        <v>0</v>
      </c>
      <c r="E794" s="506">
        <v>1804</v>
      </c>
      <c r="F794" s="506">
        <v>1803</v>
      </c>
      <c r="G794" s="507">
        <v>1</v>
      </c>
      <c r="H794" s="503"/>
      <c r="I794" s="503"/>
      <c r="J794" s="503"/>
      <c r="K794" s="503"/>
    </row>
    <row r="795" spans="1:11" ht="12">
      <c r="A795" s="504">
        <v>2141117235</v>
      </c>
      <c r="B795" s="539" t="s">
        <v>2316</v>
      </c>
      <c r="C795" s="505" t="s">
        <v>1137</v>
      </c>
      <c r="D795" s="506">
        <v>0</v>
      </c>
      <c r="E795" s="506">
        <v>287</v>
      </c>
      <c r="F795" s="506">
        <v>286</v>
      </c>
      <c r="G795" s="507">
        <v>1</v>
      </c>
      <c r="H795" s="503"/>
      <c r="I795" s="503"/>
      <c r="J795" s="503"/>
      <c r="K795" s="503"/>
    </row>
    <row r="796" spans="1:11" ht="12">
      <c r="A796" s="504">
        <v>2141117236</v>
      </c>
      <c r="B796" s="539" t="s">
        <v>2317</v>
      </c>
      <c r="C796" s="505" t="s">
        <v>668</v>
      </c>
      <c r="D796" s="506">
        <v>0</v>
      </c>
      <c r="E796" s="506">
        <v>233</v>
      </c>
      <c r="F796" s="506">
        <v>232</v>
      </c>
      <c r="G796" s="507">
        <v>1</v>
      </c>
      <c r="H796" s="503"/>
      <c r="I796" s="503"/>
      <c r="J796" s="503"/>
      <c r="K796" s="503"/>
    </row>
    <row r="797" spans="1:11" ht="12">
      <c r="A797" s="504">
        <v>2141117237</v>
      </c>
      <c r="B797" s="539" t="s">
        <v>2318</v>
      </c>
      <c r="C797" s="505" t="s">
        <v>668</v>
      </c>
      <c r="D797" s="506">
        <v>0</v>
      </c>
      <c r="E797" s="506">
        <v>324</v>
      </c>
      <c r="F797" s="506">
        <v>324</v>
      </c>
      <c r="G797" s="507">
        <v>0</v>
      </c>
      <c r="H797" s="503"/>
      <c r="I797" s="503"/>
      <c r="J797" s="503"/>
      <c r="K797" s="503"/>
    </row>
    <row r="798" spans="1:11" ht="12">
      <c r="A798" s="504">
        <v>2141117238</v>
      </c>
      <c r="B798" s="539" t="s">
        <v>2319</v>
      </c>
      <c r="C798" s="505" t="s">
        <v>668</v>
      </c>
      <c r="D798" s="506">
        <v>0</v>
      </c>
      <c r="E798" s="506">
        <v>273</v>
      </c>
      <c r="F798" s="506">
        <v>273</v>
      </c>
      <c r="G798" s="507">
        <v>0</v>
      </c>
      <c r="H798" s="503"/>
      <c r="I798" s="503"/>
      <c r="J798" s="503"/>
      <c r="K798" s="503"/>
    </row>
    <row r="799" spans="1:11" ht="12">
      <c r="A799" s="504">
        <v>2141117239</v>
      </c>
      <c r="B799" s="539" t="s">
        <v>2320</v>
      </c>
      <c r="C799" s="505" t="s">
        <v>668</v>
      </c>
      <c r="D799" s="506">
        <v>0</v>
      </c>
      <c r="E799" s="506">
        <v>281</v>
      </c>
      <c r="F799" s="506">
        <v>280</v>
      </c>
      <c r="G799" s="507">
        <v>1</v>
      </c>
      <c r="H799" s="503"/>
      <c r="I799" s="503"/>
      <c r="J799" s="503"/>
      <c r="K799" s="503"/>
    </row>
    <row r="800" spans="1:11" ht="12">
      <c r="A800" s="504">
        <v>2141117240</v>
      </c>
      <c r="B800" s="539" t="s">
        <v>2321</v>
      </c>
      <c r="C800" s="505" t="s">
        <v>720</v>
      </c>
      <c r="D800" s="506">
        <v>0</v>
      </c>
      <c r="E800" s="506">
        <v>128</v>
      </c>
      <c r="F800" s="506">
        <v>128</v>
      </c>
      <c r="G800" s="507">
        <v>0</v>
      </c>
      <c r="H800" s="503"/>
      <c r="I800" s="503"/>
      <c r="J800" s="503"/>
      <c r="K800" s="503"/>
    </row>
    <row r="801" spans="1:11" ht="12">
      <c r="A801" s="504">
        <v>2141117241</v>
      </c>
      <c r="B801" s="539" t="s">
        <v>2322</v>
      </c>
      <c r="C801" s="505" t="s">
        <v>677</v>
      </c>
      <c r="D801" s="506">
        <v>0</v>
      </c>
      <c r="E801" s="506">
        <v>2418</v>
      </c>
      <c r="F801" s="506">
        <v>2410</v>
      </c>
      <c r="G801" s="507">
        <v>3</v>
      </c>
      <c r="H801" s="503"/>
      <c r="I801" s="503"/>
      <c r="J801" s="503"/>
      <c r="K801" s="503"/>
    </row>
    <row r="802" spans="1:11" ht="12">
      <c r="A802" s="504">
        <v>2141117242</v>
      </c>
      <c r="B802" s="539" t="s">
        <v>2323</v>
      </c>
      <c r="C802" s="505" t="s">
        <v>1142</v>
      </c>
      <c r="D802" s="506">
        <v>0</v>
      </c>
      <c r="E802" s="506">
        <v>0</v>
      </c>
      <c r="F802" s="506">
        <v>131</v>
      </c>
      <c r="G802" s="507">
        <v>0</v>
      </c>
      <c r="H802" s="503"/>
      <c r="I802" s="503"/>
      <c r="J802" s="503"/>
      <c r="K802" s="503"/>
    </row>
    <row r="803" spans="1:11" ht="12">
      <c r="A803" s="504">
        <v>2141117243</v>
      </c>
      <c r="B803" s="539" t="s">
        <v>2324</v>
      </c>
      <c r="C803" s="505" t="s">
        <v>670</v>
      </c>
      <c r="D803" s="506">
        <v>0</v>
      </c>
      <c r="E803" s="506">
        <v>1000</v>
      </c>
      <c r="F803" s="506">
        <v>999</v>
      </c>
      <c r="G803" s="507">
        <v>1</v>
      </c>
      <c r="H803" s="503"/>
      <c r="I803" s="503"/>
      <c r="J803" s="503"/>
      <c r="K803" s="503"/>
    </row>
    <row r="804" spans="1:11" ht="12">
      <c r="A804" s="504">
        <v>2141117244</v>
      </c>
      <c r="B804" s="539" t="s">
        <v>2325</v>
      </c>
      <c r="C804" s="505" t="s">
        <v>677</v>
      </c>
      <c r="D804" s="506">
        <v>0</v>
      </c>
      <c r="E804" s="506">
        <v>1000</v>
      </c>
      <c r="F804" s="506">
        <v>999</v>
      </c>
      <c r="G804" s="507">
        <v>0</v>
      </c>
      <c r="H804" s="503"/>
      <c r="I804" s="503"/>
      <c r="J804" s="503"/>
      <c r="K804" s="503"/>
    </row>
    <row r="805" spans="1:11" ht="12">
      <c r="A805" s="504">
        <v>2141117245</v>
      </c>
      <c r="B805" s="539" t="s">
        <v>2325</v>
      </c>
      <c r="C805" s="505" t="s">
        <v>1208</v>
      </c>
      <c r="D805" s="506">
        <v>0</v>
      </c>
      <c r="E805" s="506">
        <v>834</v>
      </c>
      <c r="F805" s="506">
        <v>834</v>
      </c>
      <c r="G805" s="507">
        <v>0</v>
      </c>
      <c r="H805" s="503"/>
      <c r="I805" s="503"/>
      <c r="J805" s="503"/>
      <c r="K805" s="503"/>
    </row>
    <row r="806" spans="1:11" ht="12">
      <c r="A806" s="504">
        <v>2141117248</v>
      </c>
      <c r="B806" s="539" t="s">
        <v>2326</v>
      </c>
      <c r="C806" s="505" t="s">
        <v>668</v>
      </c>
      <c r="D806" s="506">
        <v>0</v>
      </c>
      <c r="E806" s="506">
        <v>1000</v>
      </c>
      <c r="F806" s="506">
        <v>1000</v>
      </c>
      <c r="G806" s="507">
        <v>0</v>
      </c>
      <c r="H806" s="503"/>
      <c r="I806" s="503"/>
      <c r="J806" s="503"/>
      <c r="K806" s="503"/>
    </row>
    <row r="807" spans="1:11" ht="12">
      <c r="A807" s="504">
        <v>2141117249</v>
      </c>
      <c r="B807" s="539" t="s">
        <v>2327</v>
      </c>
      <c r="C807" s="505" t="s">
        <v>1142</v>
      </c>
      <c r="D807" s="506">
        <v>0</v>
      </c>
      <c r="E807" s="506">
        <v>1000</v>
      </c>
      <c r="F807" s="506">
        <v>998</v>
      </c>
      <c r="G807" s="507">
        <v>2</v>
      </c>
      <c r="H807" s="503"/>
      <c r="I807" s="503"/>
      <c r="J807" s="503"/>
      <c r="K807" s="503"/>
    </row>
    <row r="808" spans="1:11" ht="12">
      <c r="A808" s="504">
        <v>2141117251</v>
      </c>
      <c r="B808" s="539" t="s">
        <v>2328</v>
      </c>
      <c r="C808" s="505" t="s">
        <v>1137</v>
      </c>
      <c r="D808" s="506">
        <v>0</v>
      </c>
      <c r="E808" s="506">
        <v>2363</v>
      </c>
      <c r="F808" s="506">
        <v>2340</v>
      </c>
      <c r="G808" s="507">
        <v>23</v>
      </c>
      <c r="H808" s="503"/>
      <c r="I808" s="503"/>
      <c r="J808" s="503"/>
      <c r="K808" s="503"/>
    </row>
    <row r="809" spans="1:11" ht="12">
      <c r="A809" s="504">
        <v>2141117252</v>
      </c>
      <c r="B809" s="539" t="s">
        <v>2329</v>
      </c>
      <c r="C809" s="505" t="s">
        <v>1217</v>
      </c>
      <c r="D809" s="506">
        <v>0</v>
      </c>
      <c r="E809" s="506">
        <v>30000</v>
      </c>
      <c r="F809" s="506">
        <v>0</v>
      </c>
      <c r="G809" s="507">
        <v>30000</v>
      </c>
      <c r="H809" s="503"/>
      <c r="I809" s="503"/>
      <c r="J809" s="503"/>
      <c r="K809" s="503"/>
    </row>
    <row r="810" spans="1:11" ht="12">
      <c r="A810" s="504">
        <v>2141117253</v>
      </c>
      <c r="B810" s="539" t="s">
        <v>2330</v>
      </c>
      <c r="C810" s="505" t="s">
        <v>699</v>
      </c>
      <c r="D810" s="506">
        <v>0</v>
      </c>
      <c r="E810" s="506">
        <v>1520</v>
      </c>
      <c r="F810" s="506">
        <v>1520</v>
      </c>
      <c r="G810" s="507">
        <v>0</v>
      </c>
      <c r="H810" s="503"/>
      <c r="I810" s="503"/>
      <c r="J810" s="503"/>
      <c r="K810" s="503"/>
    </row>
    <row r="811" spans="1:11" ht="12">
      <c r="A811" s="504">
        <v>2141117254</v>
      </c>
      <c r="B811" s="539" t="s">
        <v>2331</v>
      </c>
      <c r="C811" s="505" t="s">
        <v>677</v>
      </c>
      <c r="D811" s="506">
        <v>0</v>
      </c>
      <c r="E811" s="506">
        <v>180</v>
      </c>
      <c r="F811" s="506">
        <v>180</v>
      </c>
      <c r="G811" s="507">
        <v>0</v>
      </c>
      <c r="H811" s="503"/>
      <c r="I811" s="503"/>
      <c r="J811" s="503"/>
      <c r="K811" s="503"/>
    </row>
    <row r="812" spans="1:11" ht="12">
      <c r="A812" s="504">
        <v>2141117255</v>
      </c>
      <c r="B812" s="539" t="s">
        <v>1147</v>
      </c>
      <c r="C812" s="505" t="s">
        <v>1137</v>
      </c>
      <c r="D812" s="506">
        <v>0</v>
      </c>
      <c r="E812" s="506">
        <v>1049</v>
      </c>
      <c r="F812" s="506">
        <v>1043</v>
      </c>
      <c r="G812" s="507">
        <v>6</v>
      </c>
      <c r="H812" s="503"/>
      <c r="I812" s="503"/>
      <c r="J812" s="503"/>
      <c r="K812" s="503"/>
    </row>
    <row r="813" spans="1:11" ht="12">
      <c r="A813" s="504">
        <v>2141117256</v>
      </c>
      <c r="B813" s="539" t="s">
        <v>2332</v>
      </c>
      <c r="C813" s="505" t="s">
        <v>670</v>
      </c>
      <c r="D813" s="506">
        <v>0</v>
      </c>
      <c r="E813" s="506">
        <v>1260</v>
      </c>
      <c r="F813" s="506">
        <v>1258</v>
      </c>
      <c r="G813" s="507">
        <v>2</v>
      </c>
      <c r="H813" s="503"/>
      <c r="I813" s="503"/>
      <c r="J813" s="503"/>
      <c r="K813" s="503"/>
    </row>
    <row r="814" spans="1:11" ht="12">
      <c r="A814" s="504">
        <v>2141117257</v>
      </c>
      <c r="B814" s="539" t="s">
        <v>2333</v>
      </c>
      <c r="C814" s="505" t="s">
        <v>1208</v>
      </c>
      <c r="D814" s="506">
        <v>0</v>
      </c>
      <c r="E814" s="506">
        <v>318</v>
      </c>
      <c r="F814" s="506">
        <v>317</v>
      </c>
      <c r="G814" s="507">
        <v>1</v>
      </c>
      <c r="H814" s="503"/>
      <c r="I814" s="503"/>
      <c r="J814" s="503"/>
      <c r="K814" s="503"/>
    </row>
    <row r="815" spans="1:11" ht="12">
      <c r="A815" s="504">
        <v>2141117258</v>
      </c>
      <c r="B815" s="539" t="s">
        <v>2334</v>
      </c>
      <c r="C815" s="505" t="s">
        <v>668</v>
      </c>
      <c r="D815" s="506">
        <v>0</v>
      </c>
      <c r="E815" s="506">
        <v>1367</v>
      </c>
      <c r="F815" s="506">
        <v>1366</v>
      </c>
      <c r="G815" s="507">
        <v>1</v>
      </c>
      <c r="H815" s="503"/>
      <c r="I815" s="503"/>
      <c r="J815" s="503"/>
      <c r="K815" s="503"/>
    </row>
    <row r="816" spans="1:11" ht="12">
      <c r="A816" s="504">
        <v>2141117259</v>
      </c>
      <c r="B816" s="539" t="s">
        <v>2335</v>
      </c>
      <c r="C816" s="505" t="s">
        <v>1137</v>
      </c>
      <c r="D816" s="506">
        <v>0</v>
      </c>
      <c r="E816" s="506">
        <v>1997</v>
      </c>
      <c r="F816" s="506">
        <v>1988</v>
      </c>
      <c r="G816" s="507">
        <v>9</v>
      </c>
      <c r="H816" s="503"/>
      <c r="I816" s="503"/>
      <c r="J816" s="503"/>
      <c r="K816" s="503"/>
    </row>
    <row r="817" spans="1:11" ht="12">
      <c r="A817" s="504">
        <v>2141117260</v>
      </c>
      <c r="B817" s="539" t="s">
        <v>2336</v>
      </c>
      <c r="C817" s="505" t="s">
        <v>1137</v>
      </c>
      <c r="D817" s="506">
        <v>0</v>
      </c>
      <c r="E817" s="506">
        <v>2636</v>
      </c>
      <c r="F817" s="506">
        <v>2349</v>
      </c>
      <c r="G817" s="507">
        <v>287</v>
      </c>
      <c r="H817" s="503"/>
      <c r="I817" s="503"/>
      <c r="J817" s="503"/>
      <c r="K817" s="503"/>
    </row>
    <row r="818" spans="1:11" ht="12">
      <c r="A818" s="504">
        <v>2141117261</v>
      </c>
      <c r="B818" s="539" t="s">
        <v>2337</v>
      </c>
      <c r="C818" s="505" t="s">
        <v>1208</v>
      </c>
      <c r="D818" s="506">
        <v>0</v>
      </c>
      <c r="E818" s="506">
        <v>525</v>
      </c>
      <c r="F818" s="506">
        <v>525</v>
      </c>
      <c r="G818" s="507">
        <v>0</v>
      </c>
      <c r="H818" s="503"/>
      <c r="I818" s="503"/>
      <c r="J818" s="503"/>
      <c r="K818" s="503"/>
    </row>
    <row r="819" spans="1:11" ht="12">
      <c r="A819" s="504">
        <v>2141117262</v>
      </c>
      <c r="B819" s="539" t="s">
        <v>2338</v>
      </c>
      <c r="C819" s="505" t="s">
        <v>1208</v>
      </c>
      <c r="D819" s="506">
        <v>0</v>
      </c>
      <c r="E819" s="506">
        <v>356</v>
      </c>
      <c r="F819" s="506">
        <v>355</v>
      </c>
      <c r="G819" s="507">
        <v>1</v>
      </c>
      <c r="H819" s="503"/>
      <c r="I819" s="503"/>
      <c r="J819" s="503"/>
      <c r="K819" s="503"/>
    </row>
    <row r="820" spans="1:11" ht="12">
      <c r="A820" s="504">
        <v>2141117263</v>
      </c>
      <c r="B820" s="539" t="s">
        <v>2339</v>
      </c>
      <c r="C820" s="505" t="s">
        <v>1137</v>
      </c>
      <c r="D820" s="506">
        <v>0</v>
      </c>
      <c r="E820" s="506">
        <v>450</v>
      </c>
      <c r="F820" s="506">
        <v>450</v>
      </c>
      <c r="G820" s="507">
        <v>0</v>
      </c>
      <c r="H820" s="503"/>
      <c r="I820" s="503"/>
      <c r="J820" s="503"/>
      <c r="K820" s="503"/>
    </row>
    <row r="821" spans="1:11" ht="12">
      <c r="A821" s="504">
        <v>2141117264</v>
      </c>
      <c r="B821" s="539" t="s">
        <v>2322</v>
      </c>
      <c r="C821" s="505" t="s">
        <v>720</v>
      </c>
      <c r="D821" s="506">
        <v>0</v>
      </c>
      <c r="E821" s="506">
        <v>1397</v>
      </c>
      <c r="F821" s="506">
        <v>1397</v>
      </c>
      <c r="G821" s="507">
        <v>0</v>
      </c>
      <c r="H821" s="503"/>
      <c r="I821" s="503"/>
      <c r="J821" s="503"/>
      <c r="K821" s="503"/>
    </row>
    <row r="822" spans="1:11" ht="12">
      <c r="A822" s="504">
        <v>2141117265</v>
      </c>
      <c r="B822" s="539" t="s">
        <v>2340</v>
      </c>
      <c r="C822" s="505" t="s">
        <v>692</v>
      </c>
      <c r="D822" s="506">
        <v>0</v>
      </c>
      <c r="E822" s="506">
        <v>618</v>
      </c>
      <c r="F822" s="506">
        <v>615</v>
      </c>
      <c r="G822" s="507">
        <v>3</v>
      </c>
      <c r="H822" s="503"/>
      <c r="I822" s="503"/>
      <c r="J822" s="503"/>
      <c r="K822" s="503"/>
    </row>
    <row r="823" spans="1:11" ht="12">
      <c r="A823" s="504">
        <v>2141117266</v>
      </c>
      <c r="B823" s="539" t="s">
        <v>2341</v>
      </c>
      <c r="C823" s="505" t="s">
        <v>1137</v>
      </c>
      <c r="D823" s="506">
        <v>0</v>
      </c>
      <c r="E823" s="506">
        <v>3901</v>
      </c>
      <c r="F823" s="506">
        <v>3898</v>
      </c>
      <c r="G823" s="507">
        <v>3</v>
      </c>
      <c r="H823" s="503"/>
      <c r="I823" s="503"/>
      <c r="J823" s="503"/>
      <c r="K823" s="503"/>
    </row>
    <row r="824" spans="1:11" ht="12">
      <c r="A824" s="504">
        <v>2141117269</v>
      </c>
      <c r="B824" s="539" t="s">
        <v>2342</v>
      </c>
      <c r="C824" s="505" t="s">
        <v>677</v>
      </c>
      <c r="D824" s="506">
        <v>0</v>
      </c>
      <c r="E824" s="506">
        <v>50</v>
      </c>
      <c r="F824" s="506">
        <v>47</v>
      </c>
      <c r="G824" s="507">
        <v>0</v>
      </c>
      <c r="H824" s="503"/>
      <c r="I824" s="503"/>
      <c r="J824" s="503"/>
      <c r="K824" s="503"/>
    </row>
    <row r="825" spans="1:11" ht="12">
      <c r="A825" s="504">
        <v>2141117270</v>
      </c>
      <c r="B825" s="539" t="s">
        <v>2343</v>
      </c>
      <c r="C825" s="505" t="s">
        <v>1137</v>
      </c>
      <c r="D825" s="506">
        <v>0</v>
      </c>
      <c r="E825" s="506">
        <v>10400</v>
      </c>
      <c r="F825" s="506">
        <v>0</v>
      </c>
      <c r="G825" s="507">
        <v>10400</v>
      </c>
      <c r="H825" s="503"/>
      <c r="I825" s="503"/>
      <c r="J825" s="503"/>
      <c r="K825" s="503"/>
    </row>
    <row r="826" spans="1:11" ht="12">
      <c r="A826" s="504">
        <v>2141117271</v>
      </c>
      <c r="B826" s="539" t="s">
        <v>1341</v>
      </c>
      <c r="C826" s="505" t="s">
        <v>1159</v>
      </c>
      <c r="D826" s="506">
        <v>0</v>
      </c>
      <c r="E826" s="506">
        <v>1638</v>
      </c>
      <c r="F826" s="506">
        <v>1637</v>
      </c>
      <c r="G826" s="507">
        <v>1</v>
      </c>
      <c r="H826" s="503"/>
      <c r="I826" s="503"/>
      <c r="J826" s="503"/>
      <c r="K826" s="503"/>
    </row>
    <row r="827" spans="1:11" ht="12">
      <c r="A827" s="504">
        <v>2141117272</v>
      </c>
      <c r="B827" s="539" t="s">
        <v>2344</v>
      </c>
      <c r="C827" s="505" t="s">
        <v>1137</v>
      </c>
      <c r="D827" s="506">
        <v>0</v>
      </c>
      <c r="E827" s="506">
        <v>3845</v>
      </c>
      <c r="F827" s="506">
        <v>3843</v>
      </c>
      <c r="G827" s="507">
        <v>2</v>
      </c>
      <c r="H827" s="503"/>
      <c r="I827" s="503"/>
      <c r="J827" s="503"/>
      <c r="K827" s="503"/>
    </row>
    <row r="828" spans="1:11" ht="12">
      <c r="A828" s="504">
        <v>2141117273</v>
      </c>
      <c r="B828" s="539" t="s">
        <v>2345</v>
      </c>
      <c r="C828" s="505" t="s">
        <v>677</v>
      </c>
      <c r="D828" s="506">
        <v>0</v>
      </c>
      <c r="E828" s="506">
        <v>936</v>
      </c>
      <c r="F828" s="506">
        <v>934</v>
      </c>
      <c r="G828" s="507">
        <v>0</v>
      </c>
      <c r="H828" s="503"/>
      <c r="I828" s="503"/>
      <c r="J828" s="503"/>
      <c r="K828" s="503"/>
    </row>
    <row r="829" spans="1:11" ht="12">
      <c r="A829" s="504">
        <v>2141117274</v>
      </c>
      <c r="B829" s="539" t="s">
        <v>2346</v>
      </c>
      <c r="C829" s="505" t="s">
        <v>720</v>
      </c>
      <c r="D829" s="506">
        <v>0</v>
      </c>
      <c r="E829" s="506">
        <v>2459</v>
      </c>
      <c r="F829" s="506">
        <v>2458</v>
      </c>
      <c r="G829" s="507">
        <v>1</v>
      </c>
      <c r="H829" s="503"/>
      <c r="I829" s="503"/>
      <c r="J829" s="503"/>
      <c r="K829" s="503"/>
    </row>
    <row r="830" spans="1:11" ht="12">
      <c r="A830" s="504">
        <v>2141117275</v>
      </c>
      <c r="B830" s="539" t="s">
        <v>2347</v>
      </c>
      <c r="C830" s="505" t="s">
        <v>720</v>
      </c>
      <c r="D830" s="506">
        <v>0</v>
      </c>
      <c r="E830" s="506">
        <v>1000</v>
      </c>
      <c r="F830" s="506">
        <v>1000</v>
      </c>
      <c r="G830" s="507">
        <v>0</v>
      </c>
      <c r="H830" s="503"/>
      <c r="I830" s="503"/>
      <c r="J830" s="503"/>
      <c r="K830" s="503"/>
    </row>
    <row r="831" spans="1:11" ht="12">
      <c r="A831" s="504">
        <v>2141117276</v>
      </c>
      <c r="B831" s="539" t="s">
        <v>300</v>
      </c>
      <c r="C831" s="505" t="s">
        <v>1137</v>
      </c>
      <c r="D831" s="506">
        <v>0</v>
      </c>
      <c r="E831" s="506">
        <v>1925</v>
      </c>
      <c r="F831" s="506">
        <v>1923</v>
      </c>
      <c r="G831" s="507">
        <v>2</v>
      </c>
      <c r="H831" s="503"/>
      <c r="I831" s="503"/>
      <c r="J831" s="503"/>
      <c r="K831" s="503"/>
    </row>
    <row r="832" spans="1:11" ht="12">
      <c r="A832" s="504">
        <v>2141117277</v>
      </c>
      <c r="B832" s="539" t="s">
        <v>2348</v>
      </c>
      <c r="C832" s="505" t="s">
        <v>692</v>
      </c>
      <c r="D832" s="506">
        <v>0</v>
      </c>
      <c r="E832" s="506">
        <v>0</v>
      </c>
      <c r="F832" s="506">
        <v>25</v>
      </c>
      <c r="G832" s="507">
        <v>0</v>
      </c>
      <c r="H832" s="503"/>
      <c r="I832" s="503"/>
      <c r="J832" s="503"/>
      <c r="K832" s="503"/>
    </row>
    <row r="833" spans="1:11" ht="12">
      <c r="A833" s="504">
        <v>2141117278</v>
      </c>
      <c r="B833" s="539" t="s">
        <v>2349</v>
      </c>
      <c r="C833" s="505" t="s">
        <v>1137</v>
      </c>
      <c r="D833" s="506">
        <v>0</v>
      </c>
      <c r="E833" s="506">
        <v>1000</v>
      </c>
      <c r="F833" s="506">
        <v>0</v>
      </c>
      <c r="G833" s="507">
        <v>1000</v>
      </c>
      <c r="H833" s="503"/>
      <c r="I833" s="503"/>
      <c r="J833" s="503"/>
      <c r="K833" s="503"/>
    </row>
    <row r="834" spans="1:11" ht="12">
      <c r="A834" s="504">
        <v>2141117279</v>
      </c>
      <c r="B834" s="539" t="s">
        <v>2350</v>
      </c>
      <c r="C834" s="505" t="s">
        <v>1159</v>
      </c>
      <c r="D834" s="506">
        <v>0</v>
      </c>
      <c r="E834" s="506">
        <v>39</v>
      </c>
      <c r="F834" s="506">
        <v>38</v>
      </c>
      <c r="G834" s="507">
        <v>1</v>
      </c>
      <c r="H834" s="503"/>
      <c r="I834" s="503"/>
      <c r="J834" s="503"/>
      <c r="K834" s="503"/>
    </row>
    <row r="835" spans="1:11" ht="12">
      <c r="A835" s="504" t="s">
        <v>2351</v>
      </c>
      <c r="B835" s="539" t="s">
        <v>2352</v>
      </c>
      <c r="C835" s="505" t="s">
        <v>1217</v>
      </c>
      <c r="D835" s="506">
        <v>0</v>
      </c>
      <c r="E835" s="506">
        <v>0</v>
      </c>
      <c r="F835" s="506">
        <v>0</v>
      </c>
      <c r="G835" s="507">
        <v>17</v>
      </c>
      <c r="H835" s="503"/>
      <c r="I835" s="503"/>
      <c r="J835" s="503"/>
      <c r="K835" s="503"/>
    </row>
    <row r="836" spans="1:11" ht="12">
      <c r="A836" s="504">
        <v>2141120034</v>
      </c>
      <c r="B836" s="539" t="s">
        <v>2353</v>
      </c>
      <c r="C836" s="505" t="s">
        <v>670</v>
      </c>
      <c r="D836" s="506">
        <v>4778</v>
      </c>
      <c r="E836" s="506">
        <v>1533</v>
      </c>
      <c r="F836" s="506">
        <v>1533</v>
      </c>
      <c r="G836" s="507">
        <v>0</v>
      </c>
      <c r="H836" s="503"/>
      <c r="I836" s="503"/>
      <c r="J836" s="503"/>
      <c r="K836" s="503"/>
    </row>
    <row r="837" spans="1:11" ht="12">
      <c r="A837" s="504">
        <v>2141120098</v>
      </c>
      <c r="B837" s="539" t="s">
        <v>2354</v>
      </c>
      <c r="C837" s="505" t="s">
        <v>1142</v>
      </c>
      <c r="D837" s="506">
        <v>834</v>
      </c>
      <c r="E837" s="506">
        <v>12990</v>
      </c>
      <c r="F837" s="506">
        <v>5606</v>
      </c>
      <c r="G837" s="507">
        <v>7384</v>
      </c>
      <c r="H837" s="503"/>
      <c r="I837" s="503"/>
      <c r="J837" s="503"/>
      <c r="K837" s="503"/>
    </row>
    <row r="838" spans="1:11" ht="12">
      <c r="A838" s="504">
        <v>2141120116</v>
      </c>
      <c r="B838" s="539" t="s">
        <v>2355</v>
      </c>
      <c r="C838" s="505" t="s">
        <v>720</v>
      </c>
      <c r="D838" s="506">
        <v>150000</v>
      </c>
      <c r="E838" s="506">
        <v>217416</v>
      </c>
      <c r="F838" s="506">
        <v>217416</v>
      </c>
      <c r="G838" s="507">
        <v>0</v>
      </c>
      <c r="H838" s="503"/>
      <c r="I838" s="503"/>
      <c r="J838" s="503"/>
      <c r="K838" s="503"/>
    </row>
    <row r="839" spans="1:11" ht="12">
      <c r="A839" s="504">
        <v>2141120145</v>
      </c>
      <c r="B839" s="539" t="s">
        <v>2356</v>
      </c>
      <c r="C839" s="505" t="s">
        <v>720</v>
      </c>
      <c r="D839" s="506">
        <v>0</v>
      </c>
      <c r="E839" s="506">
        <v>0</v>
      </c>
      <c r="F839" s="506">
        <v>26402</v>
      </c>
      <c r="G839" s="507">
        <v>0</v>
      </c>
      <c r="H839" s="503"/>
      <c r="I839" s="503"/>
      <c r="J839" s="503"/>
      <c r="K839" s="503"/>
    </row>
    <row r="840" spans="1:11" ht="12">
      <c r="A840" s="504">
        <v>2141124009</v>
      </c>
      <c r="B840" s="539" t="s">
        <v>2357</v>
      </c>
      <c r="C840" s="505" t="s">
        <v>677</v>
      </c>
      <c r="D840" s="506">
        <v>9000</v>
      </c>
      <c r="E840" s="506">
        <v>0</v>
      </c>
      <c r="F840" s="506">
        <v>0</v>
      </c>
      <c r="G840" s="507">
        <v>0</v>
      </c>
      <c r="H840" s="503"/>
      <c r="I840" s="503"/>
      <c r="J840" s="503"/>
      <c r="K840" s="503"/>
    </row>
    <row r="841" spans="1:11" ht="12">
      <c r="A841" s="504">
        <v>2141124011</v>
      </c>
      <c r="B841" s="539" t="s">
        <v>2358</v>
      </c>
      <c r="C841" s="505" t="s">
        <v>677</v>
      </c>
      <c r="D841" s="506">
        <v>9500</v>
      </c>
      <c r="E841" s="506">
        <v>30</v>
      </c>
      <c r="F841" s="506">
        <v>30</v>
      </c>
      <c r="G841" s="507">
        <v>0</v>
      </c>
      <c r="H841" s="503"/>
      <c r="I841" s="503"/>
      <c r="J841" s="503"/>
      <c r="K841" s="503"/>
    </row>
    <row r="842" spans="1:11" ht="12">
      <c r="A842" s="504">
        <v>2141124016</v>
      </c>
      <c r="B842" s="539" t="s">
        <v>2359</v>
      </c>
      <c r="C842" s="505" t="s">
        <v>1208</v>
      </c>
      <c r="D842" s="506">
        <v>4802</v>
      </c>
      <c r="E842" s="506">
        <v>0</v>
      </c>
      <c r="F842" s="506">
        <v>0</v>
      </c>
      <c r="G842" s="507">
        <v>0</v>
      </c>
      <c r="H842" s="503"/>
      <c r="I842" s="503"/>
      <c r="J842" s="503"/>
      <c r="K842" s="503"/>
    </row>
    <row r="843" spans="1:11" ht="12">
      <c r="A843" s="504">
        <v>2141124024</v>
      </c>
      <c r="B843" s="539" t="s">
        <v>2360</v>
      </c>
      <c r="C843" s="505" t="s">
        <v>699</v>
      </c>
      <c r="D843" s="506">
        <v>11472</v>
      </c>
      <c r="E843" s="506">
        <v>5000</v>
      </c>
      <c r="F843" s="506">
        <v>5000</v>
      </c>
      <c r="G843" s="507">
        <v>0</v>
      </c>
      <c r="H843" s="503"/>
      <c r="I843" s="503"/>
      <c r="J843" s="503"/>
      <c r="K843" s="503"/>
    </row>
    <row r="844" spans="1:11" ht="12">
      <c r="A844" s="504">
        <v>2141124084</v>
      </c>
      <c r="B844" s="539" t="s">
        <v>2361</v>
      </c>
      <c r="C844" s="505" t="s">
        <v>1208</v>
      </c>
      <c r="D844" s="506">
        <v>5640</v>
      </c>
      <c r="E844" s="506">
        <v>6117</v>
      </c>
      <c r="F844" s="506">
        <v>6117</v>
      </c>
      <c r="G844" s="507">
        <v>0</v>
      </c>
      <c r="H844" s="503"/>
      <c r="I844" s="503"/>
      <c r="J844" s="503"/>
      <c r="K844" s="503"/>
    </row>
    <row r="845" spans="1:11" ht="12">
      <c r="A845" s="504">
        <v>2141124113</v>
      </c>
      <c r="B845" s="539" t="s">
        <v>2362</v>
      </c>
      <c r="C845" s="505" t="s">
        <v>677</v>
      </c>
      <c r="D845" s="506">
        <v>0</v>
      </c>
      <c r="E845" s="506">
        <v>12</v>
      </c>
      <c r="F845" s="506">
        <v>12</v>
      </c>
      <c r="G845" s="507">
        <v>0</v>
      </c>
      <c r="H845" s="503"/>
      <c r="I845" s="503"/>
      <c r="J845" s="503"/>
      <c r="K845" s="503"/>
    </row>
    <row r="846" spans="1:11" ht="12">
      <c r="A846" s="504">
        <v>2141125013</v>
      </c>
      <c r="B846" s="539" t="s">
        <v>2363</v>
      </c>
      <c r="C846" s="505" t="s">
        <v>677</v>
      </c>
      <c r="D846" s="506">
        <v>1000</v>
      </c>
      <c r="E846" s="506">
        <v>0</v>
      </c>
      <c r="F846" s="506">
        <v>0</v>
      </c>
      <c r="G846" s="507">
        <v>0</v>
      </c>
      <c r="H846" s="503"/>
      <c r="I846" s="503"/>
      <c r="J846" s="503"/>
      <c r="K846" s="503"/>
    </row>
    <row r="847" spans="1:11" ht="12">
      <c r="A847" s="504">
        <v>2141125014</v>
      </c>
      <c r="B847" s="539" t="s">
        <v>2364</v>
      </c>
      <c r="C847" s="505" t="s">
        <v>677</v>
      </c>
      <c r="D847" s="506">
        <v>0</v>
      </c>
      <c r="E847" s="506">
        <v>4163</v>
      </c>
      <c r="F847" s="506">
        <v>4163</v>
      </c>
      <c r="G847" s="507">
        <v>0</v>
      </c>
      <c r="H847" s="503"/>
      <c r="I847" s="503"/>
      <c r="J847" s="503"/>
      <c r="K847" s="503"/>
    </row>
    <row r="848" spans="1:11" ht="12">
      <c r="A848" s="504">
        <v>2141125038</v>
      </c>
      <c r="B848" s="539" t="s">
        <v>2365</v>
      </c>
      <c r="C848" s="505" t="s">
        <v>699</v>
      </c>
      <c r="D848" s="506">
        <v>3000</v>
      </c>
      <c r="E848" s="506">
        <v>0</v>
      </c>
      <c r="F848" s="506">
        <v>0</v>
      </c>
      <c r="G848" s="507">
        <v>0</v>
      </c>
      <c r="H848" s="503"/>
      <c r="I848" s="503"/>
      <c r="J848" s="503"/>
      <c r="K848" s="503"/>
    </row>
    <row r="849" spans="1:11" ht="12">
      <c r="A849" s="504">
        <v>2141125063</v>
      </c>
      <c r="B849" s="539" t="s">
        <v>2366</v>
      </c>
      <c r="C849" s="505" t="s">
        <v>1142</v>
      </c>
      <c r="D849" s="506">
        <v>11463</v>
      </c>
      <c r="E849" s="506">
        <v>600</v>
      </c>
      <c r="F849" s="506">
        <v>1148</v>
      </c>
      <c r="G849" s="507">
        <v>0</v>
      </c>
      <c r="H849" s="503"/>
      <c r="I849" s="503"/>
      <c r="J849" s="503"/>
      <c r="K849" s="503"/>
    </row>
    <row r="850" spans="1:11" ht="12">
      <c r="A850" s="504">
        <v>2141125086</v>
      </c>
      <c r="B850" s="539" t="s">
        <v>2367</v>
      </c>
      <c r="C850" s="505" t="s">
        <v>1137</v>
      </c>
      <c r="D850" s="506">
        <v>627</v>
      </c>
      <c r="E850" s="506">
        <v>3030</v>
      </c>
      <c r="F850" s="506">
        <v>3029</v>
      </c>
      <c r="G850" s="507">
        <v>1</v>
      </c>
      <c r="H850" s="503"/>
      <c r="I850" s="503"/>
      <c r="J850" s="503"/>
      <c r="K850" s="503"/>
    </row>
    <row r="851" spans="1:11" ht="12">
      <c r="A851" s="504">
        <v>2141125092</v>
      </c>
      <c r="B851" s="539" t="s">
        <v>2368</v>
      </c>
      <c r="C851" s="505" t="s">
        <v>670</v>
      </c>
      <c r="D851" s="506">
        <v>16168</v>
      </c>
      <c r="E851" s="506">
        <v>22106</v>
      </c>
      <c r="F851" s="506">
        <v>22105</v>
      </c>
      <c r="G851" s="507">
        <v>1</v>
      </c>
      <c r="H851" s="503"/>
      <c r="I851" s="503"/>
      <c r="J851" s="503"/>
      <c r="K851" s="503"/>
    </row>
    <row r="852" spans="1:11" ht="12">
      <c r="A852" s="504">
        <v>2141125130</v>
      </c>
      <c r="B852" s="539" t="s">
        <v>2369</v>
      </c>
      <c r="C852" s="505" t="s">
        <v>677</v>
      </c>
      <c r="D852" s="506">
        <v>10294</v>
      </c>
      <c r="E852" s="506">
        <v>0</v>
      </c>
      <c r="F852" s="506">
        <v>0</v>
      </c>
      <c r="G852" s="507">
        <v>0</v>
      </c>
      <c r="H852" s="503"/>
      <c r="I852" s="503"/>
      <c r="J852" s="503"/>
      <c r="K852" s="503"/>
    </row>
    <row r="853" spans="1:11" ht="12">
      <c r="A853" s="504">
        <v>2141125135</v>
      </c>
      <c r="B853" s="539" t="s">
        <v>2370</v>
      </c>
      <c r="C853" s="505" t="s">
        <v>692</v>
      </c>
      <c r="D853" s="506">
        <v>20000</v>
      </c>
      <c r="E853" s="506">
        <v>31036</v>
      </c>
      <c r="F853" s="506">
        <v>31035</v>
      </c>
      <c r="G853" s="507">
        <v>0</v>
      </c>
      <c r="H853" s="503"/>
      <c r="I853" s="503"/>
      <c r="J853" s="503"/>
      <c r="K853" s="503"/>
    </row>
    <row r="854" spans="1:11" ht="12">
      <c r="A854" s="504">
        <v>2141125136</v>
      </c>
      <c r="B854" s="539" t="s">
        <v>2371</v>
      </c>
      <c r="C854" s="505" t="s">
        <v>699</v>
      </c>
      <c r="D854" s="506">
        <v>3902</v>
      </c>
      <c r="E854" s="506">
        <v>0</v>
      </c>
      <c r="F854" s="506">
        <v>0</v>
      </c>
      <c r="G854" s="507">
        <v>0</v>
      </c>
      <c r="H854" s="503"/>
      <c r="I854" s="503"/>
      <c r="J854" s="503"/>
      <c r="K854" s="503"/>
    </row>
    <row r="855" spans="1:11" ht="12">
      <c r="A855" s="504">
        <v>2141125138</v>
      </c>
      <c r="B855" s="539" t="s">
        <v>2372</v>
      </c>
      <c r="C855" s="505" t="s">
        <v>699</v>
      </c>
      <c r="D855" s="506">
        <v>0</v>
      </c>
      <c r="E855" s="506">
        <v>2200</v>
      </c>
      <c r="F855" s="506">
        <v>0</v>
      </c>
      <c r="G855" s="507">
        <v>2200</v>
      </c>
      <c r="H855" s="503"/>
      <c r="I855" s="503"/>
      <c r="J855" s="503"/>
      <c r="K855" s="503"/>
    </row>
    <row r="856" spans="1:11" ht="12">
      <c r="A856" s="504">
        <v>2141126011</v>
      </c>
      <c r="B856" s="539" t="s">
        <v>2373</v>
      </c>
      <c r="C856" s="505" t="s">
        <v>1208</v>
      </c>
      <c r="D856" s="506">
        <v>870</v>
      </c>
      <c r="E856" s="506">
        <v>999</v>
      </c>
      <c r="F856" s="506">
        <v>999</v>
      </c>
      <c r="G856" s="507">
        <v>0</v>
      </c>
      <c r="H856" s="503"/>
      <c r="I856" s="503"/>
      <c r="J856" s="503"/>
      <c r="K856" s="503"/>
    </row>
    <row r="857" spans="1:11" ht="12">
      <c r="A857" s="504">
        <v>2141126012</v>
      </c>
      <c r="B857" s="539" t="s">
        <v>2374</v>
      </c>
      <c r="C857" s="505" t="s">
        <v>1208</v>
      </c>
      <c r="D857" s="506">
        <v>472</v>
      </c>
      <c r="E857" s="506">
        <v>472</v>
      </c>
      <c r="F857" s="506">
        <v>471</v>
      </c>
      <c r="G857" s="507">
        <v>1</v>
      </c>
      <c r="H857" s="503"/>
      <c r="I857" s="503"/>
      <c r="J857" s="503"/>
      <c r="K857" s="503"/>
    </row>
    <row r="858" spans="1:11" ht="12">
      <c r="A858" s="504">
        <v>2141126013</v>
      </c>
      <c r="B858" s="539" t="s">
        <v>1373</v>
      </c>
      <c r="C858" s="505" t="s">
        <v>1137</v>
      </c>
      <c r="D858" s="506">
        <v>10931</v>
      </c>
      <c r="E858" s="506">
        <v>10931</v>
      </c>
      <c r="F858" s="506">
        <v>10930</v>
      </c>
      <c r="G858" s="507">
        <v>1</v>
      </c>
      <c r="H858" s="503"/>
      <c r="I858" s="503"/>
      <c r="J858" s="503"/>
      <c r="K858" s="503"/>
    </row>
    <row r="859" spans="1:11" ht="12">
      <c r="A859" s="504">
        <v>2141126020</v>
      </c>
      <c r="B859" s="539" t="s">
        <v>1374</v>
      </c>
      <c r="C859" s="505" t="s">
        <v>692</v>
      </c>
      <c r="D859" s="506">
        <v>270</v>
      </c>
      <c r="E859" s="506">
        <v>199</v>
      </c>
      <c r="F859" s="506">
        <v>199</v>
      </c>
      <c r="G859" s="507">
        <v>0</v>
      </c>
      <c r="H859" s="503"/>
      <c r="I859" s="503"/>
      <c r="J859" s="503"/>
      <c r="K859" s="503"/>
    </row>
    <row r="860" spans="1:11" ht="12">
      <c r="A860" s="504">
        <v>2141126021</v>
      </c>
      <c r="B860" s="539" t="s">
        <v>1375</v>
      </c>
      <c r="C860" s="505" t="s">
        <v>1208</v>
      </c>
      <c r="D860" s="506">
        <v>5603</v>
      </c>
      <c r="E860" s="506">
        <v>0</v>
      </c>
      <c r="F860" s="506">
        <v>0</v>
      </c>
      <c r="G860" s="507">
        <v>0</v>
      </c>
      <c r="H860" s="503"/>
      <c r="I860" s="503"/>
      <c r="J860" s="503"/>
      <c r="K860" s="503"/>
    </row>
    <row r="861" spans="1:11" ht="12">
      <c r="A861" s="504">
        <v>2141126024</v>
      </c>
      <c r="B861" s="539" t="s">
        <v>1376</v>
      </c>
      <c r="C861" s="505" t="s">
        <v>668</v>
      </c>
      <c r="D861" s="506">
        <v>0</v>
      </c>
      <c r="E861" s="506">
        <v>0</v>
      </c>
      <c r="F861" s="506">
        <v>6859</v>
      </c>
      <c r="G861" s="507">
        <v>0</v>
      </c>
      <c r="H861" s="503"/>
      <c r="I861" s="503"/>
      <c r="J861" s="503"/>
      <c r="K861" s="503"/>
    </row>
    <row r="862" spans="1:11" ht="12">
      <c r="A862" s="504">
        <v>2141126028</v>
      </c>
      <c r="B862" s="539" t="s">
        <v>1377</v>
      </c>
      <c r="C862" s="505" t="s">
        <v>677</v>
      </c>
      <c r="D862" s="506">
        <v>0</v>
      </c>
      <c r="E862" s="506">
        <v>1287</v>
      </c>
      <c r="F862" s="506">
        <v>1285</v>
      </c>
      <c r="G862" s="507">
        <v>0</v>
      </c>
      <c r="H862" s="503"/>
      <c r="I862" s="503"/>
      <c r="J862" s="503"/>
      <c r="K862" s="503"/>
    </row>
    <row r="863" spans="1:11" ht="12">
      <c r="A863" s="504">
        <v>2141126030</v>
      </c>
      <c r="B863" s="539" t="s">
        <v>1378</v>
      </c>
      <c r="C863" s="505" t="s">
        <v>699</v>
      </c>
      <c r="D863" s="506">
        <v>14050</v>
      </c>
      <c r="E863" s="506">
        <v>0</v>
      </c>
      <c r="F863" s="506">
        <v>0</v>
      </c>
      <c r="G863" s="507">
        <v>0</v>
      </c>
      <c r="H863" s="503"/>
      <c r="I863" s="503"/>
      <c r="J863" s="503"/>
      <c r="K863" s="503"/>
    </row>
    <row r="864" spans="1:11" ht="12">
      <c r="A864" s="504">
        <v>2141126031</v>
      </c>
      <c r="B864" s="539" t="s">
        <v>1379</v>
      </c>
      <c r="C864" s="505" t="s">
        <v>668</v>
      </c>
      <c r="D864" s="506">
        <v>870</v>
      </c>
      <c r="E864" s="506">
        <v>870</v>
      </c>
      <c r="F864" s="506">
        <v>869</v>
      </c>
      <c r="G864" s="507">
        <v>1</v>
      </c>
      <c r="H864" s="503"/>
      <c r="I864" s="503"/>
      <c r="J864" s="503"/>
      <c r="K864" s="503"/>
    </row>
    <row r="865" spans="1:11" ht="12">
      <c r="A865" s="504">
        <v>2141126032</v>
      </c>
      <c r="B865" s="539" t="s">
        <v>1380</v>
      </c>
      <c r="C865" s="505" t="s">
        <v>668</v>
      </c>
      <c r="D865" s="506">
        <v>10000</v>
      </c>
      <c r="E865" s="506">
        <v>408</v>
      </c>
      <c r="F865" s="506">
        <v>407</v>
      </c>
      <c r="G865" s="507">
        <v>1</v>
      </c>
      <c r="H865" s="503"/>
      <c r="I865" s="503"/>
      <c r="J865" s="503"/>
      <c r="K865" s="503"/>
    </row>
    <row r="866" spans="1:11" ht="12">
      <c r="A866" s="504">
        <v>2141126033</v>
      </c>
      <c r="B866" s="539" t="s">
        <v>1381</v>
      </c>
      <c r="C866" s="505" t="s">
        <v>720</v>
      </c>
      <c r="D866" s="506">
        <v>987</v>
      </c>
      <c r="E866" s="506">
        <v>987</v>
      </c>
      <c r="F866" s="506">
        <v>767</v>
      </c>
      <c r="G866" s="507">
        <v>220</v>
      </c>
      <c r="H866" s="503"/>
      <c r="I866" s="503"/>
      <c r="J866" s="503"/>
      <c r="K866" s="503"/>
    </row>
    <row r="867" spans="1:11" ht="12">
      <c r="A867" s="504">
        <v>2141126034</v>
      </c>
      <c r="B867" s="539" t="s">
        <v>1382</v>
      </c>
      <c r="C867" s="505" t="s">
        <v>1137</v>
      </c>
      <c r="D867" s="506">
        <v>1195</v>
      </c>
      <c r="E867" s="506">
        <v>2276</v>
      </c>
      <c r="F867" s="506">
        <v>2276</v>
      </c>
      <c r="G867" s="507">
        <v>0</v>
      </c>
      <c r="H867" s="503"/>
      <c r="I867" s="503"/>
      <c r="J867" s="503"/>
      <c r="K867" s="503"/>
    </row>
    <row r="868" spans="1:11" ht="12">
      <c r="A868" s="504">
        <v>2141126036</v>
      </c>
      <c r="B868" s="539" t="s">
        <v>1383</v>
      </c>
      <c r="C868" s="505" t="s">
        <v>1137</v>
      </c>
      <c r="D868" s="506">
        <v>10000</v>
      </c>
      <c r="E868" s="506">
        <v>0</v>
      </c>
      <c r="F868" s="506">
        <v>0</v>
      </c>
      <c r="G868" s="507">
        <v>0</v>
      </c>
      <c r="H868" s="503"/>
      <c r="I868" s="503"/>
      <c r="J868" s="503"/>
      <c r="K868" s="503"/>
    </row>
    <row r="869" spans="1:11" ht="12">
      <c r="A869" s="504">
        <v>2141126037</v>
      </c>
      <c r="B869" s="539" t="s">
        <v>1384</v>
      </c>
      <c r="C869" s="505" t="s">
        <v>1137</v>
      </c>
      <c r="D869" s="506">
        <v>5378</v>
      </c>
      <c r="E869" s="506">
        <v>7627</v>
      </c>
      <c r="F869" s="506">
        <v>7625</v>
      </c>
      <c r="G869" s="507">
        <v>2</v>
      </c>
      <c r="H869" s="503"/>
      <c r="I869" s="503"/>
      <c r="J869" s="503"/>
      <c r="K869" s="503"/>
    </row>
    <row r="870" spans="1:11" ht="12">
      <c r="A870" s="504">
        <v>2141126038</v>
      </c>
      <c r="B870" s="539" t="s">
        <v>1385</v>
      </c>
      <c r="C870" s="505" t="s">
        <v>1137</v>
      </c>
      <c r="D870" s="506">
        <v>233</v>
      </c>
      <c r="E870" s="506">
        <v>1811</v>
      </c>
      <c r="F870" s="506">
        <v>1811</v>
      </c>
      <c r="G870" s="507">
        <v>0</v>
      </c>
      <c r="H870" s="503"/>
      <c r="I870" s="503"/>
      <c r="J870" s="503"/>
      <c r="K870" s="503"/>
    </row>
    <row r="871" spans="1:11" ht="12">
      <c r="A871" s="504">
        <v>2141126041</v>
      </c>
      <c r="B871" s="539" t="s">
        <v>1386</v>
      </c>
      <c r="C871" s="505" t="s">
        <v>677</v>
      </c>
      <c r="D871" s="506">
        <v>0</v>
      </c>
      <c r="E871" s="506">
        <v>1991</v>
      </c>
      <c r="F871" s="506">
        <v>1990</v>
      </c>
      <c r="G871" s="507">
        <v>0</v>
      </c>
      <c r="H871" s="503"/>
      <c r="I871" s="503"/>
      <c r="J871" s="503"/>
      <c r="K871" s="503"/>
    </row>
    <row r="872" spans="1:11" ht="12">
      <c r="A872" s="504">
        <v>2141126044</v>
      </c>
      <c r="B872" s="539" t="s">
        <v>1387</v>
      </c>
      <c r="C872" s="505" t="s">
        <v>1208</v>
      </c>
      <c r="D872" s="506">
        <v>0</v>
      </c>
      <c r="E872" s="506">
        <v>4978</v>
      </c>
      <c r="F872" s="506">
        <v>4959</v>
      </c>
      <c r="G872" s="507">
        <v>19</v>
      </c>
      <c r="H872" s="503"/>
      <c r="I872" s="503"/>
      <c r="J872" s="503"/>
      <c r="K872" s="503"/>
    </row>
    <row r="873" spans="1:11" ht="12">
      <c r="A873" s="504">
        <v>2141126046</v>
      </c>
      <c r="B873" s="539" t="s">
        <v>1388</v>
      </c>
      <c r="C873" s="505" t="s">
        <v>692</v>
      </c>
      <c r="D873" s="506">
        <v>300</v>
      </c>
      <c r="E873" s="506">
        <v>4176</v>
      </c>
      <c r="F873" s="506">
        <v>4174</v>
      </c>
      <c r="G873" s="507">
        <v>2</v>
      </c>
      <c r="H873" s="503"/>
      <c r="I873" s="503"/>
      <c r="J873" s="503"/>
      <c r="K873" s="503"/>
    </row>
    <row r="874" spans="1:11" ht="12">
      <c r="A874" s="504">
        <v>2141126049</v>
      </c>
      <c r="B874" s="539" t="s">
        <v>1389</v>
      </c>
      <c r="C874" s="505" t="s">
        <v>1142</v>
      </c>
      <c r="D874" s="506">
        <v>2357</v>
      </c>
      <c r="E874" s="506">
        <v>2399</v>
      </c>
      <c r="F874" s="506">
        <v>2398</v>
      </c>
      <c r="G874" s="507">
        <v>1</v>
      </c>
      <c r="H874" s="503"/>
      <c r="I874" s="503"/>
      <c r="J874" s="503"/>
      <c r="K874" s="503"/>
    </row>
    <row r="875" spans="1:11" ht="12">
      <c r="A875" s="504">
        <v>2141126052</v>
      </c>
      <c r="B875" s="539" t="s">
        <v>1390</v>
      </c>
      <c r="C875" s="505" t="s">
        <v>720</v>
      </c>
      <c r="D875" s="506">
        <v>1116</v>
      </c>
      <c r="E875" s="506">
        <v>1116</v>
      </c>
      <c r="F875" s="506">
        <v>3108</v>
      </c>
      <c r="G875" s="507">
        <v>0</v>
      </c>
      <c r="H875" s="503"/>
      <c r="I875" s="503"/>
      <c r="J875" s="503"/>
      <c r="K875" s="503"/>
    </row>
    <row r="876" spans="1:11" ht="12">
      <c r="A876" s="504">
        <v>2141126058</v>
      </c>
      <c r="B876" s="539" t="s">
        <v>1391</v>
      </c>
      <c r="C876" s="505" t="s">
        <v>720</v>
      </c>
      <c r="D876" s="506">
        <v>2513</v>
      </c>
      <c r="E876" s="506">
        <v>0</v>
      </c>
      <c r="F876" s="506">
        <v>0</v>
      </c>
      <c r="G876" s="507">
        <v>0</v>
      </c>
      <c r="H876" s="503"/>
      <c r="I876" s="503"/>
      <c r="J876" s="503"/>
      <c r="K876" s="503"/>
    </row>
    <row r="877" spans="1:11" ht="12">
      <c r="A877" s="504">
        <v>2141126061</v>
      </c>
      <c r="B877" s="539" t="s">
        <v>1392</v>
      </c>
      <c r="C877" s="505" t="s">
        <v>1208</v>
      </c>
      <c r="D877" s="506">
        <v>10000</v>
      </c>
      <c r="E877" s="506">
        <v>605</v>
      </c>
      <c r="F877" s="506">
        <v>605</v>
      </c>
      <c r="G877" s="507">
        <v>0</v>
      </c>
      <c r="H877" s="503"/>
      <c r="I877" s="503"/>
      <c r="J877" s="503"/>
      <c r="K877" s="503"/>
    </row>
    <row r="878" spans="1:11" ht="12">
      <c r="A878" s="504">
        <v>2141126062</v>
      </c>
      <c r="B878" s="539" t="s">
        <v>1393</v>
      </c>
      <c r="C878" s="505" t="s">
        <v>668</v>
      </c>
      <c r="D878" s="506">
        <v>767</v>
      </c>
      <c r="E878" s="506">
        <v>767</v>
      </c>
      <c r="F878" s="506">
        <v>767</v>
      </c>
      <c r="G878" s="507">
        <v>0</v>
      </c>
      <c r="H878" s="503"/>
      <c r="I878" s="503"/>
      <c r="J878" s="503"/>
      <c r="K878" s="503"/>
    </row>
    <row r="879" spans="1:11" ht="12">
      <c r="A879" s="504">
        <v>2141126063</v>
      </c>
      <c r="B879" s="539" t="s">
        <v>1394</v>
      </c>
      <c r="C879" s="505" t="s">
        <v>668</v>
      </c>
      <c r="D879" s="506">
        <v>536</v>
      </c>
      <c r="E879" s="506">
        <v>536</v>
      </c>
      <c r="F879" s="506">
        <v>536</v>
      </c>
      <c r="G879" s="507">
        <v>1</v>
      </c>
      <c r="H879" s="503"/>
      <c r="I879" s="503"/>
      <c r="J879" s="503"/>
      <c r="K879" s="503"/>
    </row>
    <row r="880" spans="1:11" ht="12">
      <c r="A880" s="504">
        <v>2141126067</v>
      </c>
      <c r="B880" s="539" t="s">
        <v>1395</v>
      </c>
      <c r="C880" s="505" t="s">
        <v>1137</v>
      </c>
      <c r="D880" s="506">
        <v>4128</v>
      </c>
      <c r="E880" s="506">
        <v>4847</v>
      </c>
      <c r="F880" s="506">
        <v>4845</v>
      </c>
      <c r="G880" s="507">
        <v>2</v>
      </c>
      <c r="H880" s="503"/>
      <c r="I880" s="503"/>
      <c r="J880" s="503"/>
      <c r="K880" s="503"/>
    </row>
    <row r="881" spans="1:11" ht="12">
      <c r="A881" s="504">
        <v>2141126068</v>
      </c>
      <c r="B881" s="539" t="s">
        <v>1396</v>
      </c>
      <c r="C881" s="505" t="s">
        <v>1208</v>
      </c>
      <c r="D881" s="506">
        <v>0</v>
      </c>
      <c r="E881" s="506">
        <v>883</v>
      </c>
      <c r="F881" s="506">
        <v>881</v>
      </c>
      <c r="G881" s="507">
        <v>2</v>
      </c>
      <c r="H881" s="503"/>
      <c r="I881" s="503"/>
      <c r="J881" s="503"/>
      <c r="K881" s="503"/>
    </row>
    <row r="882" spans="1:11" ht="12">
      <c r="A882" s="504">
        <v>2141126069</v>
      </c>
      <c r="B882" s="539" t="s">
        <v>1397</v>
      </c>
      <c r="C882" s="505" t="s">
        <v>1208</v>
      </c>
      <c r="D882" s="506">
        <v>0</v>
      </c>
      <c r="E882" s="506">
        <v>700</v>
      </c>
      <c r="F882" s="506">
        <v>699</v>
      </c>
      <c r="G882" s="507">
        <v>1</v>
      </c>
      <c r="H882" s="503"/>
      <c r="I882" s="503"/>
      <c r="J882" s="503"/>
      <c r="K882" s="503"/>
    </row>
    <row r="883" spans="1:11" ht="12">
      <c r="A883" s="504">
        <v>2141126080</v>
      </c>
      <c r="B883" s="539" t="s">
        <v>1398</v>
      </c>
      <c r="C883" s="505" t="s">
        <v>1142</v>
      </c>
      <c r="D883" s="506">
        <v>1957</v>
      </c>
      <c r="E883" s="506">
        <v>20</v>
      </c>
      <c r="F883" s="506">
        <v>20</v>
      </c>
      <c r="G883" s="507">
        <v>0</v>
      </c>
      <c r="H883" s="503"/>
      <c r="I883" s="503"/>
      <c r="J883" s="503"/>
      <c r="K883" s="503"/>
    </row>
    <row r="884" spans="1:11" ht="12">
      <c r="A884" s="504">
        <v>2141126083</v>
      </c>
      <c r="B884" s="539" t="s">
        <v>1399</v>
      </c>
      <c r="C884" s="505" t="s">
        <v>692</v>
      </c>
      <c r="D884" s="506">
        <v>834</v>
      </c>
      <c r="E884" s="506">
        <v>834</v>
      </c>
      <c r="F884" s="506">
        <v>833</v>
      </c>
      <c r="G884" s="507">
        <v>1</v>
      </c>
      <c r="H884" s="503"/>
      <c r="I884" s="503"/>
      <c r="J884" s="503"/>
      <c r="K884" s="503"/>
    </row>
    <row r="885" spans="1:11" ht="12">
      <c r="A885" s="504">
        <v>2141126084</v>
      </c>
      <c r="B885" s="539" t="s">
        <v>1400</v>
      </c>
      <c r="C885" s="505" t="s">
        <v>1142</v>
      </c>
      <c r="D885" s="506">
        <v>1250</v>
      </c>
      <c r="E885" s="506">
        <v>3526</v>
      </c>
      <c r="F885" s="506">
        <v>3524</v>
      </c>
      <c r="G885" s="507">
        <v>2</v>
      </c>
      <c r="H885" s="503"/>
      <c r="I885" s="503"/>
      <c r="J885" s="503"/>
      <c r="K885" s="503"/>
    </row>
    <row r="886" spans="1:11" ht="12">
      <c r="A886" s="504">
        <v>2141126088</v>
      </c>
      <c r="B886" s="539" t="s">
        <v>1401</v>
      </c>
      <c r="C886" s="505" t="s">
        <v>1208</v>
      </c>
      <c r="D886" s="506">
        <v>434</v>
      </c>
      <c r="E886" s="506">
        <v>478</v>
      </c>
      <c r="F886" s="506">
        <v>477</v>
      </c>
      <c r="G886" s="507">
        <v>1</v>
      </c>
      <c r="H886" s="503"/>
      <c r="I886" s="503"/>
      <c r="J886" s="503"/>
      <c r="K886" s="503"/>
    </row>
    <row r="887" spans="1:11" ht="12">
      <c r="A887" s="504">
        <v>2141126093</v>
      </c>
      <c r="B887" s="539" t="s">
        <v>1402</v>
      </c>
      <c r="C887" s="505" t="s">
        <v>670</v>
      </c>
      <c r="D887" s="506">
        <v>0</v>
      </c>
      <c r="E887" s="506">
        <v>728</v>
      </c>
      <c r="F887" s="506">
        <v>728</v>
      </c>
      <c r="G887" s="507">
        <v>0</v>
      </c>
      <c r="H887" s="503"/>
      <c r="I887" s="503"/>
      <c r="J887" s="503"/>
      <c r="K887" s="503"/>
    </row>
    <row r="888" spans="1:11" ht="12">
      <c r="A888" s="504">
        <v>2141126094</v>
      </c>
      <c r="B888" s="539" t="s">
        <v>1403</v>
      </c>
      <c r="C888" s="505" t="s">
        <v>670</v>
      </c>
      <c r="D888" s="506">
        <v>0</v>
      </c>
      <c r="E888" s="506">
        <v>310</v>
      </c>
      <c r="F888" s="506">
        <v>310</v>
      </c>
      <c r="G888" s="507">
        <v>0</v>
      </c>
      <c r="H888" s="503"/>
      <c r="I888" s="503"/>
      <c r="J888" s="503"/>
      <c r="K888" s="503"/>
    </row>
    <row r="889" spans="1:11" ht="12">
      <c r="A889" s="504">
        <v>2141126095</v>
      </c>
      <c r="B889" s="539" t="s">
        <v>1404</v>
      </c>
      <c r="C889" s="505" t="s">
        <v>670</v>
      </c>
      <c r="D889" s="506">
        <v>0</v>
      </c>
      <c r="E889" s="506">
        <v>328</v>
      </c>
      <c r="F889" s="506">
        <v>328</v>
      </c>
      <c r="G889" s="507">
        <v>0</v>
      </c>
      <c r="H889" s="503"/>
      <c r="I889" s="503"/>
      <c r="J889" s="503"/>
      <c r="K889" s="503"/>
    </row>
    <row r="890" spans="1:11" ht="12">
      <c r="A890" s="504">
        <v>2141127001</v>
      </c>
      <c r="B890" s="539" t="s">
        <v>1405</v>
      </c>
      <c r="C890" s="505" t="s">
        <v>1137</v>
      </c>
      <c r="D890" s="506">
        <v>1900</v>
      </c>
      <c r="E890" s="506">
        <v>0</v>
      </c>
      <c r="F890" s="506">
        <v>0</v>
      </c>
      <c r="G890" s="507">
        <v>0</v>
      </c>
      <c r="H890" s="503"/>
      <c r="I890" s="503"/>
      <c r="J890" s="503"/>
      <c r="K890" s="503"/>
    </row>
    <row r="891" spans="1:11" ht="12">
      <c r="A891" s="504">
        <v>2141127003</v>
      </c>
      <c r="B891" s="539" t="s">
        <v>1406</v>
      </c>
      <c r="C891" s="505" t="s">
        <v>670</v>
      </c>
      <c r="D891" s="506">
        <v>50</v>
      </c>
      <c r="E891" s="506">
        <v>50</v>
      </c>
      <c r="F891" s="506">
        <v>50</v>
      </c>
      <c r="G891" s="507">
        <v>0</v>
      </c>
      <c r="H891" s="503"/>
      <c r="I891" s="503"/>
      <c r="J891" s="503"/>
      <c r="K891" s="503"/>
    </row>
    <row r="892" spans="1:11" ht="12">
      <c r="A892" s="504">
        <v>2141127004</v>
      </c>
      <c r="B892" s="539" t="s">
        <v>1407</v>
      </c>
      <c r="C892" s="505" t="s">
        <v>692</v>
      </c>
      <c r="D892" s="506">
        <v>4700</v>
      </c>
      <c r="E892" s="506">
        <v>5390</v>
      </c>
      <c r="F892" s="506">
        <v>4411</v>
      </c>
      <c r="G892" s="507">
        <v>979</v>
      </c>
      <c r="H892" s="503"/>
      <c r="I892" s="503"/>
      <c r="J892" s="503"/>
      <c r="K892" s="503"/>
    </row>
    <row r="893" spans="1:11" ht="12">
      <c r="A893" s="504">
        <v>2141127005</v>
      </c>
      <c r="B893" s="539" t="s">
        <v>1408</v>
      </c>
      <c r="C893" s="505" t="s">
        <v>692</v>
      </c>
      <c r="D893" s="506">
        <v>2000</v>
      </c>
      <c r="E893" s="506">
        <v>0</v>
      </c>
      <c r="F893" s="506">
        <v>0</v>
      </c>
      <c r="G893" s="507">
        <v>0</v>
      </c>
      <c r="H893" s="503"/>
      <c r="I893" s="503"/>
      <c r="J893" s="503"/>
      <c r="K893" s="503"/>
    </row>
    <row r="894" spans="1:11" ht="12">
      <c r="A894" s="504">
        <v>2141127006</v>
      </c>
      <c r="B894" s="539" t="s">
        <v>1409</v>
      </c>
      <c r="C894" s="505" t="s">
        <v>668</v>
      </c>
      <c r="D894" s="506">
        <v>9411</v>
      </c>
      <c r="E894" s="506">
        <v>0</v>
      </c>
      <c r="F894" s="506">
        <v>125</v>
      </c>
      <c r="G894" s="507">
        <v>0</v>
      </c>
      <c r="H894" s="503"/>
      <c r="I894" s="503"/>
      <c r="J894" s="503"/>
      <c r="K894" s="503"/>
    </row>
    <row r="895" spans="1:11" ht="12">
      <c r="A895" s="504">
        <v>2141127007</v>
      </c>
      <c r="B895" s="539" t="s">
        <v>1410</v>
      </c>
      <c r="C895" s="505" t="s">
        <v>668</v>
      </c>
      <c r="D895" s="506">
        <v>3000</v>
      </c>
      <c r="E895" s="506">
        <v>560</v>
      </c>
      <c r="F895" s="506">
        <v>559</v>
      </c>
      <c r="G895" s="507">
        <v>1</v>
      </c>
      <c r="H895" s="503"/>
      <c r="I895" s="503"/>
      <c r="J895" s="503"/>
      <c r="K895" s="503"/>
    </row>
    <row r="896" spans="1:11" ht="12">
      <c r="A896" s="504">
        <v>2141127008</v>
      </c>
      <c r="B896" s="539" t="s">
        <v>1411</v>
      </c>
      <c r="C896" s="505" t="s">
        <v>1142</v>
      </c>
      <c r="D896" s="506">
        <v>1800</v>
      </c>
      <c r="E896" s="506">
        <v>0</v>
      </c>
      <c r="F896" s="506">
        <v>0</v>
      </c>
      <c r="G896" s="507">
        <v>0</v>
      </c>
      <c r="H896" s="503"/>
      <c r="I896" s="503"/>
      <c r="J896" s="503"/>
      <c r="K896" s="503"/>
    </row>
    <row r="897" spans="1:11" ht="12">
      <c r="A897" s="504">
        <v>2141127009</v>
      </c>
      <c r="B897" s="539" t="s">
        <v>2278</v>
      </c>
      <c r="C897" s="505" t="s">
        <v>1137</v>
      </c>
      <c r="D897" s="506">
        <v>44257</v>
      </c>
      <c r="E897" s="506">
        <v>99999</v>
      </c>
      <c r="F897" s="506">
        <v>99971</v>
      </c>
      <c r="G897" s="507">
        <v>28</v>
      </c>
      <c r="H897" s="503"/>
      <c r="I897" s="503"/>
      <c r="J897" s="503"/>
      <c r="K897" s="503"/>
    </row>
    <row r="898" spans="1:11" ht="12">
      <c r="A898" s="504">
        <v>2141127010</v>
      </c>
      <c r="B898" s="539" t="s">
        <v>2278</v>
      </c>
      <c r="C898" s="505" t="s">
        <v>670</v>
      </c>
      <c r="D898" s="506">
        <v>25908</v>
      </c>
      <c r="E898" s="506">
        <v>29191</v>
      </c>
      <c r="F898" s="506">
        <v>41403</v>
      </c>
      <c r="G898" s="507">
        <v>1527</v>
      </c>
      <c r="H898" s="503"/>
      <c r="I898" s="503"/>
      <c r="J898" s="503"/>
      <c r="K898" s="503"/>
    </row>
    <row r="899" spans="1:11" ht="12">
      <c r="A899" s="504">
        <v>2141127011</v>
      </c>
      <c r="B899" s="539" t="s">
        <v>2278</v>
      </c>
      <c r="C899" s="505" t="s">
        <v>677</v>
      </c>
      <c r="D899" s="506">
        <v>30248</v>
      </c>
      <c r="E899" s="506">
        <v>19231</v>
      </c>
      <c r="F899" s="506">
        <v>38061</v>
      </c>
      <c r="G899" s="507">
        <v>0</v>
      </c>
      <c r="H899" s="503"/>
      <c r="I899" s="503"/>
      <c r="J899" s="503"/>
      <c r="K899" s="503"/>
    </row>
    <row r="900" spans="1:11" ht="12">
      <c r="A900" s="504">
        <v>2141127012</v>
      </c>
      <c r="B900" s="539" t="s">
        <v>2278</v>
      </c>
      <c r="C900" s="505" t="s">
        <v>1208</v>
      </c>
      <c r="D900" s="506">
        <v>26893</v>
      </c>
      <c r="E900" s="506">
        <v>19841</v>
      </c>
      <c r="F900" s="506">
        <v>29265</v>
      </c>
      <c r="G900" s="507">
        <v>176</v>
      </c>
      <c r="H900" s="503"/>
      <c r="I900" s="503"/>
      <c r="J900" s="503"/>
      <c r="K900" s="503"/>
    </row>
    <row r="901" spans="1:11" ht="12">
      <c r="A901" s="504">
        <v>2141127013</v>
      </c>
      <c r="B901" s="539" t="s">
        <v>2278</v>
      </c>
      <c r="C901" s="505" t="s">
        <v>692</v>
      </c>
      <c r="D901" s="506">
        <v>33900</v>
      </c>
      <c r="E901" s="506">
        <v>33141</v>
      </c>
      <c r="F901" s="506">
        <v>37141</v>
      </c>
      <c r="G901" s="507">
        <v>0</v>
      </c>
      <c r="H901" s="503"/>
      <c r="I901" s="503"/>
      <c r="J901" s="503"/>
      <c r="K901" s="503"/>
    </row>
    <row r="902" spans="1:11" ht="12">
      <c r="A902" s="504">
        <v>2141127014</v>
      </c>
      <c r="B902" s="539" t="s">
        <v>2278</v>
      </c>
      <c r="C902" s="505" t="s">
        <v>699</v>
      </c>
      <c r="D902" s="506">
        <v>42500</v>
      </c>
      <c r="E902" s="506">
        <v>36378</v>
      </c>
      <c r="F902" s="506">
        <v>50378</v>
      </c>
      <c r="G902" s="507">
        <v>0</v>
      </c>
      <c r="H902" s="503"/>
      <c r="I902" s="503"/>
      <c r="J902" s="503"/>
      <c r="K902" s="503"/>
    </row>
    <row r="903" spans="1:11" ht="12">
      <c r="A903" s="504">
        <v>2141127015</v>
      </c>
      <c r="B903" s="539" t="s">
        <v>2278</v>
      </c>
      <c r="C903" s="505" t="s">
        <v>668</v>
      </c>
      <c r="D903" s="506">
        <v>31234</v>
      </c>
      <c r="E903" s="506">
        <v>14799</v>
      </c>
      <c r="F903" s="506">
        <v>35482</v>
      </c>
      <c r="G903" s="507">
        <v>0</v>
      </c>
      <c r="H903" s="503"/>
      <c r="I903" s="503"/>
      <c r="J903" s="503"/>
      <c r="K903" s="503"/>
    </row>
    <row r="904" spans="1:11" ht="12">
      <c r="A904" s="504">
        <v>2141127016</v>
      </c>
      <c r="B904" s="539" t="s">
        <v>2278</v>
      </c>
      <c r="C904" s="505" t="s">
        <v>1142</v>
      </c>
      <c r="D904" s="506">
        <v>38693</v>
      </c>
      <c r="E904" s="506">
        <v>37537</v>
      </c>
      <c r="F904" s="506">
        <v>46989</v>
      </c>
      <c r="G904" s="507">
        <v>0</v>
      </c>
      <c r="H904" s="503"/>
      <c r="I904" s="503"/>
      <c r="J904" s="503"/>
      <c r="K904" s="503"/>
    </row>
    <row r="905" spans="1:11" ht="12">
      <c r="A905" s="504">
        <v>2141127017</v>
      </c>
      <c r="B905" s="539" t="s">
        <v>2278</v>
      </c>
      <c r="C905" s="505" t="s">
        <v>720</v>
      </c>
      <c r="D905" s="506">
        <v>24381</v>
      </c>
      <c r="E905" s="506">
        <v>16634</v>
      </c>
      <c r="F905" s="506">
        <v>32086</v>
      </c>
      <c r="G905" s="507">
        <v>0</v>
      </c>
      <c r="H905" s="503"/>
      <c r="I905" s="503"/>
      <c r="J905" s="503"/>
      <c r="K905" s="503"/>
    </row>
    <row r="906" spans="1:11" ht="12">
      <c r="A906" s="504">
        <v>2141127018</v>
      </c>
      <c r="B906" s="539" t="s">
        <v>1412</v>
      </c>
      <c r="C906" s="505" t="s">
        <v>677</v>
      </c>
      <c r="D906" s="506">
        <v>500</v>
      </c>
      <c r="E906" s="506">
        <v>500</v>
      </c>
      <c r="F906" s="506">
        <v>0</v>
      </c>
      <c r="G906" s="507">
        <v>500</v>
      </c>
      <c r="H906" s="503"/>
      <c r="I906" s="503"/>
      <c r="J906" s="503"/>
      <c r="K906" s="503"/>
    </row>
    <row r="907" spans="1:11" ht="12">
      <c r="A907" s="504">
        <v>2141127019</v>
      </c>
      <c r="B907" s="539" t="s">
        <v>1412</v>
      </c>
      <c r="C907" s="505" t="s">
        <v>1208</v>
      </c>
      <c r="D907" s="506">
        <v>370</v>
      </c>
      <c r="E907" s="506">
        <v>370</v>
      </c>
      <c r="F907" s="506">
        <v>0</v>
      </c>
      <c r="G907" s="507">
        <v>370</v>
      </c>
      <c r="H907" s="503"/>
      <c r="I907" s="503"/>
      <c r="J907" s="503"/>
      <c r="K907" s="503"/>
    </row>
    <row r="908" spans="1:11" ht="12">
      <c r="A908" s="504">
        <v>2141127020</v>
      </c>
      <c r="B908" s="539" t="s">
        <v>1413</v>
      </c>
      <c r="C908" s="505" t="s">
        <v>1208</v>
      </c>
      <c r="D908" s="506">
        <v>1150</v>
      </c>
      <c r="E908" s="506">
        <v>1150</v>
      </c>
      <c r="F908" s="506">
        <v>0</v>
      </c>
      <c r="G908" s="507">
        <v>1150</v>
      </c>
      <c r="H908" s="503"/>
      <c r="I908" s="503"/>
      <c r="J908" s="503"/>
      <c r="K908" s="503"/>
    </row>
    <row r="909" spans="1:11" ht="12">
      <c r="A909" s="504">
        <v>2141127021</v>
      </c>
      <c r="B909" s="539" t="s">
        <v>1412</v>
      </c>
      <c r="C909" s="505" t="s">
        <v>692</v>
      </c>
      <c r="D909" s="506">
        <v>336</v>
      </c>
      <c r="E909" s="506">
        <v>17336</v>
      </c>
      <c r="F909" s="506">
        <v>0</v>
      </c>
      <c r="G909" s="507">
        <v>17336</v>
      </c>
      <c r="H909" s="503"/>
      <c r="I909" s="503"/>
      <c r="J909" s="503"/>
      <c r="K909" s="503"/>
    </row>
    <row r="910" spans="1:11" ht="12">
      <c r="A910" s="504">
        <v>2141127022</v>
      </c>
      <c r="B910" s="539" t="s">
        <v>1412</v>
      </c>
      <c r="C910" s="505" t="s">
        <v>699</v>
      </c>
      <c r="D910" s="506">
        <v>610</v>
      </c>
      <c r="E910" s="506">
        <v>610</v>
      </c>
      <c r="F910" s="506">
        <v>0</v>
      </c>
      <c r="G910" s="507">
        <v>610</v>
      </c>
      <c r="H910" s="503"/>
      <c r="I910" s="503"/>
      <c r="J910" s="503"/>
      <c r="K910" s="503"/>
    </row>
    <row r="911" spans="1:11" ht="12">
      <c r="A911" s="504">
        <v>2141127023</v>
      </c>
      <c r="B911" s="539" t="s">
        <v>1414</v>
      </c>
      <c r="C911" s="505" t="s">
        <v>699</v>
      </c>
      <c r="D911" s="506">
        <v>15000</v>
      </c>
      <c r="E911" s="506">
        <v>2013</v>
      </c>
      <c r="F911" s="506">
        <v>0</v>
      </c>
      <c r="G911" s="507">
        <v>2013</v>
      </c>
      <c r="H911" s="503"/>
      <c r="I911" s="503"/>
      <c r="J911" s="503"/>
      <c r="K911" s="503"/>
    </row>
    <row r="912" spans="1:11" ht="12">
      <c r="A912" s="504">
        <v>2141127024</v>
      </c>
      <c r="B912" s="539" t="s">
        <v>1415</v>
      </c>
      <c r="C912" s="505" t="s">
        <v>699</v>
      </c>
      <c r="D912" s="506">
        <v>250</v>
      </c>
      <c r="E912" s="506">
        <v>250</v>
      </c>
      <c r="F912" s="506">
        <v>0</v>
      </c>
      <c r="G912" s="507">
        <v>250</v>
      </c>
      <c r="H912" s="503"/>
      <c r="I912" s="503"/>
      <c r="J912" s="503"/>
      <c r="K912" s="503"/>
    </row>
    <row r="913" spans="1:11" ht="12">
      <c r="A913" s="504">
        <v>2141127025</v>
      </c>
      <c r="B913" s="539" t="s">
        <v>1412</v>
      </c>
      <c r="C913" s="505" t="s">
        <v>668</v>
      </c>
      <c r="D913" s="506">
        <v>504</v>
      </c>
      <c r="E913" s="506">
        <v>504</v>
      </c>
      <c r="F913" s="506">
        <v>0</v>
      </c>
      <c r="G913" s="507">
        <v>504</v>
      </c>
      <c r="H913" s="503"/>
      <c r="I913" s="503"/>
      <c r="J913" s="503"/>
      <c r="K913" s="503"/>
    </row>
    <row r="914" spans="1:11" ht="12">
      <c r="A914" s="504">
        <v>2141127026</v>
      </c>
      <c r="B914" s="539" t="s">
        <v>1416</v>
      </c>
      <c r="C914" s="505" t="s">
        <v>668</v>
      </c>
      <c r="D914" s="506">
        <v>150</v>
      </c>
      <c r="E914" s="506">
        <v>150</v>
      </c>
      <c r="F914" s="506">
        <v>0</v>
      </c>
      <c r="G914" s="507">
        <v>150</v>
      </c>
      <c r="H914" s="503"/>
      <c r="I914" s="503"/>
      <c r="J914" s="503"/>
      <c r="K914" s="503"/>
    </row>
    <row r="915" spans="1:11" ht="12">
      <c r="A915" s="504">
        <v>2141127027</v>
      </c>
      <c r="B915" s="539" t="s">
        <v>1417</v>
      </c>
      <c r="C915" s="505" t="s">
        <v>668</v>
      </c>
      <c r="D915" s="506">
        <v>1500</v>
      </c>
      <c r="E915" s="506">
        <v>1500</v>
      </c>
      <c r="F915" s="506">
        <v>0</v>
      </c>
      <c r="G915" s="507">
        <v>1500</v>
      </c>
      <c r="H915" s="503"/>
      <c r="I915" s="503"/>
      <c r="J915" s="503"/>
      <c r="K915" s="503"/>
    </row>
    <row r="916" spans="1:11" ht="12">
      <c r="A916" s="504">
        <v>2141127028</v>
      </c>
      <c r="B916" s="539" t="s">
        <v>1412</v>
      </c>
      <c r="C916" s="505" t="s">
        <v>1142</v>
      </c>
      <c r="D916" s="506">
        <v>1008</v>
      </c>
      <c r="E916" s="506">
        <v>1008</v>
      </c>
      <c r="F916" s="506">
        <v>0</v>
      </c>
      <c r="G916" s="507">
        <v>1008</v>
      </c>
      <c r="H916" s="503"/>
      <c r="I916" s="503"/>
      <c r="J916" s="503"/>
      <c r="K916" s="503"/>
    </row>
    <row r="917" spans="1:11" ht="12">
      <c r="A917" s="504">
        <v>2141127029</v>
      </c>
      <c r="B917" s="539" t="s">
        <v>1418</v>
      </c>
      <c r="C917" s="505" t="s">
        <v>1142</v>
      </c>
      <c r="D917" s="506">
        <v>250</v>
      </c>
      <c r="E917" s="506">
        <v>250</v>
      </c>
      <c r="F917" s="506">
        <v>0</v>
      </c>
      <c r="G917" s="507">
        <v>250</v>
      </c>
      <c r="H917" s="503"/>
      <c r="I917" s="503"/>
      <c r="J917" s="503"/>
      <c r="K917" s="503"/>
    </row>
    <row r="918" spans="1:11" ht="12">
      <c r="A918" s="504">
        <v>2141127030</v>
      </c>
      <c r="B918" s="539" t="s">
        <v>1419</v>
      </c>
      <c r="C918" s="505" t="s">
        <v>1142</v>
      </c>
      <c r="D918" s="506">
        <v>100</v>
      </c>
      <c r="E918" s="506">
        <v>100</v>
      </c>
      <c r="F918" s="506">
        <v>0</v>
      </c>
      <c r="G918" s="507">
        <v>100</v>
      </c>
      <c r="H918" s="503"/>
      <c r="I918" s="503"/>
      <c r="J918" s="503"/>
      <c r="K918" s="503"/>
    </row>
    <row r="919" spans="1:11" ht="12">
      <c r="A919" s="504">
        <v>2141127031</v>
      </c>
      <c r="B919" s="539" t="s">
        <v>1412</v>
      </c>
      <c r="C919" s="505" t="s">
        <v>720</v>
      </c>
      <c r="D919" s="506">
        <v>672</v>
      </c>
      <c r="E919" s="506">
        <v>672</v>
      </c>
      <c r="F919" s="506">
        <v>0</v>
      </c>
      <c r="G919" s="507">
        <v>672</v>
      </c>
      <c r="H919" s="503"/>
      <c r="I919" s="503"/>
      <c r="J919" s="503"/>
      <c r="K919" s="503"/>
    </row>
    <row r="920" spans="1:11" ht="12">
      <c r="A920" s="504">
        <v>2141127032</v>
      </c>
      <c r="B920" s="539" t="s">
        <v>1420</v>
      </c>
      <c r="C920" s="505" t="s">
        <v>720</v>
      </c>
      <c r="D920" s="506">
        <v>1250</v>
      </c>
      <c r="E920" s="506">
        <v>1250</v>
      </c>
      <c r="F920" s="506">
        <v>0</v>
      </c>
      <c r="G920" s="507">
        <v>1250</v>
      </c>
      <c r="H920" s="503"/>
      <c r="I920" s="503"/>
      <c r="J920" s="503"/>
      <c r="K920" s="503"/>
    </row>
    <row r="921" spans="1:11" ht="12">
      <c r="A921" s="504">
        <v>2141127033</v>
      </c>
      <c r="B921" s="539" t="s">
        <v>1421</v>
      </c>
      <c r="C921" s="179" t="s">
        <v>1208</v>
      </c>
      <c r="D921" s="506">
        <v>43000</v>
      </c>
      <c r="E921" s="506">
        <v>0</v>
      </c>
      <c r="F921" s="506">
        <v>0</v>
      </c>
      <c r="G921" s="507">
        <v>0</v>
      </c>
      <c r="H921" s="503"/>
      <c r="I921" s="503"/>
      <c r="J921" s="503"/>
      <c r="K921" s="503"/>
    </row>
    <row r="922" spans="1:11" ht="12">
      <c r="A922" s="504">
        <v>2141127034</v>
      </c>
      <c r="B922" s="539" t="s">
        <v>1421</v>
      </c>
      <c r="C922" s="505" t="s">
        <v>692</v>
      </c>
      <c r="D922" s="506">
        <v>42166</v>
      </c>
      <c r="E922" s="506">
        <v>0</v>
      </c>
      <c r="F922" s="506">
        <v>0</v>
      </c>
      <c r="G922" s="507">
        <v>0</v>
      </c>
      <c r="H922" s="503"/>
      <c r="I922" s="503"/>
      <c r="J922" s="503"/>
      <c r="K922" s="503"/>
    </row>
    <row r="923" spans="1:11" ht="12">
      <c r="A923" s="504">
        <v>2141127035</v>
      </c>
      <c r="B923" s="539" t="s">
        <v>1421</v>
      </c>
      <c r="C923" s="505" t="s">
        <v>699</v>
      </c>
      <c r="D923" s="506">
        <v>43000</v>
      </c>
      <c r="E923" s="506">
        <v>0</v>
      </c>
      <c r="F923" s="506">
        <v>0</v>
      </c>
      <c r="G923" s="507">
        <v>0</v>
      </c>
      <c r="H923" s="503"/>
      <c r="I923" s="503"/>
      <c r="J923" s="503"/>
      <c r="K923" s="503"/>
    </row>
    <row r="924" spans="1:11" ht="12">
      <c r="A924" s="504">
        <v>2141127036</v>
      </c>
      <c r="B924" s="539" t="s">
        <v>1421</v>
      </c>
      <c r="C924" s="505" t="s">
        <v>668</v>
      </c>
      <c r="D924" s="506">
        <v>43000</v>
      </c>
      <c r="E924" s="506">
        <v>0</v>
      </c>
      <c r="F924" s="506">
        <v>0</v>
      </c>
      <c r="G924" s="507">
        <v>0</v>
      </c>
      <c r="H924" s="503"/>
      <c r="I924" s="503"/>
      <c r="J924" s="503"/>
      <c r="K924" s="503"/>
    </row>
    <row r="925" spans="1:11" ht="12">
      <c r="A925" s="504">
        <v>2141127037</v>
      </c>
      <c r="B925" s="539" t="s">
        <v>1421</v>
      </c>
      <c r="C925" s="505" t="s">
        <v>720</v>
      </c>
      <c r="D925" s="506">
        <v>41884</v>
      </c>
      <c r="E925" s="506">
        <v>0</v>
      </c>
      <c r="F925" s="506">
        <v>0</v>
      </c>
      <c r="G925" s="507">
        <v>0</v>
      </c>
      <c r="H925" s="503"/>
      <c r="I925" s="503"/>
      <c r="J925" s="503"/>
      <c r="K925" s="503"/>
    </row>
    <row r="926" spans="1:11" ht="12">
      <c r="A926" s="504">
        <v>2141127038</v>
      </c>
      <c r="B926" s="539" t="s">
        <v>1421</v>
      </c>
      <c r="C926" s="505" t="s">
        <v>1142</v>
      </c>
      <c r="D926" s="506">
        <v>39793</v>
      </c>
      <c r="E926" s="506">
        <v>0</v>
      </c>
      <c r="F926" s="506">
        <v>0</v>
      </c>
      <c r="G926" s="507">
        <v>0</v>
      </c>
      <c r="H926" s="503"/>
      <c r="I926" s="503"/>
      <c r="J926" s="503"/>
      <c r="K926" s="503"/>
    </row>
    <row r="927" spans="1:11" ht="12">
      <c r="A927" s="504">
        <v>2141127039</v>
      </c>
      <c r="B927" s="539" t="s">
        <v>1421</v>
      </c>
      <c r="C927" s="505" t="s">
        <v>677</v>
      </c>
      <c r="D927" s="506">
        <v>43000</v>
      </c>
      <c r="E927" s="506">
        <v>0</v>
      </c>
      <c r="F927" s="506">
        <v>0</v>
      </c>
      <c r="G927" s="507">
        <v>0</v>
      </c>
      <c r="H927" s="503"/>
      <c r="I927" s="503"/>
      <c r="J927" s="503"/>
      <c r="K927" s="503"/>
    </row>
    <row r="928" spans="1:11" ht="12">
      <c r="A928" s="504">
        <v>2141127040</v>
      </c>
      <c r="B928" s="539" t="s">
        <v>1421</v>
      </c>
      <c r="C928" s="505" t="s">
        <v>670</v>
      </c>
      <c r="D928" s="506">
        <v>43000</v>
      </c>
      <c r="E928" s="506">
        <v>0</v>
      </c>
      <c r="F928" s="506">
        <v>0</v>
      </c>
      <c r="G928" s="507">
        <v>0</v>
      </c>
      <c r="H928" s="503"/>
      <c r="I928" s="503"/>
      <c r="J928" s="503"/>
      <c r="K928" s="503"/>
    </row>
    <row r="929" spans="1:11" ht="12">
      <c r="A929" s="504">
        <v>2141127041</v>
      </c>
      <c r="B929" s="539" t="s">
        <v>1422</v>
      </c>
      <c r="C929" s="505" t="s">
        <v>668</v>
      </c>
      <c r="D929" s="506">
        <v>3573</v>
      </c>
      <c r="E929" s="506">
        <v>3573</v>
      </c>
      <c r="F929" s="506">
        <v>3573</v>
      </c>
      <c r="G929" s="507">
        <v>0</v>
      </c>
      <c r="H929" s="503"/>
      <c r="I929" s="503"/>
      <c r="J929" s="503"/>
      <c r="K929" s="503"/>
    </row>
    <row r="930" spans="1:11" ht="12">
      <c r="A930" s="504">
        <v>2141127042</v>
      </c>
      <c r="B930" s="539" t="s">
        <v>1423</v>
      </c>
      <c r="C930" s="505" t="s">
        <v>692</v>
      </c>
      <c r="D930" s="506">
        <v>0</v>
      </c>
      <c r="E930" s="506">
        <v>1723</v>
      </c>
      <c r="F930" s="506">
        <v>1722</v>
      </c>
      <c r="G930" s="507">
        <v>1</v>
      </c>
      <c r="H930" s="503"/>
      <c r="I930" s="503"/>
      <c r="J930" s="503"/>
      <c r="K930" s="503"/>
    </row>
    <row r="931" spans="1:11" ht="12">
      <c r="A931" s="504">
        <v>2141127043</v>
      </c>
      <c r="B931" s="539" t="s">
        <v>1424</v>
      </c>
      <c r="C931" s="505" t="s">
        <v>670</v>
      </c>
      <c r="D931" s="506">
        <v>0</v>
      </c>
      <c r="E931" s="506">
        <v>6150</v>
      </c>
      <c r="F931" s="506">
        <v>6148</v>
      </c>
      <c r="G931" s="507">
        <v>2</v>
      </c>
      <c r="H931" s="503"/>
      <c r="I931" s="503"/>
      <c r="J931" s="503"/>
      <c r="K931" s="503"/>
    </row>
    <row r="932" spans="1:11" ht="12">
      <c r="A932" s="504">
        <v>2141127044</v>
      </c>
      <c r="B932" s="539" t="s">
        <v>2007</v>
      </c>
      <c r="C932" s="505" t="s">
        <v>670</v>
      </c>
      <c r="D932" s="506">
        <v>0</v>
      </c>
      <c r="E932" s="506">
        <v>4311</v>
      </c>
      <c r="F932" s="506">
        <v>4310</v>
      </c>
      <c r="G932" s="507">
        <v>1</v>
      </c>
      <c r="H932" s="503"/>
      <c r="I932" s="503"/>
      <c r="J932" s="503"/>
      <c r="K932" s="503"/>
    </row>
    <row r="933" spans="1:11" ht="12">
      <c r="A933" s="504">
        <v>2141127045</v>
      </c>
      <c r="B933" s="539" t="s">
        <v>2008</v>
      </c>
      <c r="C933" s="505" t="s">
        <v>670</v>
      </c>
      <c r="D933" s="506">
        <v>0</v>
      </c>
      <c r="E933" s="506">
        <v>5123</v>
      </c>
      <c r="F933" s="506">
        <v>5122</v>
      </c>
      <c r="G933" s="507">
        <v>1</v>
      </c>
      <c r="H933" s="503"/>
      <c r="I933" s="503"/>
      <c r="J933" s="503"/>
      <c r="K933" s="503"/>
    </row>
    <row r="934" spans="1:11" ht="12">
      <c r="A934" s="504">
        <v>2141127046</v>
      </c>
      <c r="B934" s="539" t="s">
        <v>2009</v>
      </c>
      <c r="C934" s="505" t="s">
        <v>670</v>
      </c>
      <c r="D934" s="506">
        <v>0</v>
      </c>
      <c r="E934" s="506">
        <v>3518</v>
      </c>
      <c r="F934" s="506">
        <v>3518</v>
      </c>
      <c r="G934" s="507">
        <v>0</v>
      </c>
      <c r="H934" s="503"/>
      <c r="I934" s="503"/>
      <c r="J934" s="503"/>
      <c r="K934" s="503"/>
    </row>
    <row r="935" spans="1:11" ht="12">
      <c r="A935" s="504">
        <v>2141127047</v>
      </c>
      <c r="B935" s="539" t="s">
        <v>2010</v>
      </c>
      <c r="C935" s="505" t="s">
        <v>670</v>
      </c>
      <c r="D935" s="506">
        <v>0</v>
      </c>
      <c r="E935" s="506">
        <v>6184</v>
      </c>
      <c r="F935" s="506">
        <v>6182</v>
      </c>
      <c r="G935" s="507">
        <v>2</v>
      </c>
      <c r="H935" s="503"/>
      <c r="I935" s="503"/>
      <c r="J935" s="503"/>
      <c r="K935" s="503"/>
    </row>
    <row r="936" spans="1:11" ht="12">
      <c r="A936" s="504">
        <v>2141127048</v>
      </c>
      <c r="B936" s="539" t="s">
        <v>2011</v>
      </c>
      <c r="C936" s="505" t="s">
        <v>1137</v>
      </c>
      <c r="D936" s="506">
        <v>0</v>
      </c>
      <c r="E936" s="506">
        <v>700</v>
      </c>
      <c r="F936" s="506">
        <v>698</v>
      </c>
      <c r="G936" s="507">
        <v>2</v>
      </c>
      <c r="H936" s="503"/>
      <c r="I936" s="503"/>
      <c r="J936" s="503"/>
      <c r="K936" s="503"/>
    </row>
    <row r="937" spans="1:11" ht="12">
      <c r="A937" s="504">
        <v>2141127049</v>
      </c>
      <c r="B937" s="539" t="s">
        <v>2012</v>
      </c>
      <c r="C937" s="505" t="s">
        <v>1137</v>
      </c>
      <c r="D937" s="506">
        <v>0</v>
      </c>
      <c r="E937" s="506">
        <v>587</v>
      </c>
      <c r="F937" s="506">
        <v>586</v>
      </c>
      <c r="G937" s="507">
        <v>1</v>
      </c>
      <c r="H937" s="503"/>
      <c r="I937" s="503"/>
      <c r="J937" s="503"/>
      <c r="K937" s="503"/>
    </row>
    <row r="938" spans="1:11" ht="12">
      <c r="A938" s="504">
        <v>2141127050</v>
      </c>
      <c r="B938" s="539" t="s">
        <v>2013</v>
      </c>
      <c r="C938" s="505" t="s">
        <v>1137</v>
      </c>
      <c r="D938" s="506">
        <v>0</v>
      </c>
      <c r="E938" s="506">
        <v>0</v>
      </c>
      <c r="F938" s="506">
        <v>5759</v>
      </c>
      <c r="G938" s="507">
        <v>0</v>
      </c>
      <c r="H938" s="503"/>
      <c r="I938" s="503"/>
      <c r="J938" s="503"/>
      <c r="K938" s="503"/>
    </row>
    <row r="939" spans="1:11" ht="12">
      <c r="A939" s="504">
        <v>2141127051</v>
      </c>
      <c r="B939" s="539" t="s">
        <v>1502</v>
      </c>
      <c r="C939" s="505" t="s">
        <v>1137</v>
      </c>
      <c r="D939" s="506">
        <v>0</v>
      </c>
      <c r="E939" s="506">
        <v>1028</v>
      </c>
      <c r="F939" s="506">
        <v>1028</v>
      </c>
      <c r="G939" s="507">
        <v>0</v>
      </c>
      <c r="H939" s="503"/>
      <c r="I939" s="503"/>
      <c r="J939" s="503"/>
      <c r="K939" s="503"/>
    </row>
    <row r="940" spans="1:11" ht="12">
      <c r="A940" s="504">
        <v>2141127052</v>
      </c>
      <c r="B940" s="539" t="s">
        <v>1503</v>
      </c>
      <c r="C940" s="505" t="s">
        <v>1137</v>
      </c>
      <c r="D940" s="506">
        <v>0</v>
      </c>
      <c r="E940" s="506">
        <v>0</v>
      </c>
      <c r="F940" s="506">
        <v>335</v>
      </c>
      <c r="G940" s="507">
        <v>0</v>
      </c>
      <c r="H940" s="503"/>
      <c r="I940" s="503"/>
      <c r="J940" s="503"/>
      <c r="K940" s="503"/>
    </row>
    <row r="941" spans="1:11" ht="12">
      <c r="A941" s="504">
        <v>2141127053</v>
      </c>
      <c r="B941" s="539" t="s">
        <v>1504</v>
      </c>
      <c r="C941" s="505" t="s">
        <v>1137</v>
      </c>
      <c r="D941" s="506">
        <v>0</v>
      </c>
      <c r="E941" s="506">
        <v>0</v>
      </c>
      <c r="F941" s="506">
        <v>63</v>
      </c>
      <c r="G941" s="507">
        <v>0</v>
      </c>
      <c r="H941" s="503"/>
      <c r="I941" s="503"/>
      <c r="J941" s="503"/>
      <c r="K941" s="503"/>
    </row>
    <row r="942" spans="1:11" ht="12">
      <c r="A942" s="504">
        <v>2141127054</v>
      </c>
      <c r="B942" s="539" t="s">
        <v>1505</v>
      </c>
      <c r="C942" s="505" t="s">
        <v>677</v>
      </c>
      <c r="D942" s="506">
        <v>0</v>
      </c>
      <c r="E942" s="506">
        <v>0</v>
      </c>
      <c r="F942" s="506">
        <v>418</v>
      </c>
      <c r="G942" s="507">
        <v>0</v>
      </c>
      <c r="H942" s="503"/>
      <c r="I942" s="503"/>
      <c r="J942" s="503"/>
      <c r="K942" s="503"/>
    </row>
    <row r="943" spans="1:11" ht="12">
      <c r="A943" s="504">
        <v>2141127056</v>
      </c>
      <c r="B943" s="539" t="s">
        <v>1506</v>
      </c>
      <c r="C943" s="505" t="s">
        <v>677</v>
      </c>
      <c r="D943" s="506">
        <v>0</v>
      </c>
      <c r="E943" s="506">
        <v>2000</v>
      </c>
      <c r="F943" s="506">
        <v>2000</v>
      </c>
      <c r="G943" s="507">
        <v>0</v>
      </c>
      <c r="H943" s="503"/>
      <c r="I943" s="503"/>
      <c r="J943" s="503"/>
      <c r="K943" s="503"/>
    </row>
    <row r="944" spans="1:11" ht="12">
      <c r="A944" s="504">
        <v>2141127061</v>
      </c>
      <c r="B944" s="539" t="s">
        <v>1507</v>
      </c>
      <c r="C944" s="505" t="s">
        <v>1142</v>
      </c>
      <c r="D944" s="506">
        <v>0</v>
      </c>
      <c r="E944" s="506">
        <v>1150</v>
      </c>
      <c r="F944" s="506">
        <v>1150</v>
      </c>
      <c r="G944" s="507">
        <v>0</v>
      </c>
      <c r="H944" s="503"/>
      <c r="I944" s="503"/>
      <c r="J944" s="503"/>
      <c r="K944" s="503"/>
    </row>
    <row r="945" spans="1:11" ht="12">
      <c r="A945" s="504">
        <v>2141127062</v>
      </c>
      <c r="B945" s="539" t="s">
        <v>1508</v>
      </c>
      <c r="C945" s="505" t="s">
        <v>720</v>
      </c>
      <c r="D945" s="506">
        <v>0</v>
      </c>
      <c r="E945" s="506">
        <v>182</v>
      </c>
      <c r="F945" s="506">
        <v>0</v>
      </c>
      <c r="G945" s="507">
        <v>182</v>
      </c>
      <c r="H945" s="503"/>
      <c r="I945" s="503"/>
      <c r="J945" s="503"/>
      <c r="K945" s="503"/>
    </row>
    <row r="946" spans="1:11" ht="12">
      <c r="A946" s="504">
        <v>2141127065</v>
      </c>
      <c r="B946" s="539" t="s">
        <v>1509</v>
      </c>
      <c r="C946" s="505" t="s">
        <v>1137</v>
      </c>
      <c r="D946" s="506">
        <v>0</v>
      </c>
      <c r="E946" s="506">
        <v>1413</v>
      </c>
      <c r="F946" s="506">
        <v>1411</v>
      </c>
      <c r="G946" s="507">
        <v>1</v>
      </c>
      <c r="H946" s="503"/>
      <c r="I946" s="503"/>
      <c r="J946" s="503"/>
      <c r="K946" s="503"/>
    </row>
    <row r="947" spans="1:11" ht="12">
      <c r="A947" s="504">
        <v>2141127066</v>
      </c>
      <c r="B947" s="539" t="s">
        <v>1510</v>
      </c>
      <c r="C947" s="505" t="s">
        <v>720</v>
      </c>
      <c r="D947" s="506">
        <v>0</v>
      </c>
      <c r="E947" s="506">
        <v>5598</v>
      </c>
      <c r="F947" s="506">
        <v>5595</v>
      </c>
      <c r="G947" s="507">
        <v>3</v>
      </c>
      <c r="H947" s="503"/>
      <c r="I947" s="503"/>
      <c r="J947" s="503"/>
      <c r="K947" s="503"/>
    </row>
    <row r="948" spans="1:11" ht="12">
      <c r="A948" s="504">
        <v>2141127067</v>
      </c>
      <c r="B948" s="539" t="s">
        <v>1511</v>
      </c>
      <c r="C948" s="505" t="s">
        <v>720</v>
      </c>
      <c r="D948" s="506">
        <v>0</v>
      </c>
      <c r="E948" s="506">
        <v>2733</v>
      </c>
      <c r="F948" s="506">
        <v>2730</v>
      </c>
      <c r="G948" s="507">
        <v>3</v>
      </c>
      <c r="H948" s="503"/>
      <c r="I948" s="503"/>
      <c r="J948" s="503"/>
      <c r="K948" s="503"/>
    </row>
    <row r="949" spans="1:11" ht="12">
      <c r="A949" s="504">
        <v>2141127068</v>
      </c>
      <c r="B949" s="539" t="s">
        <v>1512</v>
      </c>
      <c r="C949" s="505" t="s">
        <v>720</v>
      </c>
      <c r="D949" s="506">
        <v>0</v>
      </c>
      <c r="E949" s="506">
        <v>3392</v>
      </c>
      <c r="F949" s="506">
        <v>3389</v>
      </c>
      <c r="G949" s="507">
        <v>3</v>
      </c>
      <c r="H949" s="503"/>
      <c r="I949" s="503"/>
      <c r="J949" s="503"/>
      <c r="K949" s="503"/>
    </row>
    <row r="950" spans="1:11" ht="12">
      <c r="A950" s="504">
        <v>2141127069</v>
      </c>
      <c r="B950" s="539" t="s">
        <v>1513</v>
      </c>
      <c r="C950" s="505" t="s">
        <v>720</v>
      </c>
      <c r="D950" s="506">
        <v>0</v>
      </c>
      <c r="E950" s="506">
        <v>2788</v>
      </c>
      <c r="F950" s="506">
        <v>2786</v>
      </c>
      <c r="G950" s="507">
        <v>2</v>
      </c>
      <c r="H950" s="503"/>
      <c r="I950" s="503"/>
      <c r="J950" s="503"/>
      <c r="K950" s="503"/>
    </row>
    <row r="951" spans="1:11" ht="12">
      <c r="A951" s="504">
        <v>2141127070</v>
      </c>
      <c r="B951" s="539" t="s">
        <v>1514</v>
      </c>
      <c r="C951" s="505" t="s">
        <v>720</v>
      </c>
      <c r="D951" s="506">
        <v>0</v>
      </c>
      <c r="E951" s="506">
        <v>3774</v>
      </c>
      <c r="F951" s="506">
        <v>3773</v>
      </c>
      <c r="G951" s="507">
        <v>1</v>
      </c>
      <c r="H951" s="503"/>
      <c r="I951" s="503"/>
      <c r="J951" s="503"/>
      <c r="K951" s="503"/>
    </row>
    <row r="952" spans="1:11" ht="12">
      <c r="A952" s="504">
        <v>2141127071</v>
      </c>
      <c r="B952" s="539" t="s">
        <v>1515</v>
      </c>
      <c r="C952" s="505" t="s">
        <v>720</v>
      </c>
      <c r="D952" s="506">
        <v>0</v>
      </c>
      <c r="E952" s="506">
        <v>3962</v>
      </c>
      <c r="F952" s="506">
        <v>3960</v>
      </c>
      <c r="G952" s="507">
        <v>2</v>
      </c>
      <c r="H952" s="503"/>
      <c r="I952" s="503"/>
      <c r="J952" s="503"/>
      <c r="K952" s="503"/>
    </row>
    <row r="953" spans="1:11" ht="12">
      <c r="A953" s="504">
        <v>2141127072</v>
      </c>
      <c r="B953" s="539" t="s">
        <v>1516</v>
      </c>
      <c r="C953" s="505" t="s">
        <v>720</v>
      </c>
      <c r="D953" s="506">
        <v>0</v>
      </c>
      <c r="E953" s="506">
        <v>2821</v>
      </c>
      <c r="F953" s="506">
        <v>2819</v>
      </c>
      <c r="G953" s="507">
        <v>2</v>
      </c>
      <c r="H953" s="503"/>
      <c r="I953" s="503"/>
      <c r="J953" s="503"/>
      <c r="K953" s="503"/>
    </row>
    <row r="954" spans="1:11" ht="12">
      <c r="A954" s="504">
        <v>2141127073</v>
      </c>
      <c r="B954" s="539" t="s">
        <v>1517</v>
      </c>
      <c r="C954" s="505" t="s">
        <v>720</v>
      </c>
      <c r="D954" s="506">
        <v>0</v>
      </c>
      <c r="E954" s="506">
        <v>2968</v>
      </c>
      <c r="F954" s="506">
        <v>2965</v>
      </c>
      <c r="G954" s="507">
        <v>3</v>
      </c>
      <c r="H954" s="503"/>
      <c r="I954" s="503"/>
      <c r="J954" s="503"/>
      <c r="K954" s="503"/>
    </row>
    <row r="955" spans="1:11" ht="12">
      <c r="A955" s="504">
        <v>2141127074</v>
      </c>
      <c r="B955" s="539" t="s">
        <v>1518</v>
      </c>
      <c r="C955" s="505" t="s">
        <v>720</v>
      </c>
      <c r="D955" s="506">
        <v>0</v>
      </c>
      <c r="E955" s="506">
        <v>2987</v>
      </c>
      <c r="F955" s="506">
        <v>2985</v>
      </c>
      <c r="G955" s="507">
        <v>2</v>
      </c>
      <c r="H955" s="503"/>
      <c r="I955" s="503"/>
      <c r="J955" s="503"/>
      <c r="K955" s="503"/>
    </row>
    <row r="956" spans="1:11" ht="12">
      <c r="A956" s="504">
        <v>2141127075</v>
      </c>
      <c r="B956" s="539" t="s">
        <v>1519</v>
      </c>
      <c r="C956" s="505" t="s">
        <v>699</v>
      </c>
      <c r="D956" s="506">
        <v>0</v>
      </c>
      <c r="E956" s="506">
        <v>4142</v>
      </c>
      <c r="F956" s="506">
        <v>4141</v>
      </c>
      <c r="G956" s="507">
        <v>1</v>
      </c>
      <c r="H956" s="503"/>
      <c r="I956" s="503"/>
      <c r="J956" s="503"/>
      <c r="K956" s="503"/>
    </row>
    <row r="957" spans="1:11" ht="12">
      <c r="A957" s="504">
        <v>2141127076</v>
      </c>
      <c r="B957" s="539" t="s">
        <v>1520</v>
      </c>
      <c r="C957" s="505" t="s">
        <v>699</v>
      </c>
      <c r="D957" s="506">
        <v>0</v>
      </c>
      <c r="E957" s="506">
        <v>4451</v>
      </c>
      <c r="F957" s="506">
        <v>4449</v>
      </c>
      <c r="G957" s="507">
        <v>1</v>
      </c>
      <c r="H957" s="503"/>
      <c r="I957" s="503"/>
      <c r="J957" s="503"/>
      <c r="K957" s="503"/>
    </row>
    <row r="958" spans="1:11" ht="12">
      <c r="A958" s="504">
        <v>2141127078</v>
      </c>
      <c r="B958" s="539" t="s">
        <v>1521</v>
      </c>
      <c r="C958" s="505" t="s">
        <v>699</v>
      </c>
      <c r="D958" s="506">
        <v>0</v>
      </c>
      <c r="E958" s="506">
        <v>243</v>
      </c>
      <c r="F958" s="506">
        <v>243</v>
      </c>
      <c r="G958" s="507">
        <v>0</v>
      </c>
      <c r="H958" s="503"/>
      <c r="I958" s="503"/>
      <c r="J958" s="503"/>
      <c r="K958" s="503"/>
    </row>
    <row r="959" spans="1:11" ht="12">
      <c r="A959" s="504">
        <v>2141127079</v>
      </c>
      <c r="B959" s="539" t="s">
        <v>1522</v>
      </c>
      <c r="C959" s="505" t="s">
        <v>699</v>
      </c>
      <c r="D959" s="506">
        <v>0</v>
      </c>
      <c r="E959" s="506">
        <v>240</v>
      </c>
      <c r="F959" s="506">
        <v>240</v>
      </c>
      <c r="G959" s="507">
        <v>0</v>
      </c>
      <c r="H959" s="503"/>
      <c r="I959" s="503"/>
      <c r="J959" s="503"/>
      <c r="K959" s="503"/>
    </row>
    <row r="960" spans="1:11" ht="12">
      <c r="A960" s="504">
        <v>2141127080</v>
      </c>
      <c r="B960" s="539" t="s">
        <v>1523</v>
      </c>
      <c r="C960" s="505" t="s">
        <v>699</v>
      </c>
      <c r="D960" s="506">
        <v>0</v>
      </c>
      <c r="E960" s="506">
        <v>4932</v>
      </c>
      <c r="F960" s="506">
        <v>4931</v>
      </c>
      <c r="G960" s="507">
        <v>1</v>
      </c>
      <c r="H960" s="503"/>
      <c r="I960" s="503"/>
      <c r="J960" s="503"/>
      <c r="K960" s="503"/>
    </row>
    <row r="961" spans="1:11" ht="12">
      <c r="A961" s="504">
        <v>2141127081</v>
      </c>
      <c r="B961" s="539" t="s">
        <v>1524</v>
      </c>
      <c r="C961" s="505" t="s">
        <v>670</v>
      </c>
      <c r="D961" s="506">
        <v>0</v>
      </c>
      <c r="E961" s="506">
        <v>5606</v>
      </c>
      <c r="F961" s="506">
        <v>5605</v>
      </c>
      <c r="G961" s="507">
        <v>0</v>
      </c>
      <c r="H961" s="503"/>
      <c r="I961" s="503"/>
      <c r="J961" s="503"/>
      <c r="K961" s="503"/>
    </row>
    <row r="962" spans="1:11" ht="12">
      <c r="A962" s="504">
        <v>2141127082</v>
      </c>
      <c r="B962" s="539" t="s">
        <v>1525</v>
      </c>
      <c r="C962" s="505" t="s">
        <v>670</v>
      </c>
      <c r="D962" s="506">
        <v>0</v>
      </c>
      <c r="E962" s="506">
        <v>106</v>
      </c>
      <c r="F962" s="506">
        <v>89</v>
      </c>
      <c r="G962" s="507">
        <v>17</v>
      </c>
      <c r="H962" s="503"/>
      <c r="I962" s="503"/>
      <c r="J962" s="503"/>
      <c r="K962" s="503"/>
    </row>
    <row r="963" spans="1:11" ht="12">
      <c r="A963" s="504">
        <v>2141127083</v>
      </c>
      <c r="B963" s="539" t="s">
        <v>1526</v>
      </c>
      <c r="C963" s="505" t="s">
        <v>670</v>
      </c>
      <c r="D963" s="506">
        <v>0</v>
      </c>
      <c r="E963" s="506">
        <v>2788</v>
      </c>
      <c r="F963" s="506">
        <v>2787</v>
      </c>
      <c r="G963" s="507">
        <v>1</v>
      </c>
      <c r="H963" s="503"/>
      <c r="I963" s="503"/>
      <c r="J963" s="503"/>
      <c r="K963" s="503"/>
    </row>
    <row r="964" spans="1:11" ht="12">
      <c r="A964" s="504">
        <v>2141127084</v>
      </c>
      <c r="B964" s="539" t="s">
        <v>1505</v>
      </c>
      <c r="C964" s="505" t="s">
        <v>668</v>
      </c>
      <c r="D964" s="506">
        <v>0</v>
      </c>
      <c r="E964" s="506">
        <v>0</v>
      </c>
      <c r="F964" s="506">
        <v>1007</v>
      </c>
      <c r="G964" s="507">
        <v>0</v>
      </c>
      <c r="H964" s="503"/>
      <c r="I964" s="503"/>
      <c r="J964" s="503"/>
      <c r="K964" s="503"/>
    </row>
    <row r="965" spans="1:11" ht="12">
      <c r="A965" s="504">
        <v>2141127085</v>
      </c>
      <c r="B965" s="539" t="s">
        <v>1527</v>
      </c>
      <c r="C965" s="505" t="s">
        <v>677</v>
      </c>
      <c r="D965" s="506">
        <v>0</v>
      </c>
      <c r="E965" s="506">
        <v>113</v>
      </c>
      <c r="F965" s="506">
        <v>113</v>
      </c>
      <c r="G965" s="507">
        <v>0</v>
      </c>
      <c r="H965" s="503"/>
      <c r="I965" s="503"/>
      <c r="J965" s="503"/>
      <c r="K965" s="503"/>
    </row>
    <row r="966" spans="1:11" ht="12">
      <c r="A966" s="504">
        <v>2141127086</v>
      </c>
      <c r="B966" s="539" t="s">
        <v>409</v>
      </c>
      <c r="C966" s="505" t="s">
        <v>1208</v>
      </c>
      <c r="D966" s="506">
        <v>0</v>
      </c>
      <c r="E966" s="506">
        <v>1447</v>
      </c>
      <c r="F966" s="506">
        <v>1441</v>
      </c>
      <c r="G966" s="507">
        <v>6</v>
      </c>
      <c r="H966" s="503"/>
      <c r="I966" s="503"/>
      <c r="J966" s="503"/>
      <c r="K966" s="503"/>
    </row>
    <row r="967" spans="1:11" ht="12">
      <c r="A967" s="504">
        <v>2141127087</v>
      </c>
      <c r="B967" s="539" t="s">
        <v>410</v>
      </c>
      <c r="C967" s="505" t="s">
        <v>1208</v>
      </c>
      <c r="D967" s="506">
        <v>0</v>
      </c>
      <c r="E967" s="506">
        <v>3968</v>
      </c>
      <c r="F967" s="506">
        <v>3955</v>
      </c>
      <c r="G967" s="507">
        <v>13</v>
      </c>
      <c r="H967" s="503"/>
      <c r="I967" s="503"/>
      <c r="J967" s="503"/>
      <c r="K967" s="503"/>
    </row>
    <row r="968" spans="1:11" ht="12">
      <c r="A968" s="504">
        <v>2141127088</v>
      </c>
      <c r="B968" s="539" t="s">
        <v>411</v>
      </c>
      <c r="C968" s="505" t="s">
        <v>1208</v>
      </c>
      <c r="D968" s="506">
        <v>0</v>
      </c>
      <c r="E968" s="506">
        <v>2205</v>
      </c>
      <c r="F968" s="506">
        <v>2196</v>
      </c>
      <c r="G968" s="507">
        <v>9</v>
      </c>
      <c r="H968" s="503"/>
      <c r="I968" s="503"/>
      <c r="J968" s="503"/>
      <c r="K968" s="503"/>
    </row>
    <row r="969" spans="1:11" ht="12">
      <c r="A969" s="504">
        <v>2141127089</v>
      </c>
      <c r="B969" s="539" t="s">
        <v>412</v>
      </c>
      <c r="C969" s="505" t="s">
        <v>1208</v>
      </c>
      <c r="D969" s="506">
        <v>0</v>
      </c>
      <c r="E969" s="506">
        <v>3886</v>
      </c>
      <c r="F969" s="506">
        <v>3873</v>
      </c>
      <c r="G969" s="507">
        <v>13</v>
      </c>
      <c r="H969" s="503"/>
      <c r="I969" s="503"/>
      <c r="J969" s="503"/>
      <c r="K969" s="503"/>
    </row>
    <row r="970" spans="1:11" ht="12">
      <c r="A970" s="504">
        <v>2141127090</v>
      </c>
      <c r="B970" s="539" t="s">
        <v>413</v>
      </c>
      <c r="C970" s="505" t="s">
        <v>1208</v>
      </c>
      <c r="D970" s="506">
        <v>0</v>
      </c>
      <c r="E970" s="506">
        <v>2250</v>
      </c>
      <c r="F970" s="506">
        <v>2248</v>
      </c>
      <c r="G970" s="507">
        <v>2</v>
      </c>
      <c r="H970" s="503"/>
      <c r="I970" s="503"/>
      <c r="J970" s="503"/>
      <c r="K970" s="503"/>
    </row>
    <row r="971" spans="1:11" ht="12">
      <c r="A971" s="504">
        <v>2141127091</v>
      </c>
      <c r="B971" s="539" t="s">
        <v>414</v>
      </c>
      <c r="C971" s="505" t="s">
        <v>1208</v>
      </c>
      <c r="D971" s="506">
        <v>0</v>
      </c>
      <c r="E971" s="506">
        <v>2778</v>
      </c>
      <c r="F971" s="506">
        <v>2775</v>
      </c>
      <c r="G971" s="507">
        <v>3</v>
      </c>
      <c r="H971" s="503"/>
      <c r="I971" s="503"/>
      <c r="J971" s="503"/>
      <c r="K971" s="503"/>
    </row>
    <row r="972" spans="1:11" ht="12">
      <c r="A972" s="504">
        <v>2141127092</v>
      </c>
      <c r="B972" s="539" t="s">
        <v>415</v>
      </c>
      <c r="C972" s="505" t="s">
        <v>1208</v>
      </c>
      <c r="D972" s="506">
        <v>0</v>
      </c>
      <c r="E972" s="506">
        <v>2544</v>
      </c>
      <c r="F972" s="506">
        <v>2538</v>
      </c>
      <c r="G972" s="507">
        <v>6</v>
      </c>
      <c r="H972" s="503"/>
      <c r="I972" s="503"/>
      <c r="J972" s="503"/>
      <c r="K972" s="503"/>
    </row>
    <row r="973" spans="1:11" ht="12">
      <c r="A973" s="504">
        <v>2141127093</v>
      </c>
      <c r="B973" s="539" t="s">
        <v>1505</v>
      </c>
      <c r="C973" s="505" t="s">
        <v>692</v>
      </c>
      <c r="D973" s="506">
        <v>0</v>
      </c>
      <c r="E973" s="506">
        <v>0</v>
      </c>
      <c r="F973" s="506">
        <v>550</v>
      </c>
      <c r="G973" s="507">
        <v>0</v>
      </c>
      <c r="H973" s="503"/>
      <c r="I973" s="503"/>
      <c r="J973" s="503"/>
      <c r="K973" s="503"/>
    </row>
    <row r="974" spans="1:11" ht="12">
      <c r="A974" s="504">
        <v>2141127094</v>
      </c>
      <c r="B974" s="539" t="s">
        <v>416</v>
      </c>
      <c r="C974" s="505" t="s">
        <v>1137</v>
      </c>
      <c r="D974" s="506">
        <v>0</v>
      </c>
      <c r="E974" s="506">
        <v>1027</v>
      </c>
      <c r="F974" s="506">
        <v>1026</v>
      </c>
      <c r="G974" s="507">
        <v>1</v>
      </c>
      <c r="H974" s="503"/>
      <c r="I974" s="503"/>
      <c r="J974" s="503"/>
      <c r="K974" s="503"/>
    </row>
    <row r="975" spans="1:11" ht="12">
      <c r="A975" s="504">
        <v>2141127095</v>
      </c>
      <c r="B975" s="539" t="s">
        <v>417</v>
      </c>
      <c r="C975" s="505" t="s">
        <v>1142</v>
      </c>
      <c r="D975" s="506">
        <v>0</v>
      </c>
      <c r="E975" s="506">
        <v>3933</v>
      </c>
      <c r="F975" s="506">
        <v>3932</v>
      </c>
      <c r="G975" s="507">
        <v>1</v>
      </c>
      <c r="H975" s="503"/>
      <c r="I975" s="503"/>
      <c r="J975" s="503"/>
      <c r="K975" s="503"/>
    </row>
    <row r="976" spans="1:11" ht="12">
      <c r="A976" s="504">
        <v>2141127096</v>
      </c>
      <c r="B976" s="539" t="s">
        <v>418</v>
      </c>
      <c r="C976" s="505" t="s">
        <v>1142</v>
      </c>
      <c r="D976" s="506">
        <v>0</v>
      </c>
      <c r="E976" s="506">
        <v>4632</v>
      </c>
      <c r="F976" s="506">
        <v>4631</v>
      </c>
      <c r="G976" s="507">
        <v>1</v>
      </c>
      <c r="H976" s="503"/>
      <c r="I976" s="503"/>
      <c r="J976" s="503"/>
      <c r="K976" s="503"/>
    </row>
    <row r="977" spans="1:11" ht="12">
      <c r="A977" s="504">
        <v>2141127097</v>
      </c>
      <c r="B977" s="539" t="s">
        <v>419</v>
      </c>
      <c r="C977" s="505" t="s">
        <v>1142</v>
      </c>
      <c r="D977" s="506">
        <v>0</v>
      </c>
      <c r="E977" s="506">
        <v>6790</v>
      </c>
      <c r="F977" s="506">
        <v>6788</v>
      </c>
      <c r="G977" s="507">
        <v>2</v>
      </c>
      <c r="H977" s="503"/>
      <c r="I977" s="503"/>
      <c r="J977" s="503"/>
      <c r="K977" s="503"/>
    </row>
    <row r="978" spans="1:11" ht="12">
      <c r="A978" s="504">
        <v>2141127098</v>
      </c>
      <c r="B978" s="539" t="s">
        <v>420</v>
      </c>
      <c r="C978" s="505" t="s">
        <v>1142</v>
      </c>
      <c r="D978" s="506">
        <v>0</v>
      </c>
      <c r="E978" s="506">
        <v>2847</v>
      </c>
      <c r="F978" s="506">
        <v>2846</v>
      </c>
      <c r="G978" s="507">
        <v>1</v>
      </c>
      <c r="H978" s="503"/>
      <c r="I978" s="503"/>
      <c r="J978" s="503"/>
      <c r="K978" s="503"/>
    </row>
    <row r="979" spans="1:11" ht="12">
      <c r="A979" s="504">
        <v>2141127099</v>
      </c>
      <c r="B979" s="539" t="s">
        <v>421</v>
      </c>
      <c r="C979" s="505" t="s">
        <v>1142</v>
      </c>
      <c r="D979" s="506">
        <v>0</v>
      </c>
      <c r="E979" s="506">
        <v>4328</v>
      </c>
      <c r="F979" s="506">
        <v>4327</v>
      </c>
      <c r="G979" s="507">
        <v>1</v>
      </c>
      <c r="H979" s="503"/>
      <c r="I979" s="503"/>
      <c r="J979" s="503"/>
      <c r="K979" s="503"/>
    </row>
    <row r="980" spans="1:11" ht="12">
      <c r="A980" s="504">
        <v>2141127100</v>
      </c>
      <c r="B980" s="539" t="s">
        <v>1091</v>
      </c>
      <c r="C980" s="505" t="s">
        <v>1142</v>
      </c>
      <c r="D980" s="506">
        <v>0</v>
      </c>
      <c r="E980" s="506">
        <v>97</v>
      </c>
      <c r="F980" s="506">
        <v>96</v>
      </c>
      <c r="G980" s="507">
        <v>1</v>
      </c>
      <c r="H980" s="503"/>
      <c r="I980" s="503"/>
      <c r="J980" s="503"/>
      <c r="K980" s="503"/>
    </row>
    <row r="981" spans="1:11" ht="12">
      <c r="A981" s="504">
        <v>2141127101</v>
      </c>
      <c r="B981" s="539" t="s">
        <v>1092</v>
      </c>
      <c r="C981" s="505" t="s">
        <v>1142</v>
      </c>
      <c r="D981" s="506">
        <v>0</v>
      </c>
      <c r="E981" s="506">
        <v>2694</v>
      </c>
      <c r="F981" s="506">
        <v>2693</v>
      </c>
      <c r="G981" s="507">
        <v>1</v>
      </c>
      <c r="H981" s="503"/>
      <c r="I981" s="503"/>
      <c r="J981" s="503"/>
      <c r="K981" s="503"/>
    </row>
    <row r="982" spans="1:11" ht="12">
      <c r="A982" s="504">
        <v>2141127102</v>
      </c>
      <c r="B982" s="539" t="s">
        <v>1093</v>
      </c>
      <c r="C982" s="505" t="s">
        <v>692</v>
      </c>
      <c r="D982" s="506">
        <v>0</v>
      </c>
      <c r="E982" s="506">
        <v>524</v>
      </c>
      <c r="F982" s="506">
        <v>524</v>
      </c>
      <c r="G982" s="507">
        <v>0</v>
      </c>
      <c r="H982" s="503"/>
      <c r="I982" s="503"/>
      <c r="J982" s="503"/>
      <c r="K982" s="503"/>
    </row>
    <row r="983" spans="1:11" ht="12">
      <c r="A983" s="504">
        <v>2141127103</v>
      </c>
      <c r="B983" s="539" t="s">
        <v>1094</v>
      </c>
      <c r="C983" s="505" t="s">
        <v>692</v>
      </c>
      <c r="D983" s="506">
        <v>0</v>
      </c>
      <c r="E983" s="506">
        <v>6377</v>
      </c>
      <c r="F983" s="506">
        <v>6375</v>
      </c>
      <c r="G983" s="507">
        <v>2</v>
      </c>
      <c r="H983" s="503"/>
      <c r="I983" s="503"/>
      <c r="J983" s="503"/>
      <c r="K983" s="503"/>
    </row>
    <row r="984" spans="1:11" ht="12">
      <c r="A984" s="504">
        <v>2141127104</v>
      </c>
      <c r="B984" s="539" t="s">
        <v>2121</v>
      </c>
      <c r="C984" s="505" t="s">
        <v>692</v>
      </c>
      <c r="D984" s="506">
        <v>0</v>
      </c>
      <c r="E984" s="506">
        <v>171</v>
      </c>
      <c r="F984" s="506">
        <v>170</v>
      </c>
      <c r="G984" s="507">
        <v>1</v>
      </c>
      <c r="H984" s="503"/>
      <c r="I984" s="503"/>
      <c r="J984" s="503"/>
      <c r="K984" s="503"/>
    </row>
    <row r="985" spans="1:11" ht="12">
      <c r="A985" s="504">
        <v>2141127105</v>
      </c>
      <c r="B985" s="539" t="s">
        <v>2122</v>
      </c>
      <c r="C985" s="505" t="s">
        <v>692</v>
      </c>
      <c r="D985" s="506">
        <v>0</v>
      </c>
      <c r="E985" s="506">
        <v>294</v>
      </c>
      <c r="F985" s="506">
        <v>293</v>
      </c>
      <c r="G985" s="507">
        <v>1</v>
      </c>
      <c r="H985" s="503"/>
      <c r="I985" s="503"/>
      <c r="J985" s="503"/>
      <c r="K985" s="503"/>
    </row>
    <row r="986" spans="1:11" ht="12">
      <c r="A986" s="504">
        <v>2141127106</v>
      </c>
      <c r="B986" s="539" t="s">
        <v>2123</v>
      </c>
      <c r="C986" s="505" t="s">
        <v>692</v>
      </c>
      <c r="D986" s="506">
        <v>0</v>
      </c>
      <c r="E986" s="506">
        <v>4280</v>
      </c>
      <c r="F986" s="506">
        <v>4278</v>
      </c>
      <c r="G986" s="507">
        <v>2</v>
      </c>
      <c r="H986" s="503"/>
      <c r="I986" s="503"/>
      <c r="J986" s="503"/>
      <c r="K986" s="503"/>
    </row>
    <row r="987" spans="1:11" ht="12">
      <c r="A987" s="504">
        <v>2141127107</v>
      </c>
      <c r="B987" s="539" t="s">
        <v>2124</v>
      </c>
      <c r="C987" s="505" t="s">
        <v>677</v>
      </c>
      <c r="D987" s="506">
        <v>0</v>
      </c>
      <c r="E987" s="506">
        <v>1899</v>
      </c>
      <c r="F987" s="506">
        <v>1899</v>
      </c>
      <c r="G987" s="507">
        <v>0</v>
      </c>
      <c r="H987" s="503"/>
      <c r="I987" s="503"/>
      <c r="J987" s="503"/>
      <c r="K987" s="503"/>
    </row>
    <row r="988" spans="1:11" ht="12">
      <c r="A988" s="504">
        <v>2141127108</v>
      </c>
      <c r="B988" s="539" t="s">
        <v>2125</v>
      </c>
      <c r="C988" s="505" t="s">
        <v>677</v>
      </c>
      <c r="D988" s="506">
        <v>0</v>
      </c>
      <c r="E988" s="506">
        <v>1696</v>
      </c>
      <c r="F988" s="506">
        <v>1696</v>
      </c>
      <c r="G988" s="507">
        <v>0</v>
      </c>
      <c r="H988" s="503"/>
      <c r="I988" s="503"/>
      <c r="J988" s="503"/>
      <c r="K988" s="503"/>
    </row>
    <row r="989" spans="1:11" ht="12">
      <c r="A989" s="504">
        <v>2141127109</v>
      </c>
      <c r="B989" s="539" t="s">
        <v>2126</v>
      </c>
      <c r="C989" s="505" t="s">
        <v>677</v>
      </c>
      <c r="D989" s="506">
        <v>0</v>
      </c>
      <c r="E989" s="506">
        <v>2434</v>
      </c>
      <c r="F989" s="506">
        <v>2434</v>
      </c>
      <c r="G989" s="507">
        <v>0</v>
      </c>
      <c r="H989" s="503"/>
      <c r="I989" s="503"/>
      <c r="J989" s="503"/>
      <c r="K989" s="503"/>
    </row>
    <row r="990" spans="1:11" ht="12">
      <c r="A990" s="504">
        <v>2141127110</v>
      </c>
      <c r="B990" s="539" t="s">
        <v>2127</v>
      </c>
      <c r="C990" s="505" t="s">
        <v>677</v>
      </c>
      <c r="D990" s="506">
        <v>0</v>
      </c>
      <c r="E990" s="506">
        <v>5669</v>
      </c>
      <c r="F990" s="506">
        <v>5669</v>
      </c>
      <c r="G990" s="507">
        <v>0</v>
      </c>
      <c r="H990" s="503"/>
      <c r="I990" s="503"/>
      <c r="J990" s="503"/>
      <c r="K990" s="503"/>
    </row>
    <row r="991" spans="1:11" ht="12">
      <c r="A991" s="504">
        <v>2141127111</v>
      </c>
      <c r="B991" s="539" t="s">
        <v>2128</v>
      </c>
      <c r="C991" s="505" t="s">
        <v>677</v>
      </c>
      <c r="D991" s="506">
        <v>0</v>
      </c>
      <c r="E991" s="506">
        <v>1334</v>
      </c>
      <c r="F991" s="506">
        <v>1334</v>
      </c>
      <c r="G991" s="507">
        <v>0</v>
      </c>
      <c r="H991" s="503"/>
      <c r="I991" s="503"/>
      <c r="J991" s="503"/>
      <c r="K991" s="503"/>
    </row>
    <row r="992" spans="1:11" ht="12">
      <c r="A992" s="504">
        <v>2141127112</v>
      </c>
      <c r="B992" s="539" t="s">
        <v>2129</v>
      </c>
      <c r="C992" s="505" t="s">
        <v>677</v>
      </c>
      <c r="D992" s="506">
        <v>0</v>
      </c>
      <c r="E992" s="506">
        <v>1665</v>
      </c>
      <c r="F992" s="506">
        <v>1665</v>
      </c>
      <c r="G992" s="507">
        <v>0</v>
      </c>
      <c r="H992" s="503"/>
      <c r="I992" s="503"/>
      <c r="J992" s="503"/>
      <c r="K992" s="503"/>
    </row>
    <row r="993" spans="1:11" ht="12">
      <c r="A993" s="504">
        <v>2141127113</v>
      </c>
      <c r="B993" s="539" t="s">
        <v>2130</v>
      </c>
      <c r="C993" s="505" t="s">
        <v>677</v>
      </c>
      <c r="D993" s="506">
        <v>0</v>
      </c>
      <c r="E993" s="506">
        <v>2150</v>
      </c>
      <c r="F993" s="506">
        <v>2149</v>
      </c>
      <c r="G993" s="507">
        <v>0</v>
      </c>
      <c r="H993" s="503"/>
      <c r="I993" s="503"/>
      <c r="J993" s="503"/>
      <c r="K993" s="503"/>
    </row>
    <row r="994" spans="1:11" ht="12">
      <c r="A994" s="504">
        <v>2141127114</v>
      </c>
      <c r="B994" s="539" t="s">
        <v>2131</v>
      </c>
      <c r="C994" s="505" t="s">
        <v>677</v>
      </c>
      <c r="D994" s="506">
        <v>0</v>
      </c>
      <c r="E994" s="506">
        <v>3150</v>
      </c>
      <c r="F994" s="506">
        <v>3149</v>
      </c>
      <c r="G994" s="507">
        <v>0</v>
      </c>
      <c r="H994" s="503"/>
      <c r="I994" s="503"/>
      <c r="J994" s="503"/>
      <c r="K994" s="503"/>
    </row>
    <row r="995" spans="1:11" ht="12">
      <c r="A995" s="504">
        <v>2141127115</v>
      </c>
      <c r="B995" s="539" t="s">
        <v>2132</v>
      </c>
      <c r="C995" s="505" t="s">
        <v>1137</v>
      </c>
      <c r="D995" s="506">
        <v>0</v>
      </c>
      <c r="E995" s="506">
        <v>0</v>
      </c>
      <c r="F995" s="506">
        <v>36</v>
      </c>
      <c r="G995" s="507">
        <v>0</v>
      </c>
      <c r="H995" s="503"/>
      <c r="I995" s="503"/>
      <c r="J995" s="503"/>
      <c r="K995" s="503"/>
    </row>
    <row r="996" spans="1:11" ht="12">
      <c r="A996" s="504">
        <v>2141127116</v>
      </c>
      <c r="B996" s="539" t="s">
        <v>2133</v>
      </c>
      <c r="C996" s="505" t="s">
        <v>1137</v>
      </c>
      <c r="D996" s="506">
        <v>0</v>
      </c>
      <c r="E996" s="506">
        <v>0</v>
      </c>
      <c r="F996" s="506">
        <v>358</v>
      </c>
      <c r="G996" s="507">
        <v>0</v>
      </c>
      <c r="H996" s="503"/>
      <c r="I996" s="503"/>
      <c r="J996" s="503"/>
      <c r="K996" s="503"/>
    </row>
    <row r="997" spans="1:11" ht="12">
      <c r="A997" s="504">
        <v>2141127117</v>
      </c>
      <c r="B997" s="539" t="s">
        <v>1505</v>
      </c>
      <c r="C997" s="505" t="s">
        <v>1208</v>
      </c>
      <c r="D997" s="506">
        <v>0</v>
      </c>
      <c r="E997" s="506">
        <v>0</v>
      </c>
      <c r="F997" s="506">
        <v>750</v>
      </c>
      <c r="G997" s="507">
        <v>0</v>
      </c>
      <c r="H997" s="503"/>
      <c r="I997" s="503"/>
      <c r="J997" s="503"/>
      <c r="K997" s="503"/>
    </row>
    <row r="998" spans="1:11" ht="12">
      <c r="A998" s="504">
        <v>2141127118</v>
      </c>
      <c r="B998" s="539" t="s">
        <v>2134</v>
      </c>
      <c r="C998" s="505" t="s">
        <v>1137</v>
      </c>
      <c r="D998" s="506">
        <v>0</v>
      </c>
      <c r="E998" s="506">
        <v>91</v>
      </c>
      <c r="F998" s="506">
        <v>91</v>
      </c>
      <c r="G998" s="507">
        <v>0</v>
      </c>
      <c r="H998" s="503"/>
      <c r="I998" s="503"/>
      <c r="J998" s="503"/>
      <c r="K998" s="503"/>
    </row>
    <row r="999" spans="1:11" ht="12">
      <c r="A999" s="504">
        <v>2141127119</v>
      </c>
      <c r="B999" s="539" t="s">
        <v>1505</v>
      </c>
      <c r="C999" s="505" t="s">
        <v>699</v>
      </c>
      <c r="D999" s="506">
        <v>0</v>
      </c>
      <c r="E999" s="506">
        <v>0</v>
      </c>
      <c r="F999" s="506">
        <v>773</v>
      </c>
      <c r="G999" s="507">
        <v>0</v>
      </c>
      <c r="H999" s="503"/>
      <c r="I999" s="503"/>
      <c r="J999" s="503"/>
      <c r="K999" s="503"/>
    </row>
    <row r="1000" spans="1:11" ht="12">
      <c r="A1000" s="504">
        <v>2141127120</v>
      </c>
      <c r="B1000" s="539" t="s">
        <v>2135</v>
      </c>
      <c r="C1000" s="505" t="s">
        <v>677</v>
      </c>
      <c r="D1000" s="506">
        <v>0</v>
      </c>
      <c r="E1000" s="506">
        <v>0</v>
      </c>
      <c r="F1000" s="506">
        <v>664</v>
      </c>
      <c r="G1000" s="507">
        <v>0</v>
      </c>
      <c r="H1000" s="503"/>
      <c r="I1000" s="503"/>
      <c r="J1000" s="503"/>
      <c r="K1000" s="503"/>
    </row>
    <row r="1001" spans="1:11" ht="12">
      <c r="A1001" s="504">
        <v>2141127121</v>
      </c>
      <c r="B1001" s="539" t="s">
        <v>1505</v>
      </c>
      <c r="C1001" s="505" t="s">
        <v>720</v>
      </c>
      <c r="D1001" s="506">
        <v>0</v>
      </c>
      <c r="E1001" s="506">
        <v>0</v>
      </c>
      <c r="F1001" s="506">
        <v>788</v>
      </c>
      <c r="G1001" s="507">
        <v>0</v>
      </c>
      <c r="H1001" s="503"/>
      <c r="I1001" s="503"/>
      <c r="J1001" s="503"/>
      <c r="K1001" s="503"/>
    </row>
    <row r="1002" spans="1:11" ht="12">
      <c r="A1002" s="504">
        <v>2141127122</v>
      </c>
      <c r="B1002" s="539" t="s">
        <v>1505</v>
      </c>
      <c r="C1002" s="505" t="s">
        <v>1142</v>
      </c>
      <c r="D1002" s="506">
        <v>0</v>
      </c>
      <c r="E1002" s="506">
        <v>0</v>
      </c>
      <c r="F1002" s="506">
        <v>1820</v>
      </c>
      <c r="G1002" s="507">
        <v>0</v>
      </c>
      <c r="H1002" s="503"/>
      <c r="I1002" s="503"/>
      <c r="J1002" s="503"/>
      <c r="K1002" s="503"/>
    </row>
    <row r="1003" spans="1:11" ht="12">
      <c r="A1003" s="504">
        <v>2141127123</v>
      </c>
      <c r="B1003" s="539" t="s">
        <v>2136</v>
      </c>
      <c r="C1003" s="505" t="s">
        <v>1137</v>
      </c>
      <c r="D1003" s="506">
        <v>0</v>
      </c>
      <c r="E1003" s="506">
        <v>388</v>
      </c>
      <c r="F1003" s="506">
        <v>388</v>
      </c>
      <c r="G1003" s="507">
        <v>0</v>
      </c>
      <c r="H1003" s="503"/>
      <c r="I1003" s="503"/>
      <c r="J1003" s="503"/>
      <c r="K1003" s="503"/>
    </row>
    <row r="1004" spans="1:11" ht="12">
      <c r="A1004" s="504">
        <v>2141127124</v>
      </c>
      <c r="B1004" s="539" t="s">
        <v>2137</v>
      </c>
      <c r="C1004" s="505" t="s">
        <v>668</v>
      </c>
      <c r="D1004" s="506">
        <v>0</v>
      </c>
      <c r="E1004" s="506">
        <v>35</v>
      </c>
      <c r="F1004" s="506">
        <v>35</v>
      </c>
      <c r="G1004" s="507">
        <v>0</v>
      </c>
      <c r="H1004" s="503"/>
      <c r="I1004" s="503"/>
      <c r="J1004" s="503"/>
      <c r="K1004" s="503"/>
    </row>
    <row r="1005" spans="1:11" ht="12">
      <c r="A1005" s="504">
        <v>2141127125</v>
      </c>
      <c r="B1005" s="539" t="s">
        <v>2138</v>
      </c>
      <c r="C1005" s="505" t="s">
        <v>699</v>
      </c>
      <c r="D1005" s="506">
        <v>0</v>
      </c>
      <c r="E1005" s="506">
        <v>5963</v>
      </c>
      <c r="F1005" s="506">
        <v>5961</v>
      </c>
      <c r="G1005" s="507">
        <v>2</v>
      </c>
      <c r="H1005" s="503"/>
      <c r="I1005" s="503"/>
      <c r="J1005" s="503"/>
      <c r="K1005" s="503"/>
    </row>
    <row r="1006" spans="1:11" ht="12">
      <c r="A1006" s="504">
        <v>2141127126</v>
      </c>
      <c r="B1006" s="539" t="s">
        <v>2139</v>
      </c>
      <c r="C1006" s="505" t="s">
        <v>668</v>
      </c>
      <c r="D1006" s="506">
        <v>0</v>
      </c>
      <c r="E1006" s="506">
        <v>970</v>
      </c>
      <c r="F1006" s="506">
        <v>968</v>
      </c>
      <c r="G1006" s="507">
        <v>2</v>
      </c>
      <c r="H1006" s="503"/>
      <c r="I1006" s="503"/>
      <c r="J1006" s="503"/>
      <c r="K1006" s="503"/>
    </row>
    <row r="1007" spans="1:11" ht="12">
      <c r="A1007" s="504">
        <v>2141127127</v>
      </c>
      <c r="B1007" s="539" t="s">
        <v>2140</v>
      </c>
      <c r="C1007" s="505" t="s">
        <v>668</v>
      </c>
      <c r="D1007" s="506">
        <v>0</v>
      </c>
      <c r="E1007" s="506">
        <v>2769</v>
      </c>
      <c r="F1007" s="506">
        <v>2768</v>
      </c>
      <c r="G1007" s="507">
        <v>1</v>
      </c>
      <c r="H1007" s="503"/>
      <c r="I1007" s="503"/>
      <c r="J1007" s="503"/>
      <c r="K1007" s="503"/>
    </row>
    <row r="1008" spans="1:11" ht="12">
      <c r="A1008" s="504">
        <v>2141127128</v>
      </c>
      <c r="B1008" s="539" t="s">
        <v>2141</v>
      </c>
      <c r="C1008" s="505" t="s">
        <v>668</v>
      </c>
      <c r="D1008" s="506">
        <v>0</v>
      </c>
      <c r="E1008" s="506">
        <v>3251</v>
      </c>
      <c r="F1008" s="506">
        <v>3250</v>
      </c>
      <c r="G1008" s="507">
        <v>1</v>
      </c>
      <c r="H1008" s="503"/>
      <c r="I1008" s="503"/>
      <c r="J1008" s="503"/>
      <c r="K1008" s="503"/>
    </row>
    <row r="1009" spans="1:11" ht="12">
      <c r="A1009" s="504">
        <v>2141127129</v>
      </c>
      <c r="B1009" s="539" t="s">
        <v>2142</v>
      </c>
      <c r="C1009" s="505" t="s">
        <v>677</v>
      </c>
      <c r="D1009" s="506">
        <v>0</v>
      </c>
      <c r="E1009" s="506">
        <v>76</v>
      </c>
      <c r="F1009" s="506">
        <v>74</v>
      </c>
      <c r="G1009" s="507">
        <v>0</v>
      </c>
      <c r="H1009" s="503"/>
      <c r="I1009" s="503"/>
      <c r="J1009" s="503"/>
      <c r="K1009" s="503"/>
    </row>
    <row r="1010" spans="1:11" ht="12">
      <c r="A1010" s="504">
        <v>2141127130</v>
      </c>
      <c r="B1010" s="539" t="s">
        <v>2143</v>
      </c>
      <c r="C1010" s="505" t="s">
        <v>699</v>
      </c>
      <c r="D1010" s="506">
        <v>0</v>
      </c>
      <c r="E1010" s="506">
        <v>2014</v>
      </c>
      <c r="F1010" s="506">
        <v>2014</v>
      </c>
      <c r="G1010" s="507">
        <v>0</v>
      </c>
      <c r="H1010" s="503"/>
      <c r="I1010" s="503"/>
      <c r="J1010" s="503"/>
      <c r="K1010" s="503"/>
    </row>
    <row r="1011" spans="1:11" ht="12">
      <c r="A1011" s="504">
        <v>2141127131</v>
      </c>
      <c r="B1011" s="539" t="s">
        <v>2144</v>
      </c>
      <c r="C1011" s="505" t="s">
        <v>677</v>
      </c>
      <c r="D1011" s="506">
        <v>0</v>
      </c>
      <c r="E1011" s="506">
        <v>35</v>
      </c>
      <c r="F1011" s="506">
        <v>34</v>
      </c>
      <c r="G1011" s="507">
        <v>0</v>
      </c>
      <c r="H1011" s="503"/>
      <c r="I1011" s="503"/>
      <c r="J1011" s="503"/>
      <c r="K1011" s="503"/>
    </row>
    <row r="1012" spans="1:11" ht="12">
      <c r="A1012" s="504">
        <v>2141127132</v>
      </c>
      <c r="B1012" s="539" t="s">
        <v>2145</v>
      </c>
      <c r="C1012" s="505" t="s">
        <v>1208</v>
      </c>
      <c r="D1012" s="506">
        <v>0</v>
      </c>
      <c r="E1012" s="506">
        <v>435</v>
      </c>
      <c r="F1012" s="506">
        <v>430</v>
      </c>
      <c r="G1012" s="507">
        <v>5</v>
      </c>
      <c r="H1012" s="503"/>
      <c r="I1012" s="503"/>
      <c r="J1012" s="503"/>
      <c r="K1012" s="503"/>
    </row>
    <row r="1013" spans="1:11" ht="12">
      <c r="A1013" s="504">
        <v>2141127133</v>
      </c>
      <c r="B1013" s="539" t="s">
        <v>2146</v>
      </c>
      <c r="C1013" s="505" t="s">
        <v>692</v>
      </c>
      <c r="D1013" s="506">
        <v>0</v>
      </c>
      <c r="E1013" s="506">
        <v>40</v>
      </c>
      <c r="F1013" s="506">
        <v>40</v>
      </c>
      <c r="G1013" s="507">
        <v>0</v>
      </c>
      <c r="H1013" s="503"/>
      <c r="I1013" s="503"/>
      <c r="J1013" s="503"/>
      <c r="K1013" s="503"/>
    </row>
    <row r="1014" spans="1:11" ht="12">
      <c r="A1014" s="504">
        <v>2141127134</v>
      </c>
      <c r="B1014" s="539" t="s">
        <v>2147</v>
      </c>
      <c r="C1014" s="505" t="s">
        <v>668</v>
      </c>
      <c r="D1014" s="506">
        <v>0</v>
      </c>
      <c r="E1014" s="506">
        <v>100</v>
      </c>
      <c r="F1014" s="506">
        <v>100</v>
      </c>
      <c r="G1014" s="507">
        <v>0</v>
      </c>
      <c r="H1014" s="503"/>
      <c r="I1014" s="503"/>
      <c r="J1014" s="503"/>
      <c r="K1014" s="503"/>
    </row>
    <row r="1015" spans="1:11" ht="12">
      <c r="A1015" s="504">
        <v>2141127135</v>
      </c>
      <c r="B1015" s="539" t="s">
        <v>2148</v>
      </c>
      <c r="C1015" s="505" t="s">
        <v>692</v>
      </c>
      <c r="D1015" s="506">
        <v>0</v>
      </c>
      <c r="E1015" s="506">
        <v>262</v>
      </c>
      <c r="F1015" s="506">
        <v>261</v>
      </c>
      <c r="G1015" s="507">
        <v>1</v>
      </c>
      <c r="H1015" s="503"/>
      <c r="I1015" s="503"/>
      <c r="J1015" s="503"/>
      <c r="K1015" s="503"/>
    </row>
    <row r="1016" spans="1:11" ht="12">
      <c r="A1016" s="504">
        <v>2141127136</v>
      </c>
      <c r="B1016" s="539" t="s">
        <v>2149</v>
      </c>
      <c r="C1016" s="505" t="s">
        <v>668</v>
      </c>
      <c r="D1016" s="506">
        <v>0</v>
      </c>
      <c r="E1016" s="506">
        <v>2609</v>
      </c>
      <c r="F1016" s="506">
        <v>2609</v>
      </c>
      <c r="G1016" s="507">
        <v>0</v>
      </c>
      <c r="H1016" s="503"/>
      <c r="I1016" s="503"/>
      <c r="J1016" s="503"/>
      <c r="K1016" s="503"/>
    </row>
    <row r="1017" spans="1:11" ht="12">
      <c r="A1017" s="504">
        <v>2141127137</v>
      </c>
      <c r="B1017" s="539" t="s">
        <v>2150</v>
      </c>
      <c r="C1017" s="505" t="s">
        <v>677</v>
      </c>
      <c r="D1017" s="506">
        <v>0</v>
      </c>
      <c r="E1017" s="506">
        <v>900</v>
      </c>
      <c r="F1017" s="506">
        <v>816</v>
      </c>
      <c r="G1017" s="507">
        <v>84</v>
      </c>
      <c r="H1017" s="503"/>
      <c r="I1017" s="503"/>
      <c r="J1017" s="503"/>
      <c r="K1017" s="503"/>
    </row>
    <row r="1018" spans="1:11" ht="12">
      <c r="A1018" s="504">
        <v>2141127141</v>
      </c>
      <c r="B1018" s="539" t="s">
        <v>2151</v>
      </c>
      <c r="C1018" s="505" t="s">
        <v>1137</v>
      </c>
      <c r="D1018" s="506">
        <v>0</v>
      </c>
      <c r="E1018" s="506">
        <v>0</v>
      </c>
      <c r="F1018" s="506">
        <v>1462</v>
      </c>
      <c r="G1018" s="507">
        <v>0</v>
      </c>
      <c r="H1018" s="503"/>
      <c r="I1018" s="503"/>
      <c r="J1018" s="503"/>
      <c r="K1018" s="503"/>
    </row>
    <row r="1019" spans="1:11" ht="12">
      <c r="A1019" s="504">
        <v>2141127142</v>
      </c>
      <c r="B1019" s="539" t="s">
        <v>2152</v>
      </c>
      <c r="C1019" s="505" t="s">
        <v>1137</v>
      </c>
      <c r="D1019" s="506">
        <v>0</v>
      </c>
      <c r="E1019" s="506">
        <v>0</v>
      </c>
      <c r="F1019" s="506">
        <v>8483</v>
      </c>
      <c r="G1019" s="507">
        <v>0</v>
      </c>
      <c r="H1019" s="503"/>
      <c r="I1019" s="503"/>
      <c r="J1019" s="503"/>
      <c r="K1019" s="503"/>
    </row>
    <row r="1020" spans="1:11" ht="12">
      <c r="A1020" s="504">
        <v>2141127143</v>
      </c>
      <c r="B1020" s="539" t="s">
        <v>2153</v>
      </c>
      <c r="C1020" s="505" t="s">
        <v>1137</v>
      </c>
      <c r="D1020" s="506">
        <v>0</v>
      </c>
      <c r="E1020" s="506">
        <v>667</v>
      </c>
      <c r="F1020" s="506">
        <v>652</v>
      </c>
      <c r="G1020" s="507">
        <v>15</v>
      </c>
      <c r="H1020" s="503"/>
      <c r="I1020" s="503"/>
      <c r="J1020" s="503"/>
      <c r="K1020" s="503"/>
    </row>
    <row r="1021" spans="1:11" ht="12">
      <c r="A1021" s="504">
        <v>2141127144</v>
      </c>
      <c r="B1021" s="539" t="s">
        <v>2154</v>
      </c>
      <c r="C1021" s="505" t="s">
        <v>1137</v>
      </c>
      <c r="D1021" s="506">
        <v>0</v>
      </c>
      <c r="E1021" s="506">
        <v>116</v>
      </c>
      <c r="F1021" s="506">
        <v>115</v>
      </c>
      <c r="G1021" s="507">
        <v>1</v>
      </c>
      <c r="H1021" s="503"/>
      <c r="I1021" s="503"/>
      <c r="J1021" s="503"/>
      <c r="K1021" s="503"/>
    </row>
    <row r="1022" spans="1:11" ht="12">
      <c r="A1022" s="504">
        <v>2141127145</v>
      </c>
      <c r="B1022" s="539" t="s">
        <v>2155</v>
      </c>
      <c r="C1022" s="505" t="s">
        <v>1208</v>
      </c>
      <c r="D1022" s="506">
        <v>0</v>
      </c>
      <c r="E1022" s="506">
        <v>3030</v>
      </c>
      <c r="F1022" s="506">
        <v>3029</v>
      </c>
      <c r="G1022" s="507">
        <v>1</v>
      </c>
      <c r="H1022" s="503"/>
      <c r="I1022" s="503"/>
      <c r="J1022" s="503"/>
      <c r="K1022" s="503"/>
    </row>
    <row r="1023" spans="1:11" ht="12">
      <c r="A1023" s="504">
        <v>2141127146</v>
      </c>
      <c r="B1023" s="539" t="s">
        <v>2156</v>
      </c>
      <c r="C1023" s="505" t="s">
        <v>1137</v>
      </c>
      <c r="D1023" s="506">
        <v>0</v>
      </c>
      <c r="E1023" s="506">
        <v>1651</v>
      </c>
      <c r="F1023" s="506">
        <v>1650</v>
      </c>
      <c r="G1023" s="507">
        <v>1</v>
      </c>
      <c r="H1023" s="503"/>
      <c r="I1023" s="503"/>
      <c r="J1023" s="503"/>
      <c r="K1023" s="503"/>
    </row>
    <row r="1024" spans="1:11" ht="12">
      <c r="A1024" s="504">
        <v>2141127147</v>
      </c>
      <c r="B1024" s="539" t="s">
        <v>2157</v>
      </c>
      <c r="C1024" s="505" t="s">
        <v>1137</v>
      </c>
      <c r="D1024" s="506">
        <v>0</v>
      </c>
      <c r="E1024" s="506">
        <v>1662</v>
      </c>
      <c r="F1024" s="506">
        <v>1661</v>
      </c>
      <c r="G1024" s="507">
        <v>1</v>
      </c>
      <c r="H1024" s="503"/>
      <c r="I1024" s="503"/>
      <c r="J1024" s="503"/>
      <c r="K1024" s="503"/>
    </row>
    <row r="1025" spans="1:11" ht="12">
      <c r="A1025" s="504">
        <v>2141127148</v>
      </c>
      <c r="B1025" s="539" t="s">
        <v>2158</v>
      </c>
      <c r="C1025" s="505" t="s">
        <v>699</v>
      </c>
      <c r="D1025" s="506">
        <v>0</v>
      </c>
      <c r="E1025" s="506">
        <v>215</v>
      </c>
      <c r="F1025" s="506">
        <v>214</v>
      </c>
      <c r="G1025" s="507">
        <v>1</v>
      </c>
      <c r="H1025" s="503"/>
      <c r="I1025" s="503"/>
      <c r="J1025" s="503"/>
      <c r="K1025" s="503"/>
    </row>
    <row r="1026" spans="1:11" ht="12">
      <c r="A1026" s="504">
        <v>2141127150</v>
      </c>
      <c r="B1026" s="539" t="s">
        <v>2159</v>
      </c>
      <c r="C1026" s="505" t="s">
        <v>699</v>
      </c>
      <c r="D1026" s="506">
        <v>0</v>
      </c>
      <c r="E1026" s="506">
        <v>205</v>
      </c>
      <c r="F1026" s="506">
        <v>204</v>
      </c>
      <c r="G1026" s="507">
        <v>1</v>
      </c>
      <c r="H1026" s="503"/>
      <c r="I1026" s="503"/>
      <c r="J1026" s="503"/>
      <c r="K1026" s="503"/>
    </row>
    <row r="1027" spans="1:11" ht="12">
      <c r="A1027" s="504">
        <v>2141127151</v>
      </c>
      <c r="B1027" s="539" t="s">
        <v>2160</v>
      </c>
      <c r="C1027" s="505" t="s">
        <v>699</v>
      </c>
      <c r="D1027" s="506">
        <v>0</v>
      </c>
      <c r="E1027" s="506">
        <v>9</v>
      </c>
      <c r="F1027" s="506">
        <v>8</v>
      </c>
      <c r="G1027" s="507">
        <v>1</v>
      </c>
      <c r="H1027" s="503"/>
      <c r="I1027" s="503"/>
      <c r="J1027" s="503"/>
      <c r="K1027" s="503"/>
    </row>
    <row r="1028" spans="1:11" ht="12">
      <c r="A1028" s="504">
        <v>2141127152</v>
      </c>
      <c r="B1028" s="539" t="s">
        <v>2161</v>
      </c>
      <c r="C1028" s="505" t="s">
        <v>699</v>
      </c>
      <c r="D1028" s="506">
        <v>0</v>
      </c>
      <c r="E1028" s="506">
        <v>330</v>
      </c>
      <c r="F1028" s="506">
        <v>330</v>
      </c>
      <c r="G1028" s="507">
        <v>0</v>
      </c>
      <c r="H1028" s="503"/>
      <c r="I1028" s="503"/>
      <c r="J1028" s="503"/>
      <c r="K1028" s="503"/>
    </row>
    <row r="1029" spans="1:11" ht="12">
      <c r="A1029" s="504">
        <v>2141127153</v>
      </c>
      <c r="B1029" s="539" t="s">
        <v>2162</v>
      </c>
      <c r="C1029" s="505" t="s">
        <v>720</v>
      </c>
      <c r="D1029" s="506">
        <v>0</v>
      </c>
      <c r="E1029" s="506">
        <v>1977</v>
      </c>
      <c r="F1029" s="506">
        <v>1976</v>
      </c>
      <c r="G1029" s="507">
        <v>1</v>
      </c>
      <c r="H1029" s="503"/>
      <c r="I1029" s="503"/>
      <c r="J1029" s="503"/>
      <c r="K1029" s="503"/>
    </row>
    <row r="1030" spans="1:11" ht="12">
      <c r="A1030" s="504">
        <v>2141127154</v>
      </c>
      <c r="B1030" s="539" t="s">
        <v>2163</v>
      </c>
      <c r="C1030" s="505" t="s">
        <v>699</v>
      </c>
      <c r="D1030" s="506">
        <v>0</v>
      </c>
      <c r="E1030" s="506">
        <v>0</v>
      </c>
      <c r="F1030" s="506">
        <v>193</v>
      </c>
      <c r="G1030" s="507">
        <v>0</v>
      </c>
      <c r="H1030" s="503"/>
      <c r="I1030" s="503"/>
      <c r="J1030" s="503"/>
      <c r="K1030" s="503"/>
    </row>
    <row r="1031" spans="1:11" ht="12">
      <c r="A1031" s="504">
        <v>2141127155</v>
      </c>
      <c r="B1031" s="539" t="s">
        <v>2164</v>
      </c>
      <c r="C1031" s="505" t="s">
        <v>692</v>
      </c>
      <c r="D1031" s="506">
        <v>0</v>
      </c>
      <c r="E1031" s="506">
        <v>1500</v>
      </c>
      <c r="F1031" s="506">
        <v>1499</v>
      </c>
      <c r="G1031" s="507">
        <v>1</v>
      </c>
      <c r="H1031" s="503"/>
      <c r="I1031" s="503"/>
      <c r="J1031" s="503"/>
      <c r="K1031" s="503"/>
    </row>
    <row r="1032" spans="1:11" ht="12">
      <c r="A1032" s="504">
        <v>2141127156</v>
      </c>
      <c r="B1032" s="539" t="s">
        <v>2165</v>
      </c>
      <c r="C1032" s="505" t="s">
        <v>1142</v>
      </c>
      <c r="D1032" s="506">
        <v>0</v>
      </c>
      <c r="E1032" s="506">
        <v>4692</v>
      </c>
      <c r="F1032" s="506">
        <v>4692</v>
      </c>
      <c r="G1032" s="507">
        <v>0</v>
      </c>
      <c r="H1032" s="503"/>
      <c r="I1032" s="503"/>
      <c r="J1032" s="503"/>
      <c r="K1032" s="503"/>
    </row>
    <row r="1033" spans="1:11" ht="12">
      <c r="A1033" s="504">
        <v>2141127157</v>
      </c>
      <c r="B1033" s="539" t="s">
        <v>2164</v>
      </c>
      <c r="C1033" s="505" t="s">
        <v>670</v>
      </c>
      <c r="D1033" s="506">
        <v>0</v>
      </c>
      <c r="E1033" s="506">
        <v>1000</v>
      </c>
      <c r="F1033" s="506">
        <v>1000</v>
      </c>
      <c r="G1033" s="507">
        <v>0</v>
      </c>
      <c r="H1033" s="503"/>
      <c r="I1033" s="503"/>
      <c r="J1033" s="503"/>
      <c r="K1033" s="503"/>
    </row>
    <row r="1034" spans="1:11" ht="12">
      <c r="A1034" s="504">
        <v>2141127158</v>
      </c>
      <c r="B1034" s="539" t="s">
        <v>2166</v>
      </c>
      <c r="C1034" s="505" t="s">
        <v>692</v>
      </c>
      <c r="D1034" s="506">
        <v>0</v>
      </c>
      <c r="E1034" s="506">
        <v>4884</v>
      </c>
      <c r="F1034" s="506">
        <v>4883</v>
      </c>
      <c r="G1034" s="507">
        <v>0</v>
      </c>
      <c r="H1034" s="503"/>
      <c r="I1034" s="503"/>
      <c r="J1034" s="503"/>
      <c r="K1034" s="503"/>
    </row>
    <row r="1035" spans="1:11" ht="12">
      <c r="A1035" s="504">
        <v>2141127159</v>
      </c>
      <c r="B1035" s="539" t="s">
        <v>2167</v>
      </c>
      <c r="C1035" s="505" t="s">
        <v>1208</v>
      </c>
      <c r="D1035" s="506">
        <v>0</v>
      </c>
      <c r="E1035" s="506">
        <v>0</v>
      </c>
      <c r="F1035" s="506">
        <v>15</v>
      </c>
      <c r="G1035" s="507">
        <v>0</v>
      </c>
      <c r="H1035" s="503"/>
      <c r="I1035" s="503"/>
      <c r="J1035" s="503"/>
      <c r="K1035" s="503"/>
    </row>
    <row r="1036" spans="1:11" ht="12">
      <c r="A1036" s="504">
        <v>2141127238</v>
      </c>
      <c r="B1036" s="539" t="s">
        <v>2168</v>
      </c>
      <c r="C1036" s="505" t="s">
        <v>699</v>
      </c>
      <c r="D1036" s="506">
        <v>0</v>
      </c>
      <c r="E1036" s="506">
        <v>862</v>
      </c>
      <c r="F1036" s="506">
        <v>862</v>
      </c>
      <c r="G1036" s="507">
        <v>0</v>
      </c>
      <c r="H1036" s="503"/>
      <c r="I1036" s="503"/>
      <c r="J1036" s="503"/>
      <c r="K1036" s="503"/>
    </row>
    <row r="1037" spans="1:11" ht="12">
      <c r="A1037" s="504">
        <v>2141127239</v>
      </c>
      <c r="B1037" s="539" t="s">
        <v>2169</v>
      </c>
      <c r="C1037" s="505" t="s">
        <v>699</v>
      </c>
      <c r="D1037" s="506">
        <v>0</v>
      </c>
      <c r="E1037" s="506">
        <v>33551</v>
      </c>
      <c r="F1037" s="506">
        <v>0</v>
      </c>
      <c r="G1037" s="507">
        <v>33551</v>
      </c>
      <c r="H1037" s="503"/>
      <c r="I1037" s="503"/>
      <c r="J1037" s="503"/>
      <c r="K1037" s="503"/>
    </row>
    <row r="1038" spans="1:11" ht="12">
      <c r="A1038" s="504">
        <v>2141127240</v>
      </c>
      <c r="B1038" s="539" t="s">
        <v>2170</v>
      </c>
      <c r="C1038" s="505" t="s">
        <v>720</v>
      </c>
      <c r="D1038" s="506">
        <v>0</v>
      </c>
      <c r="E1038" s="506">
        <v>4948</v>
      </c>
      <c r="F1038" s="506">
        <v>4948</v>
      </c>
      <c r="G1038" s="507">
        <v>0</v>
      </c>
      <c r="H1038" s="503"/>
      <c r="I1038" s="503"/>
      <c r="J1038" s="503"/>
      <c r="K1038" s="503"/>
    </row>
    <row r="1039" spans="1:11" ht="12">
      <c r="A1039" s="504">
        <v>2141127241</v>
      </c>
      <c r="B1039" s="539" t="s">
        <v>2171</v>
      </c>
      <c r="C1039" s="505" t="s">
        <v>1208</v>
      </c>
      <c r="D1039" s="506">
        <v>0</v>
      </c>
      <c r="E1039" s="506">
        <v>2632</v>
      </c>
      <c r="F1039" s="506">
        <v>2580</v>
      </c>
      <c r="G1039" s="507">
        <v>52</v>
      </c>
      <c r="H1039" s="503"/>
      <c r="I1039" s="503"/>
      <c r="J1039" s="503"/>
      <c r="K1039" s="503"/>
    </row>
    <row r="1040" spans="1:11" ht="12">
      <c r="A1040" s="504">
        <v>2141127242</v>
      </c>
      <c r="B1040" s="539" t="s">
        <v>2172</v>
      </c>
      <c r="C1040" s="505" t="s">
        <v>699</v>
      </c>
      <c r="D1040" s="506">
        <v>0</v>
      </c>
      <c r="E1040" s="506">
        <v>3878</v>
      </c>
      <c r="F1040" s="506">
        <v>3872</v>
      </c>
      <c r="G1040" s="507">
        <v>6</v>
      </c>
      <c r="H1040" s="503"/>
      <c r="I1040" s="503"/>
      <c r="J1040" s="503"/>
      <c r="K1040" s="503"/>
    </row>
    <row r="1041" spans="1:11" ht="12">
      <c r="A1041" s="504">
        <v>2141127243</v>
      </c>
      <c r="B1041" s="539" t="s">
        <v>2173</v>
      </c>
      <c r="C1041" s="505" t="s">
        <v>692</v>
      </c>
      <c r="D1041" s="506">
        <v>0</v>
      </c>
      <c r="E1041" s="506">
        <v>78</v>
      </c>
      <c r="F1041" s="506">
        <v>77</v>
      </c>
      <c r="G1041" s="507">
        <v>1</v>
      </c>
      <c r="H1041" s="503"/>
      <c r="I1041" s="503"/>
      <c r="J1041" s="503"/>
      <c r="K1041" s="503"/>
    </row>
    <row r="1042" spans="1:11" ht="12">
      <c r="A1042" s="504">
        <v>2141127244</v>
      </c>
      <c r="B1042" s="539" t="s">
        <v>2164</v>
      </c>
      <c r="C1042" s="505" t="s">
        <v>720</v>
      </c>
      <c r="D1042" s="506">
        <v>0</v>
      </c>
      <c r="E1042" s="506">
        <v>1500</v>
      </c>
      <c r="F1042" s="506">
        <v>1500</v>
      </c>
      <c r="G1042" s="507">
        <v>0</v>
      </c>
      <c r="H1042" s="503"/>
      <c r="I1042" s="503"/>
      <c r="J1042" s="503"/>
      <c r="K1042" s="503"/>
    </row>
    <row r="1043" spans="1:11" ht="12">
      <c r="A1043" s="504">
        <v>2141127246</v>
      </c>
      <c r="B1043" s="539" t="s">
        <v>2174</v>
      </c>
      <c r="C1043" s="505" t="s">
        <v>720</v>
      </c>
      <c r="D1043" s="506">
        <v>0</v>
      </c>
      <c r="E1043" s="506">
        <v>6449</v>
      </c>
      <c r="F1043" s="506">
        <v>6449</v>
      </c>
      <c r="G1043" s="507">
        <v>0</v>
      </c>
      <c r="H1043" s="503"/>
      <c r="I1043" s="503"/>
      <c r="J1043" s="503"/>
      <c r="K1043" s="503"/>
    </row>
    <row r="1044" spans="1:11" ht="12">
      <c r="A1044" s="504">
        <v>2141127247</v>
      </c>
      <c r="B1044" s="539" t="s">
        <v>595</v>
      </c>
      <c r="C1044" s="505" t="s">
        <v>1142</v>
      </c>
      <c r="D1044" s="506">
        <v>0</v>
      </c>
      <c r="E1044" s="506">
        <v>2588</v>
      </c>
      <c r="F1044" s="506">
        <v>0</v>
      </c>
      <c r="G1044" s="507">
        <v>2588</v>
      </c>
      <c r="H1044" s="503"/>
      <c r="I1044" s="503"/>
      <c r="J1044" s="503"/>
      <c r="K1044" s="503"/>
    </row>
    <row r="1045" spans="1:11" ht="12">
      <c r="A1045" s="504">
        <v>2141127248</v>
      </c>
      <c r="B1045" s="539" t="s">
        <v>596</v>
      </c>
      <c r="C1045" s="505" t="s">
        <v>720</v>
      </c>
      <c r="D1045" s="506">
        <v>0</v>
      </c>
      <c r="E1045" s="506">
        <v>6000</v>
      </c>
      <c r="F1045" s="506">
        <v>500</v>
      </c>
      <c r="G1045" s="507">
        <v>5500</v>
      </c>
      <c r="H1045" s="503"/>
      <c r="I1045" s="503"/>
      <c r="J1045" s="503"/>
      <c r="K1045" s="503"/>
    </row>
    <row r="1046" spans="1:11" ht="12">
      <c r="A1046" s="504">
        <v>2141136001</v>
      </c>
      <c r="B1046" s="539" t="s">
        <v>597</v>
      </c>
      <c r="C1046" s="505" t="s">
        <v>1159</v>
      </c>
      <c r="D1046" s="506">
        <v>17400</v>
      </c>
      <c r="E1046" s="506">
        <v>17400</v>
      </c>
      <c r="F1046" s="506">
        <v>17399</v>
      </c>
      <c r="G1046" s="507">
        <v>1</v>
      </c>
      <c r="H1046" s="503"/>
      <c r="I1046" s="503"/>
      <c r="J1046" s="503"/>
      <c r="K1046" s="503"/>
    </row>
    <row r="1047" spans="1:11" ht="12">
      <c r="A1047" s="504">
        <v>2141136002</v>
      </c>
      <c r="B1047" s="539" t="s">
        <v>598</v>
      </c>
      <c r="C1047" s="505" t="s">
        <v>1159</v>
      </c>
      <c r="D1047" s="506">
        <v>10307</v>
      </c>
      <c r="E1047" s="506">
        <v>10307</v>
      </c>
      <c r="F1047" s="506">
        <v>10306</v>
      </c>
      <c r="G1047" s="507">
        <v>1</v>
      </c>
      <c r="H1047" s="503"/>
      <c r="I1047" s="503"/>
      <c r="J1047" s="503"/>
      <c r="K1047" s="503"/>
    </row>
    <row r="1048" spans="1:11" ht="12">
      <c r="A1048" s="504">
        <v>2141136003</v>
      </c>
      <c r="B1048" s="539" t="s">
        <v>599</v>
      </c>
      <c r="C1048" s="505" t="s">
        <v>1159</v>
      </c>
      <c r="D1048" s="506">
        <v>3702</v>
      </c>
      <c r="E1048" s="506">
        <v>3702</v>
      </c>
      <c r="F1048" s="506">
        <v>3702</v>
      </c>
      <c r="G1048" s="507">
        <v>0</v>
      </c>
      <c r="H1048" s="503"/>
      <c r="I1048" s="503"/>
      <c r="J1048" s="503"/>
      <c r="K1048" s="503"/>
    </row>
    <row r="1049" spans="1:11" ht="12">
      <c r="A1049" s="504">
        <v>2141136098</v>
      </c>
      <c r="B1049" s="539" t="s">
        <v>600</v>
      </c>
      <c r="C1049" s="505" t="s">
        <v>1137</v>
      </c>
      <c r="D1049" s="506">
        <v>0</v>
      </c>
      <c r="E1049" s="506">
        <v>69</v>
      </c>
      <c r="F1049" s="506">
        <v>69</v>
      </c>
      <c r="G1049" s="507">
        <v>0</v>
      </c>
      <c r="H1049" s="503"/>
      <c r="I1049" s="503"/>
      <c r="J1049" s="503"/>
      <c r="K1049" s="503"/>
    </row>
    <row r="1050" spans="1:11" ht="12">
      <c r="A1050" s="504">
        <v>2141136116</v>
      </c>
      <c r="B1050" s="539" t="s">
        <v>2274</v>
      </c>
      <c r="C1050" s="505" t="s">
        <v>1159</v>
      </c>
      <c r="D1050" s="506">
        <v>2000</v>
      </c>
      <c r="E1050" s="506">
        <v>1999</v>
      </c>
      <c r="F1050" s="506">
        <v>1998</v>
      </c>
      <c r="G1050" s="507">
        <v>1</v>
      </c>
      <c r="H1050" s="503"/>
      <c r="I1050" s="503"/>
      <c r="J1050" s="503"/>
      <c r="K1050" s="503"/>
    </row>
    <row r="1051" spans="1:11" ht="12">
      <c r="A1051" s="504">
        <v>2141136205</v>
      </c>
      <c r="B1051" s="539" t="s">
        <v>601</v>
      </c>
      <c r="C1051" s="505" t="s">
        <v>1142</v>
      </c>
      <c r="D1051" s="506">
        <v>0</v>
      </c>
      <c r="E1051" s="506">
        <v>401</v>
      </c>
      <c r="F1051" s="506">
        <v>399</v>
      </c>
      <c r="G1051" s="507">
        <v>2</v>
      </c>
      <c r="H1051" s="503"/>
      <c r="I1051" s="503"/>
      <c r="J1051" s="503"/>
      <c r="K1051" s="503"/>
    </row>
    <row r="1052" spans="1:11" ht="12">
      <c r="A1052" s="504">
        <v>2141136234</v>
      </c>
      <c r="B1052" s="539" t="s">
        <v>602</v>
      </c>
      <c r="C1052" s="505" t="s">
        <v>1137</v>
      </c>
      <c r="D1052" s="506">
        <v>0</v>
      </c>
      <c r="E1052" s="506">
        <v>1129</v>
      </c>
      <c r="F1052" s="506">
        <v>1129</v>
      </c>
      <c r="G1052" s="507">
        <v>0</v>
      </c>
      <c r="H1052" s="503"/>
      <c r="I1052" s="503"/>
      <c r="J1052" s="503"/>
      <c r="K1052" s="503"/>
    </row>
    <row r="1053" spans="1:11" ht="12">
      <c r="A1053" s="504">
        <v>2141136241</v>
      </c>
      <c r="B1053" s="539" t="s">
        <v>603</v>
      </c>
      <c r="C1053" s="505" t="s">
        <v>1137</v>
      </c>
      <c r="D1053" s="506">
        <v>0</v>
      </c>
      <c r="E1053" s="506">
        <v>26500</v>
      </c>
      <c r="F1053" s="506">
        <v>26497</v>
      </c>
      <c r="G1053" s="507">
        <v>3</v>
      </c>
      <c r="H1053" s="503"/>
      <c r="I1053" s="503"/>
      <c r="J1053" s="503"/>
      <c r="K1053" s="503"/>
    </row>
    <row r="1054" spans="1:11" ht="12">
      <c r="A1054" s="504">
        <v>2141137001</v>
      </c>
      <c r="B1054" s="539" t="s">
        <v>604</v>
      </c>
      <c r="C1054" s="505" t="s">
        <v>670</v>
      </c>
      <c r="D1054" s="506">
        <v>390</v>
      </c>
      <c r="E1054" s="506">
        <v>363</v>
      </c>
      <c r="F1054" s="506">
        <v>362</v>
      </c>
      <c r="G1054" s="507">
        <v>1</v>
      </c>
      <c r="H1054" s="503"/>
      <c r="I1054" s="503"/>
      <c r="J1054" s="503"/>
      <c r="K1054" s="503"/>
    </row>
    <row r="1055" spans="1:11" ht="12">
      <c r="A1055" s="504">
        <v>2141137002</v>
      </c>
      <c r="B1055" s="539" t="s">
        <v>605</v>
      </c>
      <c r="C1055" s="505" t="s">
        <v>670</v>
      </c>
      <c r="D1055" s="506">
        <v>320</v>
      </c>
      <c r="E1055" s="506">
        <v>290</v>
      </c>
      <c r="F1055" s="506">
        <v>290</v>
      </c>
      <c r="G1055" s="507">
        <v>0</v>
      </c>
      <c r="H1055" s="503"/>
      <c r="I1055" s="503"/>
      <c r="J1055" s="503"/>
      <c r="K1055" s="503"/>
    </row>
    <row r="1056" spans="1:11" ht="12">
      <c r="A1056" s="504">
        <v>2141137003</v>
      </c>
      <c r="B1056" s="539" t="s">
        <v>606</v>
      </c>
      <c r="C1056" s="505" t="s">
        <v>670</v>
      </c>
      <c r="D1056" s="506">
        <v>300</v>
      </c>
      <c r="E1056" s="506">
        <v>0</v>
      </c>
      <c r="F1056" s="506">
        <v>0</v>
      </c>
      <c r="G1056" s="507">
        <v>0</v>
      </c>
      <c r="H1056" s="503"/>
      <c r="I1056" s="503"/>
      <c r="J1056" s="503"/>
      <c r="K1056" s="503"/>
    </row>
    <row r="1057" spans="1:11" ht="12">
      <c r="A1057" s="504">
        <v>2141137004</v>
      </c>
      <c r="B1057" s="539" t="s">
        <v>607</v>
      </c>
      <c r="C1057" s="505" t="s">
        <v>670</v>
      </c>
      <c r="D1057" s="506">
        <v>150</v>
      </c>
      <c r="E1057" s="506">
        <v>0</v>
      </c>
      <c r="F1057" s="506">
        <v>0</v>
      </c>
      <c r="G1057" s="507">
        <v>0</v>
      </c>
      <c r="H1057" s="503"/>
      <c r="I1057" s="503"/>
      <c r="J1057" s="503"/>
      <c r="K1057" s="503"/>
    </row>
    <row r="1058" spans="1:11" ht="12">
      <c r="A1058" s="504">
        <v>2141137005</v>
      </c>
      <c r="B1058" s="539" t="s">
        <v>608</v>
      </c>
      <c r="C1058" s="505" t="s">
        <v>670</v>
      </c>
      <c r="D1058" s="506">
        <v>5745</v>
      </c>
      <c r="E1058" s="506">
        <v>2355</v>
      </c>
      <c r="F1058" s="506">
        <v>2355</v>
      </c>
      <c r="G1058" s="507">
        <v>0</v>
      </c>
      <c r="H1058" s="503"/>
      <c r="I1058" s="503"/>
      <c r="J1058" s="503"/>
      <c r="K1058" s="503"/>
    </row>
    <row r="1059" spans="1:11" ht="12">
      <c r="A1059" s="504">
        <v>2141137006</v>
      </c>
      <c r="B1059" s="539" t="s">
        <v>2274</v>
      </c>
      <c r="C1059" s="505" t="s">
        <v>670</v>
      </c>
      <c r="D1059" s="506">
        <v>14903</v>
      </c>
      <c r="E1059" s="506">
        <v>10643</v>
      </c>
      <c r="F1059" s="506">
        <v>11641</v>
      </c>
      <c r="G1059" s="507">
        <v>2</v>
      </c>
      <c r="H1059" s="503"/>
      <c r="I1059" s="503"/>
      <c r="J1059" s="503"/>
      <c r="K1059" s="503"/>
    </row>
    <row r="1060" spans="1:11" ht="12">
      <c r="A1060" s="504">
        <v>2141137007</v>
      </c>
      <c r="B1060" s="539" t="s">
        <v>609</v>
      </c>
      <c r="C1060" s="505" t="s">
        <v>670</v>
      </c>
      <c r="D1060" s="506">
        <v>300</v>
      </c>
      <c r="E1060" s="506">
        <v>300</v>
      </c>
      <c r="F1060" s="506">
        <v>300</v>
      </c>
      <c r="G1060" s="507">
        <v>0</v>
      </c>
      <c r="H1060" s="503"/>
      <c r="I1060" s="503"/>
      <c r="J1060" s="503"/>
      <c r="K1060" s="503"/>
    </row>
    <row r="1061" spans="1:11" ht="12">
      <c r="A1061" s="504">
        <v>2141137008</v>
      </c>
      <c r="B1061" s="539" t="s">
        <v>610</v>
      </c>
      <c r="C1061" s="505" t="s">
        <v>670</v>
      </c>
      <c r="D1061" s="506">
        <v>200</v>
      </c>
      <c r="E1061" s="506">
        <v>0</v>
      </c>
      <c r="F1061" s="506">
        <v>0</v>
      </c>
      <c r="G1061" s="507">
        <v>0</v>
      </c>
      <c r="H1061" s="503"/>
      <c r="I1061" s="503"/>
      <c r="J1061" s="503"/>
      <c r="K1061" s="503"/>
    </row>
    <row r="1062" spans="1:11" ht="12">
      <c r="A1062" s="504">
        <v>2141137009</v>
      </c>
      <c r="B1062" s="539" t="s">
        <v>611</v>
      </c>
      <c r="C1062" s="505" t="s">
        <v>670</v>
      </c>
      <c r="D1062" s="506">
        <v>330</v>
      </c>
      <c r="E1062" s="506">
        <v>110</v>
      </c>
      <c r="F1062" s="506">
        <v>110</v>
      </c>
      <c r="G1062" s="507">
        <v>0</v>
      </c>
      <c r="H1062" s="503"/>
      <c r="I1062" s="503"/>
      <c r="J1062" s="503"/>
      <c r="K1062" s="503"/>
    </row>
    <row r="1063" spans="1:11" ht="12">
      <c r="A1063" s="504">
        <v>2141137010</v>
      </c>
      <c r="B1063" s="539" t="s">
        <v>612</v>
      </c>
      <c r="C1063" s="505" t="s">
        <v>670</v>
      </c>
      <c r="D1063" s="506">
        <v>170</v>
      </c>
      <c r="E1063" s="506">
        <v>0</v>
      </c>
      <c r="F1063" s="506">
        <v>0</v>
      </c>
      <c r="G1063" s="507">
        <v>0</v>
      </c>
      <c r="H1063" s="503"/>
      <c r="I1063" s="503"/>
      <c r="J1063" s="503"/>
      <c r="K1063" s="503"/>
    </row>
    <row r="1064" spans="1:11" ht="12">
      <c r="A1064" s="504">
        <v>2141137011</v>
      </c>
      <c r="B1064" s="539" t="s">
        <v>613</v>
      </c>
      <c r="C1064" s="505" t="s">
        <v>670</v>
      </c>
      <c r="D1064" s="506">
        <v>250</v>
      </c>
      <c r="E1064" s="506">
        <v>249</v>
      </c>
      <c r="F1064" s="506">
        <v>241</v>
      </c>
      <c r="G1064" s="507">
        <v>9</v>
      </c>
      <c r="H1064" s="503"/>
      <c r="I1064" s="503"/>
      <c r="J1064" s="503"/>
      <c r="K1064" s="503"/>
    </row>
    <row r="1065" spans="1:11" ht="12">
      <c r="A1065" s="504">
        <v>2141137012</v>
      </c>
      <c r="B1065" s="539" t="s">
        <v>614</v>
      </c>
      <c r="C1065" s="505" t="s">
        <v>670</v>
      </c>
      <c r="D1065" s="506">
        <v>100</v>
      </c>
      <c r="E1065" s="506">
        <v>100</v>
      </c>
      <c r="F1065" s="506">
        <v>100</v>
      </c>
      <c r="G1065" s="507">
        <v>0</v>
      </c>
      <c r="H1065" s="503"/>
      <c r="I1065" s="503"/>
      <c r="J1065" s="503"/>
      <c r="K1065" s="503"/>
    </row>
    <row r="1066" spans="1:11" ht="12">
      <c r="A1066" s="504">
        <v>2141137013</v>
      </c>
      <c r="B1066" s="539" t="s">
        <v>615</v>
      </c>
      <c r="C1066" s="505" t="s">
        <v>670</v>
      </c>
      <c r="D1066" s="506">
        <v>360</v>
      </c>
      <c r="E1066" s="506">
        <v>360</v>
      </c>
      <c r="F1066" s="506">
        <v>360</v>
      </c>
      <c r="G1066" s="507">
        <v>0</v>
      </c>
      <c r="H1066" s="503"/>
      <c r="I1066" s="503"/>
      <c r="J1066" s="503"/>
      <c r="K1066" s="503"/>
    </row>
    <row r="1067" spans="1:11" ht="12">
      <c r="A1067" s="504">
        <v>2141137014</v>
      </c>
      <c r="B1067" s="539" t="s">
        <v>616</v>
      </c>
      <c r="C1067" s="505" t="s">
        <v>670</v>
      </c>
      <c r="D1067" s="506">
        <v>125</v>
      </c>
      <c r="E1067" s="506">
        <v>0</v>
      </c>
      <c r="F1067" s="506">
        <v>0</v>
      </c>
      <c r="G1067" s="507">
        <v>0</v>
      </c>
      <c r="H1067" s="503"/>
      <c r="I1067" s="503"/>
      <c r="J1067" s="503"/>
      <c r="K1067" s="503"/>
    </row>
    <row r="1068" spans="1:11" ht="12">
      <c r="A1068" s="504">
        <v>2141137015</v>
      </c>
      <c r="B1068" s="539" t="s">
        <v>617</v>
      </c>
      <c r="C1068" s="505" t="s">
        <v>670</v>
      </c>
      <c r="D1068" s="506">
        <v>125</v>
      </c>
      <c r="E1068" s="506">
        <v>0</v>
      </c>
      <c r="F1068" s="506">
        <v>0</v>
      </c>
      <c r="G1068" s="507">
        <v>0</v>
      </c>
      <c r="H1068" s="503"/>
      <c r="I1068" s="503"/>
      <c r="J1068" s="503"/>
      <c r="K1068" s="503"/>
    </row>
    <row r="1069" spans="1:11" ht="12">
      <c r="A1069" s="504">
        <v>2141137016</v>
      </c>
      <c r="B1069" s="539" t="s">
        <v>618</v>
      </c>
      <c r="C1069" s="505" t="s">
        <v>670</v>
      </c>
      <c r="D1069" s="506">
        <v>150</v>
      </c>
      <c r="E1069" s="506">
        <v>150</v>
      </c>
      <c r="F1069" s="506">
        <v>105</v>
      </c>
      <c r="G1069" s="507">
        <v>45</v>
      </c>
      <c r="H1069" s="503"/>
      <c r="I1069" s="503"/>
      <c r="J1069" s="503"/>
      <c r="K1069" s="503"/>
    </row>
    <row r="1070" spans="1:11" ht="12">
      <c r="A1070" s="504">
        <v>2141137017</v>
      </c>
      <c r="B1070" s="539" t="s">
        <v>619</v>
      </c>
      <c r="C1070" s="505" t="s">
        <v>677</v>
      </c>
      <c r="D1070" s="506">
        <v>1920</v>
      </c>
      <c r="E1070" s="506">
        <v>0</v>
      </c>
      <c r="F1070" s="506">
        <v>0</v>
      </c>
      <c r="G1070" s="507">
        <v>0</v>
      </c>
      <c r="H1070" s="503"/>
      <c r="I1070" s="503"/>
      <c r="J1070" s="503"/>
      <c r="K1070" s="503"/>
    </row>
    <row r="1071" spans="1:11" ht="12">
      <c r="A1071" s="504">
        <v>2141137018</v>
      </c>
      <c r="B1071" s="539" t="s">
        <v>2274</v>
      </c>
      <c r="C1071" s="505" t="s">
        <v>677</v>
      </c>
      <c r="D1071" s="506">
        <v>11580</v>
      </c>
      <c r="E1071" s="506">
        <v>9694</v>
      </c>
      <c r="F1071" s="506">
        <v>8334</v>
      </c>
      <c r="G1071" s="507">
        <v>1359</v>
      </c>
      <c r="H1071" s="503"/>
      <c r="I1071" s="503"/>
      <c r="J1071" s="503"/>
      <c r="K1071" s="503"/>
    </row>
    <row r="1072" spans="1:11" ht="12">
      <c r="A1072" s="504">
        <v>2141137019</v>
      </c>
      <c r="B1072" s="539" t="s">
        <v>620</v>
      </c>
      <c r="C1072" s="505" t="s">
        <v>1208</v>
      </c>
      <c r="D1072" s="506">
        <v>50</v>
      </c>
      <c r="E1072" s="506">
        <v>0</v>
      </c>
      <c r="F1072" s="506">
        <v>0</v>
      </c>
      <c r="G1072" s="507">
        <v>0</v>
      </c>
      <c r="H1072" s="503"/>
      <c r="I1072" s="503"/>
      <c r="J1072" s="503"/>
      <c r="K1072" s="503"/>
    </row>
    <row r="1073" spans="1:11" ht="12">
      <c r="A1073" s="504">
        <v>2141137020</v>
      </c>
      <c r="B1073" s="539" t="s">
        <v>621</v>
      </c>
      <c r="C1073" s="505" t="s">
        <v>1208</v>
      </c>
      <c r="D1073" s="506">
        <v>192</v>
      </c>
      <c r="E1073" s="506">
        <v>0</v>
      </c>
      <c r="F1073" s="506">
        <v>0</v>
      </c>
      <c r="G1073" s="507">
        <v>0</v>
      </c>
      <c r="H1073" s="503"/>
      <c r="I1073" s="503"/>
      <c r="J1073" s="503"/>
      <c r="K1073" s="503"/>
    </row>
    <row r="1074" spans="1:11" ht="12">
      <c r="A1074" s="504">
        <v>2141137021</v>
      </c>
      <c r="B1074" s="539" t="s">
        <v>622</v>
      </c>
      <c r="C1074" s="505" t="s">
        <v>1208</v>
      </c>
      <c r="D1074" s="506">
        <v>200</v>
      </c>
      <c r="E1074" s="506">
        <v>185</v>
      </c>
      <c r="F1074" s="506">
        <v>185</v>
      </c>
      <c r="G1074" s="507">
        <v>1</v>
      </c>
      <c r="H1074" s="503"/>
      <c r="I1074" s="503"/>
      <c r="J1074" s="503"/>
      <c r="K1074" s="503"/>
    </row>
    <row r="1075" spans="1:11" ht="12">
      <c r="A1075" s="504">
        <v>2141137022</v>
      </c>
      <c r="B1075" s="539" t="s">
        <v>623</v>
      </c>
      <c r="C1075" s="505" t="s">
        <v>1208</v>
      </c>
      <c r="D1075" s="506">
        <v>50</v>
      </c>
      <c r="E1075" s="506">
        <v>0</v>
      </c>
      <c r="F1075" s="506">
        <v>0</v>
      </c>
      <c r="G1075" s="507">
        <v>0</v>
      </c>
      <c r="H1075" s="503"/>
      <c r="I1075" s="503"/>
      <c r="J1075" s="503"/>
      <c r="K1075" s="503"/>
    </row>
    <row r="1076" spans="1:11" ht="12">
      <c r="A1076" s="504">
        <v>2141137023</v>
      </c>
      <c r="B1076" s="539" t="s">
        <v>604</v>
      </c>
      <c r="C1076" s="505" t="s">
        <v>1208</v>
      </c>
      <c r="D1076" s="506">
        <v>920</v>
      </c>
      <c r="E1076" s="506">
        <v>0</v>
      </c>
      <c r="F1076" s="506">
        <v>0</v>
      </c>
      <c r="G1076" s="507">
        <v>0</v>
      </c>
      <c r="H1076" s="503"/>
      <c r="I1076" s="503"/>
      <c r="J1076" s="503"/>
      <c r="K1076" s="503"/>
    </row>
    <row r="1077" spans="1:11" ht="12">
      <c r="A1077" s="504">
        <v>2141137024</v>
      </c>
      <c r="B1077" s="539" t="s">
        <v>608</v>
      </c>
      <c r="C1077" s="505" t="s">
        <v>1208</v>
      </c>
      <c r="D1077" s="506">
        <v>600</v>
      </c>
      <c r="E1077" s="506">
        <v>0</v>
      </c>
      <c r="F1077" s="506">
        <v>0</v>
      </c>
      <c r="G1077" s="507">
        <v>0</v>
      </c>
      <c r="H1077" s="503"/>
      <c r="I1077" s="503"/>
      <c r="J1077" s="503"/>
      <c r="K1077" s="503"/>
    </row>
    <row r="1078" spans="1:11" ht="12">
      <c r="A1078" s="504">
        <v>2141137025</v>
      </c>
      <c r="B1078" s="539" t="s">
        <v>624</v>
      </c>
      <c r="C1078" s="505" t="s">
        <v>1208</v>
      </c>
      <c r="D1078" s="506">
        <v>462</v>
      </c>
      <c r="E1078" s="506">
        <v>0</v>
      </c>
      <c r="F1078" s="506">
        <v>0</v>
      </c>
      <c r="G1078" s="507">
        <v>0</v>
      </c>
      <c r="H1078" s="503"/>
      <c r="I1078" s="503"/>
      <c r="J1078" s="503"/>
      <c r="K1078" s="503"/>
    </row>
    <row r="1079" spans="1:11" ht="12">
      <c r="A1079" s="504">
        <v>2141137026</v>
      </c>
      <c r="B1079" s="539" t="s">
        <v>625</v>
      </c>
      <c r="C1079" s="505" t="s">
        <v>1208</v>
      </c>
      <c r="D1079" s="506">
        <v>120</v>
      </c>
      <c r="E1079" s="506">
        <v>0</v>
      </c>
      <c r="F1079" s="506">
        <v>0</v>
      </c>
      <c r="G1079" s="507">
        <v>0</v>
      </c>
      <c r="H1079" s="503"/>
      <c r="I1079" s="503"/>
      <c r="J1079" s="503"/>
      <c r="K1079" s="503"/>
    </row>
    <row r="1080" spans="1:11" ht="12">
      <c r="A1080" s="504">
        <v>2141137027</v>
      </c>
      <c r="B1080" s="539" t="s">
        <v>626</v>
      </c>
      <c r="C1080" s="505" t="s">
        <v>1208</v>
      </c>
      <c r="D1080" s="506">
        <v>42</v>
      </c>
      <c r="E1080" s="506">
        <v>0</v>
      </c>
      <c r="F1080" s="506">
        <v>0</v>
      </c>
      <c r="G1080" s="507">
        <v>0</v>
      </c>
      <c r="H1080" s="503"/>
      <c r="I1080" s="503"/>
      <c r="J1080" s="503"/>
      <c r="K1080" s="503"/>
    </row>
    <row r="1081" spans="1:11" ht="12">
      <c r="A1081" s="504">
        <v>2141137028</v>
      </c>
      <c r="B1081" s="539" t="s">
        <v>627</v>
      </c>
      <c r="C1081" s="505" t="s">
        <v>1208</v>
      </c>
      <c r="D1081" s="506">
        <v>96</v>
      </c>
      <c r="E1081" s="506">
        <v>0</v>
      </c>
      <c r="F1081" s="506">
        <v>0</v>
      </c>
      <c r="G1081" s="507">
        <v>0</v>
      </c>
      <c r="H1081" s="503"/>
      <c r="I1081" s="503"/>
      <c r="J1081" s="503"/>
      <c r="K1081" s="503"/>
    </row>
    <row r="1082" spans="1:11" ht="12">
      <c r="A1082" s="504">
        <v>2141137029</v>
      </c>
      <c r="B1082" s="539" t="s">
        <v>628</v>
      </c>
      <c r="C1082" s="505" t="s">
        <v>1208</v>
      </c>
      <c r="D1082" s="506">
        <v>2249</v>
      </c>
      <c r="E1082" s="506">
        <v>0</v>
      </c>
      <c r="F1082" s="506">
        <v>0</v>
      </c>
      <c r="G1082" s="507">
        <v>0</v>
      </c>
      <c r="H1082" s="503"/>
      <c r="I1082" s="503"/>
      <c r="J1082" s="503"/>
      <c r="K1082" s="503"/>
    </row>
    <row r="1083" spans="1:11" ht="12">
      <c r="A1083" s="504">
        <v>2141137030</v>
      </c>
      <c r="B1083" s="539" t="s">
        <v>2274</v>
      </c>
      <c r="C1083" s="505" t="s">
        <v>1208</v>
      </c>
      <c r="D1083" s="506">
        <v>21093</v>
      </c>
      <c r="E1083" s="506">
        <v>11392</v>
      </c>
      <c r="F1083" s="506">
        <v>18319</v>
      </c>
      <c r="G1083" s="507">
        <v>5</v>
      </c>
      <c r="H1083" s="503"/>
      <c r="I1083" s="503"/>
      <c r="J1083" s="503"/>
      <c r="K1083" s="503"/>
    </row>
    <row r="1084" spans="1:11" ht="12">
      <c r="A1084" s="504">
        <v>2141137031</v>
      </c>
      <c r="B1084" s="539" t="s">
        <v>629</v>
      </c>
      <c r="C1084" s="505" t="s">
        <v>1208</v>
      </c>
      <c r="D1084" s="506">
        <v>95</v>
      </c>
      <c r="E1084" s="506">
        <v>0</v>
      </c>
      <c r="F1084" s="506">
        <v>0</v>
      </c>
      <c r="G1084" s="507">
        <v>0</v>
      </c>
      <c r="H1084" s="503"/>
      <c r="I1084" s="503"/>
      <c r="J1084" s="503"/>
      <c r="K1084" s="503"/>
    </row>
    <row r="1085" spans="1:11" ht="12">
      <c r="A1085" s="504">
        <v>2141137032</v>
      </c>
      <c r="B1085" s="539" t="s">
        <v>630</v>
      </c>
      <c r="C1085" s="505" t="s">
        <v>1208</v>
      </c>
      <c r="D1085" s="506">
        <v>220</v>
      </c>
      <c r="E1085" s="506">
        <v>0</v>
      </c>
      <c r="F1085" s="506">
        <v>0</v>
      </c>
      <c r="G1085" s="507">
        <v>0</v>
      </c>
      <c r="H1085" s="503"/>
      <c r="I1085" s="503"/>
      <c r="J1085" s="503"/>
      <c r="K1085" s="503"/>
    </row>
    <row r="1086" spans="1:11" ht="12">
      <c r="A1086" s="504">
        <v>2141137033</v>
      </c>
      <c r="B1086" s="539" t="s">
        <v>604</v>
      </c>
      <c r="C1086" s="505" t="s">
        <v>692</v>
      </c>
      <c r="D1086" s="506">
        <v>1340</v>
      </c>
      <c r="E1086" s="506">
        <v>633</v>
      </c>
      <c r="F1086" s="506">
        <v>633</v>
      </c>
      <c r="G1086" s="507">
        <v>0</v>
      </c>
      <c r="H1086" s="503"/>
      <c r="I1086" s="503"/>
      <c r="J1086" s="503"/>
      <c r="K1086" s="503"/>
    </row>
    <row r="1087" spans="1:11" ht="12">
      <c r="A1087" s="504">
        <v>2141137034</v>
      </c>
      <c r="B1087" s="539" t="s">
        <v>631</v>
      </c>
      <c r="C1087" s="505" t="s">
        <v>692</v>
      </c>
      <c r="D1087" s="506">
        <v>300</v>
      </c>
      <c r="E1087" s="506">
        <v>0</v>
      </c>
      <c r="F1087" s="506">
        <v>0</v>
      </c>
      <c r="G1087" s="507">
        <v>0</v>
      </c>
      <c r="H1087" s="503"/>
      <c r="I1087" s="503"/>
      <c r="J1087" s="503"/>
      <c r="K1087" s="503"/>
    </row>
    <row r="1088" spans="1:11" ht="12">
      <c r="A1088" s="504">
        <v>2141137035</v>
      </c>
      <c r="B1088" s="539" t="s">
        <v>608</v>
      </c>
      <c r="C1088" s="505" t="s">
        <v>692</v>
      </c>
      <c r="D1088" s="506">
        <v>4100</v>
      </c>
      <c r="E1088" s="506">
        <v>600</v>
      </c>
      <c r="F1088" s="506">
        <v>600</v>
      </c>
      <c r="G1088" s="507">
        <v>0</v>
      </c>
      <c r="H1088" s="503"/>
      <c r="I1088" s="503"/>
      <c r="J1088" s="503"/>
      <c r="K1088" s="503"/>
    </row>
    <row r="1089" spans="1:11" ht="12">
      <c r="A1089" s="504">
        <v>2141137036</v>
      </c>
      <c r="B1089" s="539" t="s">
        <v>624</v>
      </c>
      <c r="C1089" s="505" t="s">
        <v>692</v>
      </c>
      <c r="D1089" s="506">
        <v>345</v>
      </c>
      <c r="E1089" s="506">
        <v>0</v>
      </c>
      <c r="F1089" s="506">
        <v>0</v>
      </c>
      <c r="G1089" s="507">
        <v>0</v>
      </c>
      <c r="H1089" s="503"/>
      <c r="I1089" s="503"/>
      <c r="J1089" s="503"/>
      <c r="K1089" s="503"/>
    </row>
    <row r="1090" spans="1:11" ht="12">
      <c r="A1090" s="504">
        <v>2141137037</v>
      </c>
      <c r="B1090" s="539" t="s">
        <v>632</v>
      </c>
      <c r="C1090" s="505" t="s">
        <v>692</v>
      </c>
      <c r="D1090" s="506">
        <v>50</v>
      </c>
      <c r="E1090" s="506">
        <v>0</v>
      </c>
      <c r="F1090" s="506">
        <v>0</v>
      </c>
      <c r="G1090" s="507">
        <v>0</v>
      </c>
      <c r="H1090" s="503"/>
      <c r="I1090" s="503"/>
      <c r="J1090" s="503"/>
      <c r="K1090" s="503"/>
    </row>
    <row r="1091" spans="1:11" ht="12">
      <c r="A1091" s="504">
        <v>2141137038</v>
      </c>
      <c r="B1091" s="539" t="s">
        <v>633</v>
      </c>
      <c r="C1091" s="505" t="s">
        <v>692</v>
      </c>
      <c r="D1091" s="506">
        <v>80</v>
      </c>
      <c r="E1091" s="506">
        <v>0</v>
      </c>
      <c r="F1091" s="506">
        <v>0</v>
      </c>
      <c r="G1091" s="507">
        <v>0</v>
      </c>
      <c r="H1091" s="503"/>
      <c r="I1091" s="503"/>
      <c r="J1091" s="503"/>
      <c r="K1091" s="503"/>
    </row>
    <row r="1092" spans="1:11" ht="12">
      <c r="A1092" s="504">
        <v>2141137039</v>
      </c>
      <c r="B1092" s="539" t="s">
        <v>2274</v>
      </c>
      <c r="C1092" s="505" t="s">
        <v>692</v>
      </c>
      <c r="D1092" s="506">
        <v>28347</v>
      </c>
      <c r="E1092" s="506">
        <v>20669</v>
      </c>
      <c r="F1092" s="506">
        <v>23291</v>
      </c>
      <c r="G1092" s="507">
        <v>22</v>
      </c>
      <c r="H1092" s="503"/>
      <c r="I1092" s="503"/>
      <c r="J1092" s="503"/>
      <c r="K1092" s="503"/>
    </row>
    <row r="1093" spans="1:11" ht="12">
      <c r="A1093" s="504">
        <v>2141137040</v>
      </c>
      <c r="B1093" s="539" t="s">
        <v>629</v>
      </c>
      <c r="C1093" s="505" t="s">
        <v>692</v>
      </c>
      <c r="D1093" s="506">
        <v>96</v>
      </c>
      <c r="E1093" s="506">
        <v>0</v>
      </c>
      <c r="F1093" s="506">
        <v>0</v>
      </c>
      <c r="G1093" s="507">
        <v>0</v>
      </c>
      <c r="H1093" s="503"/>
      <c r="I1093" s="503"/>
      <c r="J1093" s="503"/>
      <c r="K1093" s="503"/>
    </row>
    <row r="1094" spans="1:11" ht="12">
      <c r="A1094" s="504">
        <v>2141137041</v>
      </c>
      <c r="B1094" s="539" t="s">
        <v>611</v>
      </c>
      <c r="C1094" s="505" t="s">
        <v>692</v>
      </c>
      <c r="D1094" s="506">
        <v>140</v>
      </c>
      <c r="E1094" s="506">
        <v>200</v>
      </c>
      <c r="F1094" s="506">
        <v>199</v>
      </c>
      <c r="G1094" s="507">
        <v>1</v>
      </c>
      <c r="H1094" s="503"/>
      <c r="I1094" s="503"/>
      <c r="J1094" s="503"/>
      <c r="K1094" s="503"/>
    </row>
    <row r="1095" spans="1:11" ht="12">
      <c r="A1095" s="504">
        <v>2141137042</v>
      </c>
      <c r="B1095" s="539" t="s">
        <v>634</v>
      </c>
      <c r="C1095" s="505" t="s">
        <v>692</v>
      </c>
      <c r="D1095" s="506">
        <v>150</v>
      </c>
      <c r="E1095" s="506">
        <v>0</v>
      </c>
      <c r="F1095" s="506">
        <v>0</v>
      </c>
      <c r="G1095" s="507">
        <v>0</v>
      </c>
      <c r="H1095" s="503"/>
      <c r="I1095" s="503"/>
      <c r="J1095" s="503"/>
      <c r="K1095" s="503"/>
    </row>
    <row r="1096" spans="1:11" ht="12">
      <c r="A1096" s="504">
        <v>2141137043</v>
      </c>
      <c r="B1096" s="539" t="s">
        <v>635</v>
      </c>
      <c r="C1096" s="505" t="s">
        <v>692</v>
      </c>
      <c r="D1096" s="506">
        <v>150</v>
      </c>
      <c r="E1096" s="506">
        <v>91</v>
      </c>
      <c r="F1096" s="506">
        <v>91</v>
      </c>
      <c r="G1096" s="507">
        <v>0</v>
      </c>
      <c r="H1096" s="503"/>
      <c r="I1096" s="503"/>
      <c r="J1096" s="503"/>
      <c r="K1096" s="503"/>
    </row>
    <row r="1097" spans="1:11" ht="12">
      <c r="A1097" s="504">
        <v>2141137044</v>
      </c>
      <c r="B1097" s="539" t="s">
        <v>636</v>
      </c>
      <c r="C1097" s="505" t="s">
        <v>692</v>
      </c>
      <c r="D1097" s="506">
        <v>200</v>
      </c>
      <c r="E1097" s="506">
        <v>0</v>
      </c>
      <c r="F1097" s="506">
        <v>0</v>
      </c>
      <c r="G1097" s="507">
        <v>0</v>
      </c>
      <c r="H1097" s="503"/>
      <c r="I1097" s="503"/>
      <c r="J1097" s="503"/>
      <c r="K1097" s="503"/>
    </row>
    <row r="1098" spans="1:11" ht="12">
      <c r="A1098" s="504">
        <v>2141137045</v>
      </c>
      <c r="B1098" s="539" t="s">
        <v>637</v>
      </c>
      <c r="C1098" s="505" t="s">
        <v>692</v>
      </c>
      <c r="D1098" s="506">
        <v>50</v>
      </c>
      <c r="E1098" s="506">
        <v>0</v>
      </c>
      <c r="F1098" s="506">
        <v>0</v>
      </c>
      <c r="G1098" s="507">
        <v>0</v>
      </c>
      <c r="H1098" s="503"/>
      <c r="I1098" s="503"/>
      <c r="J1098" s="503"/>
      <c r="K1098" s="503"/>
    </row>
    <row r="1099" spans="1:11" ht="12">
      <c r="A1099" s="504">
        <v>2141137046</v>
      </c>
      <c r="B1099" s="539" t="s">
        <v>638</v>
      </c>
      <c r="C1099" s="505" t="s">
        <v>692</v>
      </c>
      <c r="D1099" s="506">
        <v>300</v>
      </c>
      <c r="E1099" s="506">
        <v>0</v>
      </c>
      <c r="F1099" s="506">
        <v>0</v>
      </c>
      <c r="G1099" s="507">
        <v>0</v>
      </c>
      <c r="H1099" s="503"/>
      <c r="I1099" s="503"/>
      <c r="J1099" s="503"/>
      <c r="K1099" s="503"/>
    </row>
    <row r="1100" spans="1:11" ht="12">
      <c r="A1100" s="504">
        <v>2141137047</v>
      </c>
      <c r="B1100" s="539" t="s">
        <v>639</v>
      </c>
      <c r="C1100" s="505" t="s">
        <v>692</v>
      </c>
      <c r="D1100" s="506">
        <v>250</v>
      </c>
      <c r="E1100" s="506">
        <v>0</v>
      </c>
      <c r="F1100" s="506">
        <v>0</v>
      </c>
      <c r="G1100" s="507">
        <v>0</v>
      </c>
      <c r="H1100" s="503"/>
      <c r="I1100" s="503"/>
      <c r="J1100" s="503"/>
      <c r="K1100" s="503"/>
    </row>
    <row r="1101" spans="1:11" ht="12">
      <c r="A1101" s="504">
        <v>2141137048</v>
      </c>
      <c r="B1101" s="539" t="s">
        <v>640</v>
      </c>
      <c r="C1101" s="505" t="s">
        <v>692</v>
      </c>
      <c r="D1101" s="506">
        <v>300</v>
      </c>
      <c r="E1101" s="506">
        <v>280</v>
      </c>
      <c r="F1101" s="506">
        <v>280</v>
      </c>
      <c r="G1101" s="507">
        <v>0</v>
      </c>
      <c r="H1101" s="503"/>
      <c r="I1101" s="503"/>
      <c r="J1101" s="503"/>
      <c r="K1101" s="503"/>
    </row>
    <row r="1102" spans="1:11" ht="12">
      <c r="A1102" s="504">
        <v>2141137050</v>
      </c>
      <c r="B1102" s="539" t="s">
        <v>608</v>
      </c>
      <c r="C1102" s="505" t="s">
        <v>699</v>
      </c>
      <c r="D1102" s="506">
        <v>600</v>
      </c>
      <c r="E1102" s="506">
        <v>640</v>
      </c>
      <c r="F1102" s="506">
        <v>640</v>
      </c>
      <c r="G1102" s="507">
        <v>0</v>
      </c>
      <c r="H1102" s="503"/>
      <c r="I1102" s="503"/>
      <c r="J1102" s="503"/>
      <c r="K1102" s="503"/>
    </row>
    <row r="1103" spans="1:11" ht="12">
      <c r="A1103" s="504">
        <v>2141137051</v>
      </c>
      <c r="B1103" s="539" t="s">
        <v>641</v>
      </c>
      <c r="C1103" s="505" t="s">
        <v>699</v>
      </c>
      <c r="D1103" s="506">
        <v>70</v>
      </c>
      <c r="E1103" s="506">
        <v>63</v>
      </c>
      <c r="F1103" s="506">
        <v>63</v>
      </c>
      <c r="G1103" s="507">
        <v>0</v>
      </c>
      <c r="H1103" s="503"/>
      <c r="I1103" s="503"/>
      <c r="J1103" s="503"/>
      <c r="K1103" s="503"/>
    </row>
    <row r="1104" spans="1:11" ht="12">
      <c r="A1104" s="504">
        <v>2141137052</v>
      </c>
      <c r="B1104" s="539" t="s">
        <v>642</v>
      </c>
      <c r="C1104" s="505" t="s">
        <v>699</v>
      </c>
      <c r="D1104" s="506">
        <v>200</v>
      </c>
      <c r="E1104" s="506">
        <v>190</v>
      </c>
      <c r="F1104" s="506">
        <v>190</v>
      </c>
      <c r="G1104" s="507">
        <v>0</v>
      </c>
      <c r="H1104" s="503"/>
      <c r="I1104" s="503"/>
      <c r="J1104" s="503"/>
      <c r="K1104" s="503"/>
    </row>
    <row r="1105" spans="1:11" ht="12">
      <c r="A1105" s="504">
        <v>2141137053</v>
      </c>
      <c r="B1105" s="539" t="s">
        <v>643</v>
      </c>
      <c r="C1105" s="505" t="s">
        <v>699</v>
      </c>
      <c r="D1105" s="506">
        <v>255</v>
      </c>
      <c r="E1105" s="506">
        <v>128</v>
      </c>
      <c r="F1105" s="506">
        <v>127</v>
      </c>
      <c r="G1105" s="507">
        <v>1</v>
      </c>
      <c r="H1105" s="503"/>
      <c r="I1105" s="503"/>
      <c r="J1105" s="503"/>
      <c r="K1105" s="503"/>
    </row>
    <row r="1106" spans="1:11" ht="12">
      <c r="A1106" s="504">
        <v>2141137054</v>
      </c>
      <c r="B1106" s="539" t="s">
        <v>644</v>
      </c>
      <c r="C1106" s="505" t="s">
        <v>699</v>
      </c>
      <c r="D1106" s="506">
        <v>170</v>
      </c>
      <c r="E1106" s="506">
        <v>136</v>
      </c>
      <c r="F1106" s="506">
        <v>135</v>
      </c>
      <c r="G1106" s="507">
        <v>1</v>
      </c>
      <c r="H1106" s="503"/>
      <c r="I1106" s="503"/>
      <c r="J1106" s="503"/>
      <c r="K1106" s="503"/>
    </row>
    <row r="1107" spans="1:11" ht="12">
      <c r="A1107" s="504">
        <v>2141137055</v>
      </c>
      <c r="B1107" s="539" t="s">
        <v>645</v>
      </c>
      <c r="C1107" s="505" t="s">
        <v>699</v>
      </c>
      <c r="D1107" s="506">
        <v>308</v>
      </c>
      <c r="E1107" s="506">
        <v>243</v>
      </c>
      <c r="F1107" s="506">
        <v>243</v>
      </c>
      <c r="G1107" s="507">
        <v>0</v>
      </c>
      <c r="H1107" s="503"/>
      <c r="I1107" s="503"/>
      <c r="J1107" s="503"/>
      <c r="K1107" s="503"/>
    </row>
    <row r="1108" spans="1:11" ht="12">
      <c r="A1108" s="504">
        <v>2141137056</v>
      </c>
      <c r="B1108" s="539" t="s">
        <v>2274</v>
      </c>
      <c r="C1108" s="505" t="s">
        <v>699</v>
      </c>
      <c r="D1108" s="506">
        <v>31205</v>
      </c>
      <c r="E1108" s="506">
        <v>31314</v>
      </c>
      <c r="F1108" s="506">
        <v>31913</v>
      </c>
      <c r="G1108" s="507">
        <v>3</v>
      </c>
      <c r="H1108" s="503"/>
      <c r="I1108" s="503"/>
      <c r="J1108" s="503"/>
      <c r="K1108" s="503"/>
    </row>
    <row r="1109" spans="1:11" ht="12">
      <c r="A1109" s="504">
        <v>2141137057</v>
      </c>
      <c r="B1109" s="539" t="s">
        <v>625</v>
      </c>
      <c r="C1109" s="505" t="s">
        <v>699</v>
      </c>
      <c r="D1109" s="506">
        <v>160</v>
      </c>
      <c r="E1109" s="506">
        <v>114</v>
      </c>
      <c r="F1109" s="506">
        <v>113</v>
      </c>
      <c r="G1109" s="507">
        <v>1</v>
      </c>
      <c r="H1109" s="503"/>
      <c r="I1109" s="503"/>
      <c r="J1109" s="503"/>
      <c r="K1109" s="503"/>
    </row>
    <row r="1110" spans="1:11" ht="12">
      <c r="A1110" s="504">
        <v>2141137058</v>
      </c>
      <c r="B1110" s="539" t="s">
        <v>646</v>
      </c>
      <c r="C1110" s="505" t="s">
        <v>668</v>
      </c>
      <c r="D1110" s="506">
        <v>200</v>
      </c>
      <c r="E1110" s="506">
        <v>200</v>
      </c>
      <c r="F1110" s="506">
        <v>200</v>
      </c>
      <c r="G1110" s="507">
        <v>0</v>
      </c>
      <c r="H1110" s="503"/>
      <c r="I1110" s="503"/>
      <c r="J1110" s="503"/>
      <c r="K1110" s="503"/>
    </row>
    <row r="1111" spans="1:11" ht="12">
      <c r="A1111" s="504">
        <v>2141137059</v>
      </c>
      <c r="B1111" s="539" t="s">
        <v>647</v>
      </c>
      <c r="C1111" s="505" t="s">
        <v>668</v>
      </c>
      <c r="D1111" s="506">
        <v>780</v>
      </c>
      <c r="E1111" s="506">
        <v>760</v>
      </c>
      <c r="F1111" s="506">
        <v>760</v>
      </c>
      <c r="G1111" s="507">
        <v>0</v>
      </c>
      <c r="H1111" s="503"/>
      <c r="I1111" s="503"/>
      <c r="J1111" s="503"/>
      <c r="K1111" s="503"/>
    </row>
    <row r="1112" spans="1:11" ht="12">
      <c r="A1112" s="504">
        <v>2141137060</v>
      </c>
      <c r="B1112" s="539" t="s">
        <v>648</v>
      </c>
      <c r="C1112" s="505" t="s">
        <v>668</v>
      </c>
      <c r="D1112" s="506">
        <v>240</v>
      </c>
      <c r="E1112" s="506">
        <v>0</v>
      </c>
      <c r="F1112" s="506">
        <v>0</v>
      </c>
      <c r="G1112" s="507">
        <v>0</v>
      </c>
      <c r="H1112" s="503"/>
      <c r="I1112" s="503"/>
      <c r="J1112" s="503"/>
      <c r="K1112" s="503"/>
    </row>
    <row r="1113" spans="1:11" ht="12">
      <c r="A1113" s="504">
        <v>2141137061</v>
      </c>
      <c r="B1113" s="539" t="s">
        <v>649</v>
      </c>
      <c r="C1113" s="505" t="s">
        <v>668</v>
      </c>
      <c r="D1113" s="506">
        <v>130</v>
      </c>
      <c r="E1113" s="506">
        <v>0</v>
      </c>
      <c r="F1113" s="506">
        <v>0</v>
      </c>
      <c r="G1113" s="507">
        <v>0</v>
      </c>
      <c r="H1113" s="503"/>
      <c r="I1113" s="503"/>
      <c r="J1113" s="503"/>
      <c r="K1113" s="503"/>
    </row>
    <row r="1114" spans="1:11" ht="12">
      <c r="A1114" s="504">
        <v>2141137062</v>
      </c>
      <c r="B1114" s="539" t="s">
        <v>608</v>
      </c>
      <c r="C1114" s="505" t="s">
        <v>668</v>
      </c>
      <c r="D1114" s="506">
        <v>980</v>
      </c>
      <c r="E1114" s="506">
        <v>0</v>
      </c>
      <c r="F1114" s="506">
        <v>0</v>
      </c>
      <c r="G1114" s="507">
        <v>0</v>
      </c>
      <c r="H1114" s="503"/>
      <c r="I1114" s="503"/>
      <c r="J1114" s="503"/>
      <c r="K1114" s="503"/>
    </row>
    <row r="1115" spans="1:11" ht="12">
      <c r="A1115" s="504">
        <v>2141137063</v>
      </c>
      <c r="B1115" s="539" t="s">
        <v>624</v>
      </c>
      <c r="C1115" s="505" t="s">
        <v>668</v>
      </c>
      <c r="D1115" s="506">
        <v>650</v>
      </c>
      <c r="E1115" s="506">
        <v>650</v>
      </c>
      <c r="F1115" s="506">
        <v>650</v>
      </c>
      <c r="G1115" s="507">
        <v>0</v>
      </c>
      <c r="H1115" s="503"/>
      <c r="I1115" s="503"/>
      <c r="J1115" s="503"/>
      <c r="K1115" s="503"/>
    </row>
    <row r="1116" spans="1:11" ht="12">
      <c r="A1116" s="504">
        <v>2141137064</v>
      </c>
      <c r="B1116" s="539" t="s">
        <v>650</v>
      </c>
      <c r="C1116" s="505" t="s">
        <v>668</v>
      </c>
      <c r="D1116" s="506">
        <v>80</v>
      </c>
      <c r="E1116" s="506">
        <v>0</v>
      </c>
      <c r="F1116" s="506">
        <v>0</v>
      </c>
      <c r="G1116" s="507">
        <v>0</v>
      </c>
      <c r="H1116" s="503"/>
      <c r="I1116" s="503"/>
      <c r="J1116" s="503"/>
      <c r="K1116" s="503"/>
    </row>
    <row r="1117" spans="1:11" ht="12">
      <c r="A1117" s="504">
        <v>2141137065</v>
      </c>
      <c r="B1117" s="539" t="s">
        <v>651</v>
      </c>
      <c r="C1117" s="505" t="s">
        <v>668</v>
      </c>
      <c r="D1117" s="506">
        <v>300</v>
      </c>
      <c r="E1117" s="506">
        <v>0</v>
      </c>
      <c r="F1117" s="506">
        <v>0</v>
      </c>
      <c r="G1117" s="507">
        <v>0</v>
      </c>
      <c r="H1117" s="503"/>
      <c r="I1117" s="503"/>
      <c r="J1117" s="503"/>
      <c r="K1117" s="503"/>
    </row>
    <row r="1118" spans="1:11" ht="12">
      <c r="A1118" s="504">
        <v>2141137066</v>
      </c>
      <c r="B1118" s="539" t="s">
        <v>652</v>
      </c>
      <c r="C1118" s="505" t="s">
        <v>668</v>
      </c>
      <c r="D1118" s="506">
        <v>90</v>
      </c>
      <c r="E1118" s="506">
        <v>85</v>
      </c>
      <c r="F1118" s="506">
        <v>85</v>
      </c>
      <c r="G1118" s="507">
        <v>0</v>
      </c>
      <c r="H1118" s="503"/>
      <c r="I1118" s="503"/>
      <c r="J1118" s="503"/>
      <c r="K1118" s="503"/>
    </row>
    <row r="1119" spans="1:11" ht="12">
      <c r="A1119" s="504">
        <v>2141137067</v>
      </c>
      <c r="B1119" s="539" t="s">
        <v>2274</v>
      </c>
      <c r="C1119" s="179" t="s">
        <v>668</v>
      </c>
      <c r="D1119" s="506">
        <v>31878</v>
      </c>
      <c r="E1119" s="506">
        <v>23605</v>
      </c>
      <c r="F1119" s="506">
        <v>24255</v>
      </c>
      <c r="G1119" s="507">
        <v>0</v>
      </c>
      <c r="H1119" s="503"/>
      <c r="I1119" s="503"/>
      <c r="J1119" s="503"/>
      <c r="K1119" s="503"/>
    </row>
    <row r="1120" spans="1:11" ht="12">
      <c r="A1120" s="504">
        <v>2141137068</v>
      </c>
      <c r="B1120" s="539" t="s">
        <v>624</v>
      </c>
      <c r="C1120" s="505" t="s">
        <v>1142</v>
      </c>
      <c r="D1120" s="506">
        <v>170</v>
      </c>
      <c r="E1120" s="506">
        <v>0</v>
      </c>
      <c r="F1120" s="506">
        <v>0</v>
      </c>
      <c r="G1120" s="507">
        <v>0</v>
      </c>
      <c r="H1120" s="503"/>
      <c r="I1120" s="503"/>
      <c r="J1120" s="503"/>
      <c r="K1120" s="503"/>
    </row>
    <row r="1121" spans="1:11" ht="12">
      <c r="A1121" s="504">
        <v>2141137069</v>
      </c>
      <c r="B1121" s="539" t="s">
        <v>653</v>
      </c>
      <c r="C1121" s="505" t="s">
        <v>1142</v>
      </c>
      <c r="D1121" s="506">
        <v>50</v>
      </c>
      <c r="E1121" s="506">
        <v>0</v>
      </c>
      <c r="F1121" s="506">
        <v>0</v>
      </c>
      <c r="G1121" s="507">
        <v>0</v>
      </c>
      <c r="H1121" s="503"/>
      <c r="I1121" s="503"/>
      <c r="J1121" s="503"/>
      <c r="K1121" s="503"/>
    </row>
    <row r="1122" spans="1:11" ht="12">
      <c r="A1122" s="504">
        <v>2141137070</v>
      </c>
      <c r="B1122" s="539" t="s">
        <v>654</v>
      </c>
      <c r="C1122" s="505" t="s">
        <v>1142</v>
      </c>
      <c r="D1122" s="506">
        <v>250</v>
      </c>
      <c r="E1122" s="506">
        <v>0</v>
      </c>
      <c r="F1122" s="506">
        <v>0</v>
      </c>
      <c r="G1122" s="507">
        <v>0</v>
      </c>
      <c r="H1122" s="503"/>
      <c r="I1122" s="503"/>
      <c r="J1122" s="503"/>
      <c r="K1122" s="503"/>
    </row>
    <row r="1123" spans="1:11" ht="12">
      <c r="A1123" s="504">
        <v>2141137071</v>
      </c>
      <c r="B1123" s="539" t="s">
        <v>2274</v>
      </c>
      <c r="C1123" s="505" t="s">
        <v>1142</v>
      </c>
      <c r="D1123" s="506">
        <v>37334</v>
      </c>
      <c r="E1123" s="506">
        <v>22806</v>
      </c>
      <c r="F1123" s="506">
        <v>24179</v>
      </c>
      <c r="G1123" s="507">
        <v>2</v>
      </c>
      <c r="H1123" s="503"/>
      <c r="I1123" s="503"/>
      <c r="J1123" s="503"/>
      <c r="K1123" s="503"/>
    </row>
    <row r="1124" spans="1:11" ht="12">
      <c r="A1124" s="504">
        <v>2141137072</v>
      </c>
      <c r="B1124" s="539" t="s">
        <v>655</v>
      </c>
      <c r="C1124" s="505" t="s">
        <v>1142</v>
      </c>
      <c r="D1124" s="506">
        <v>2000</v>
      </c>
      <c r="E1124" s="506">
        <v>0</v>
      </c>
      <c r="F1124" s="506">
        <v>0</v>
      </c>
      <c r="G1124" s="507">
        <v>0</v>
      </c>
      <c r="H1124" s="503"/>
      <c r="I1124" s="503"/>
      <c r="J1124" s="503"/>
      <c r="K1124" s="503"/>
    </row>
    <row r="1125" spans="1:11" ht="12">
      <c r="A1125" s="504">
        <v>2141137073</v>
      </c>
      <c r="B1125" s="539" t="s">
        <v>656</v>
      </c>
      <c r="C1125" s="505" t="s">
        <v>720</v>
      </c>
      <c r="D1125" s="506">
        <v>150</v>
      </c>
      <c r="E1125" s="506">
        <v>0</v>
      </c>
      <c r="F1125" s="506">
        <v>0</v>
      </c>
      <c r="G1125" s="507">
        <v>0</v>
      </c>
      <c r="H1125" s="503"/>
      <c r="I1125" s="503"/>
      <c r="J1125" s="503"/>
      <c r="K1125" s="503"/>
    </row>
    <row r="1126" spans="1:11" ht="12">
      <c r="A1126" s="504">
        <v>2141137074</v>
      </c>
      <c r="B1126" s="539" t="s">
        <v>608</v>
      </c>
      <c r="C1126" s="505" t="s">
        <v>720</v>
      </c>
      <c r="D1126" s="506">
        <v>200</v>
      </c>
      <c r="E1126" s="506">
        <v>0</v>
      </c>
      <c r="F1126" s="506">
        <v>0</v>
      </c>
      <c r="G1126" s="507">
        <v>0</v>
      </c>
      <c r="H1126" s="503"/>
      <c r="I1126" s="503"/>
      <c r="J1126" s="503"/>
      <c r="K1126" s="503"/>
    </row>
    <row r="1127" spans="1:11" ht="12">
      <c r="A1127" s="504">
        <v>2141137075</v>
      </c>
      <c r="B1127" s="539" t="s">
        <v>628</v>
      </c>
      <c r="C1127" s="505" t="s">
        <v>720</v>
      </c>
      <c r="D1127" s="506">
        <v>125</v>
      </c>
      <c r="E1127" s="506">
        <v>0</v>
      </c>
      <c r="F1127" s="506">
        <v>0</v>
      </c>
      <c r="G1127" s="507">
        <v>0</v>
      </c>
      <c r="H1127" s="503"/>
      <c r="I1127" s="503"/>
      <c r="J1127" s="503"/>
      <c r="K1127" s="503"/>
    </row>
    <row r="1128" spans="1:11" ht="12">
      <c r="A1128" s="504">
        <v>2141137076</v>
      </c>
      <c r="B1128" s="539" t="s">
        <v>606</v>
      </c>
      <c r="C1128" s="505" t="s">
        <v>720</v>
      </c>
      <c r="D1128" s="506">
        <v>300</v>
      </c>
      <c r="E1128" s="506">
        <v>0</v>
      </c>
      <c r="F1128" s="506">
        <v>0</v>
      </c>
      <c r="G1128" s="507">
        <v>0</v>
      </c>
      <c r="H1128" s="503"/>
      <c r="I1128" s="503"/>
      <c r="J1128" s="503"/>
      <c r="K1128" s="503"/>
    </row>
    <row r="1129" spans="1:11" ht="12">
      <c r="A1129" s="504">
        <v>2141137077</v>
      </c>
      <c r="B1129" s="539" t="s">
        <v>657</v>
      </c>
      <c r="C1129" s="505" t="s">
        <v>720</v>
      </c>
      <c r="D1129" s="506">
        <v>300</v>
      </c>
      <c r="E1129" s="506">
        <v>0</v>
      </c>
      <c r="F1129" s="506">
        <v>0</v>
      </c>
      <c r="G1129" s="507">
        <v>0</v>
      </c>
      <c r="H1129" s="503"/>
      <c r="I1129" s="503"/>
      <c r="J1129" s="503"/>
      <c r="K1129" s="503"/>
    </row>
    <row r="1130" spans="1:11" ht="12">
      <c r="A1130" s="504">
        <v>2141137078</v>
      </c>
      <c r="B1130" s="539" t="s">
        <v>638</v>
      </c>
      <c r="C1130" s="505" t="s">
        <v>720</v>
      </c>
      <c r="D1130" s="506">
        <v>600</v>
      </c>
      <c r="E1130" s="506">
        <v>0</v>
      </c>
      <c r="F1130" s="506">
        <v>0</v>
      </c>
      <c r="G1130" s="507">
        <v>0</v>
      </c>
      <c r="H1130" s="503"/>
      <c r="I1130" s="503"/>
      <c r="J1130" s="503"/>
      <c r="K1130" s="503"/>
    </row>
    <row r="1131" spans="1:11" ht="12">
      <c r="A1131" s="504">
        <v>2141137079</v>
      </c>
      <c r="B1131" s="539" t="s">
        <v>658</v>
      </c>
      <c r="C1131" s="505" t="s">
        <v>720</v>
      </c>
      <c r="D1131" s="506">
        <v>400</v>
      </c>
      <c r="E1131" s="506">
        <v>0</v>
      </c>
      <c r="F1131" s="506">
        <v>0</v>
      </c>
      <c r="G1131" s="507">
        <v>0</v>
      </c>
      <c r="H1131" s="503"/>
      <c r="I1131" s="503"/>
      <c r="J1131" s="503"/>
      <c r="K1131" s="503"/>
    </row>
    <row r="1132" spans="1:11" ht="12">
      <c r="A1132" s="504">
        <v>2141137080</v>
      </c>
      <c r="B1132" s="539" t="s">
        <v>659</v>
      </c>
      <c r="C1132" s="505" t="s">
        <v>720</v>
      </c>
      <c r="D1132" s="506">
        <v>140</v>
      </c>
      <c r="E1132" s="506">
        <v>0</v>
      </c>
      <c r="F1132" s="506">
        <v>0</v>
      </c>
      <c r="G1132" s="507">
        <v>0</v>
      </c>
      <c r="H1132" s="503"/>
      <c r="I1132" s="503"/>
      <c r="J1132" s="503"/>
      <c r="K1132" s="503"/>
    </row>
    <row r="1133" spans="1:11" ht="12">
      <c r="A1133" s="504">
        <v>2141137081</v>
      </c>
      <c r="B1133" s="539" t="s">
        <v>660</v>
      </c>
      <c r="C1133" s="505" t="s">
        <v>720</v>
      </c>
      <c r="D1133" s="506">
        <v>564</v>
      </c>
      <c r="E1133" s="506">
        <v>0</v>
      </c>
      <c r="F1133" s="506">
        <v>0</v>
      </c>
      <c r="G1133" s="507">
        <v>0</v>
      </c>
      <c r="H1133" s="503"/>
      <c r="I1133" s="503"/>
      <c r="J1133" s="503"/>
      <c r="K1133" s="503"/>
    </row>
    <row r="1134" spans="1:11" ht="12">
      <c r="A1134" s="504">
        <v>2141137082</v>
      </c>
      <c r="B1134" s="539" t="s">
        <v>2274</v>
      </c>
      <c r="C1134" s="505" t="s">
        <v>720</v>
      </c>
      <c r="D1134" s="506">
        <v>37643</v>
      </c>
      <c r="E1134" s="506">
        <v>34292</v>
      </c>
      <c r="F1134" s="506">
        <v>35138</v>
      </c>
      <c r="G1134" s="507">
        <v>4</v>
      </c>
      <c r="H1134" s="503"/>
      <c r="I1134" s="503"/>
      <c r="J1134" s="503"/>
      <c r="K1134" s="503"/>
    </row>
    <row r="1135" spans="1:11" ht="12">
      <c r="A1135" s="504">
        <v>2141137083</v>
      </c>
      <c r="B1135" s="539" t="s">
        <v>661</v>
      </c>
      <c r="C1135" s="505" t="s">
        <v>720</v>
      </c>
      <c r="D1135" s="506">
        <v>400</v>
      </c>
      <c r="E1135" s="506">
        <v>0</v>
      </c>
      <c r="F1135" s="506">
        <v>0</v>
      </c>
      <c r="G1135" s="507">
        <v>0</v>
      </c>
      <c r="H1135" s="503"/>
      <c r="I1135" s="503"/>
      <c r="J1135" s="503"/>
      <c r="K1135" s="503"/>
    </row>
    <row r="1136" spans="1:11" ht="12">
      <c r="A1136" s="504">
        <v>2141137084</v>
      </c>
      <c r="B1136" s="539" t="s">
        <v>662</v>
      </c>
      <c r="C1136" s="505" t="s">
        <v>720</v>
      </c>
      <c r="D1136" s="506">
        <v>340</v>
      </c>
      <c r="E1136" s="506">
        <v>0</v>
      </c>
      <c r="F1136" s="506">
        <v>0</v>
      </c>
      <c r="G1136" s="507">
        <v>0</v>
      </c>
      <c r="H1136" s="503"/>
      <c r="I1136" s="503"/>
      <c r="J1136" s="503"/>
      <c r="K1136" s="503"/>
    </row>
    <row r="1137" spans="1:11" ht="12">
      <c r="A1137" s="504">
        <v>2141137085</v>
      </c>
      <c r="B1137" s="539" t="s">
        <v>610</v>
      </c>
      <c r="C1137" s="505" t="s">
        <v>720</v>
      </c>
      <c r="D1137" s="506">
        <v>200</v>
      </c>
      <c r="E1137" s="506">
        <v>0</v>
      </c>
      <c r="F1137" s="506">
        <v>0</v>
      </c>
      <c r="G1137" s="507">
        <v>0</v>
      </c>
      <c r="H1137" s="503"/>
      <c r="I1137" s="503"/>
      <c r="J1137" s="503"/>
      <c r="K1137" s="503"/>
    </row>
    <row r="1138" spans="1:11" ht="12">
      <c r="A1138" s="504">
        <v>2141137086</v>
      </c>
      <c r="B1138" s="539" t="s">
        <v>624</v>
      </c>
      <c r="C1138" s="505" t="s">
        <v>1137</v>
      </c>
      <c r="D1138" s="506">
        <v>350</v>
      </c>
      <c r="E1138" s="506">
        <v>0</v>
      </c>
      <c r="F1138" s="506">
        <v>0</v>
      </c>
      <c r="G1138" s="507">
        <v>0</v>
      </c>
      <c r="H1138" s="503"/>
      <c r="I1138" s="503"/>
      <c r="J1138" s="503"/>
      <c r="K1138" s="503"/>
    </row>
    <row r="1139" spans="1:11" ht="12">
      <c r="A1139" s="504">
        <v>2141137087</v>
      </c>
      <c r="B1139" s="539" t="s">
        <v>663</v>
      </c>
      <c r="C1139" s="505" t="s">
        <v>1137</v>
      </c>
      <c r="D1139" s="506">
        <v>0</v>
      </c>
      <c r="E1139" s="506">
        <v>0</v>
      </c>
      <c r="F1139" s="506">
        <v>4629</v>
      </c>
      <c r="G1139" s="507">
        <v>0</v>
      </c>
      <c r="H1139" s="503"/>
      <c r="I1139" s="503"/>
      <c r="J1139" s="503"/>
      <c r="K1139" s="503"/>
    </row>
    <row r="1140" spans="1:11" ht="12">
      <c r="A1140" s="504">
        <v>2141137088</v>
      </c>
      <c r="B1140" s="539" t="s">
        <v>604</v>
      </c>
      <c r="C1140" s="505" t="s">
        <v>1137</v>
      </c>
      <c r="D1140" s="506">
        <v>1005</v>
      </c>
      <c r="E1140" s="506">
        <v>154</v>
      </c>
      <c r="F1140" s="506">
        <v>154</v>
      </c>
      <c r="G1140" s="507">
        <v>0</v>
      </c>
      <c r="H1140" s="503"/>
      <c r="I1140" s="503"/>
      <c r="J1140" s="503"/>
      <c r="K1140" s="503"/>
    </row>
    <row r="1141" spans="1:11" ht="12">
      <c r="A1141" s="504">
        <v>2141137089</v>
      </c>
      <c r="B1141" s="539" t="s">
        <v>2274</v>
      </c>
      <c r="C1141" s="505" t="s">
        <v>1137</v>
      </c>
      <c r="D1141" s="506">
        <v>18898</v>
      </c>
      <c r="E1141" s="506">
        <v>7671</v>
      </c>
      <c r="F1141" s="506">
        <v>8256</v>
      </c>
      <c r="G1141" s="507">
        <v>407</v>
      </c>
      <c r="H1141" s="503"/>
      <c r="I1141" s="503"/>
      <c r="J1141" s="503"/>
      <c r="K1141" s="503"/>
    </row>
    <row r="1142" spans="1:11" ht="12">
      <c r="A1142" s="504">
        <v>2141137090</v>
      </c>
      <c r="B1142" s="539" t="s">
        <v>664</v>
      </c>
      <c r="C1142" s="505" t="s">
        <v>1137</v>
      </c>
      <c r="D1142" s="506">
        <v>200</v>
      </c>
      <c r="E1142" s="506">
        <v>200</v>
      </c>
      <c r="F1142" s="506">
        <v>0</v>
      </c>
      <c r="G1142" s="507">
        <v>200</v>
      </c>
      <c r="H1142" s="503"/>
      <c r="I1142" s="503"/>
      <c r="J1142" s="503"/>
      <c r="K1142" s="503"/>
    </row>
    <row r="1143" spans="1:11" ht="12">
      <c r="A1143" s="504">
        <v>2141137091</v>
      </c>
      <c r="B1143" s="539" t="s">
        <v>665</v>
      </c>
      <c r="C1143" s="505" t="s">
        <v>1137</v>
      </c>
      <c r="D1143" s="506">
        <v>100</v>
      </c>
      <c r="E1143" s="506">
        <v>100</v>
      </c>
      <c r="F1143" s="506">
        <v>0</v>
      </c>
      <c r="G1143" s="507">
        <v>100</v>
      </c>
      <c r="H1143" s="503"/>
      <c r="I1143" s="503"/>
      <c r="J1143" s="503"/>
      <c r="K1143" s="503"/>
    </row>
    <row r="1144" spans="1:11" ht="12">
      <c r="A1144" s="504">
        <v>2141137092</v>
      </c>
      <c r="B1144" s="539" t="s">
        <v>1616</v>
      </c>
      <c r="C1144" s="505" t="s">
        <v>1137</v>
      </c>
      <c r="D1144" s="506">
        <v>400</v>
      </c>
      <c r="E1144" s="506">
        <v>400</v>
      </c>
      <c r="F1144" s="506">
        <v>399</v>
      </c>
      <c r="G1144" s="507">
        <v>1</v>
      </c>
      <c r="H1144" s="503"/>
      <c r="I1144" s="503"/>
      <c r="J1144" s="503"/>
      <c r="K1144" s="503"/>
    </row>
    <row r="1145" spans="1:11" ht="12">
      <c r="A1145" s="504">
        <v>2141137093</v>
      </c>
      <c r="B1145" s="539" t="s">
        <v>1617</v>
      </c>
      <c r="C1145" s="505" t="s">
        <v>1137</v>
      </c>
      <c r="D1145" s="506">
        <v>180</v>
      </c>
      <c r="E1145" s="506">
        <v>180</v>
      </c>
      <c r="F1145" s="506">
        <v>0</v>
      </c>
      <c r="G1145" s="507">
        <v>180</v>
      </c>
      <c r="H1145" s="503"/>
      <c r="I1145" s="503"/>
      <c r="J1145" s="503"/>
      <c r="K1145" s="503"/>
    </row>
    <row r="1146" spans="1:11" ht="12">
      <c r="A1146" s="504">
        <v>2141137094</v>
      </c>
      <c r="B1146" s="539" t="s">
        <v>1618</v>
      </c>
      <c r="C1146" s="505" t="s">
        <v>1137</v>
      </c>
      <c r="D1146" s="506">
        <v>150</v>
      </c>
      <c r="E1146" s="506">
        <v>150</v>
      </c>
      <c r="F1146" s="506">
        <v>0</v>
      </c>
      <c r="G1146" s="507">
        <v>150</v>
      </c>
      <c r="H1146" s="503"/>
      <c r="I1146" s="503"/>
      <c r="J1146" s="503"/>
      <c r="K1146" s="503"/>
    </row>
    <row r="1147" spans="1:11" ht="12">
      <c r="A1147" s="504">
        <v>2141137095</v>
      </c>
      <c r="B1147" s="539" t="s">
        <v>1619</v>
      </c>
      <c r="C1147" s="505" t="s">
        <v>1137</v>
      </c>
      <c r="D1147" s="506">
        <v>100</v>
      </c>
      <c r="E1147" s="506">
        <v>100</v>
      </c>
      <c r="F1147" s="506">
        <v>0</v>
      </c>
      <c r="G1147" s="507">
        <v>100</v>
      </c>
      <c r="H1147" s="503"/>
      <c r="I1147" s="503"/>
      <c r="J1147" s="503"/>
      <c r="K1147" s="503"/>
    </row>
    <row r="1148" spans="1:11" ht="12">
      <c r="A1148" s="504">
        <v>2141137096</v>
      </c>
      <c r="B1148" s="539" t="s">
        <v>1620</v>
      </c>
      <c r="C1148" s="505" t="s">
        <v>1137</v>
      </c>
      <c r="D1148" s="506">
        <v>600</v>
      </c>
      <c r="E1148" s="506">
        <v>600</v>
      </c>
      <c r="F1148" s="506">
        <v>600</v>
      </c>
      <c r="G1148" s="507">
        <v>0</v>
      </c>
      <c r="H1148" s="503"/>
      <c r="I1148" s="503"/>
      <c r="J1148" s="503"/>
      <c r="K1148" s="503"/>
    </row>
    <row r="1149" spans="1:11" ht="12">
      <c r="A1149" s="504">
        <v>2141137097</v>
      </c>
      <c r="B1149" s="539" t="s">
        <v>613</v>
      </c>
      <c r="C1149" s="505" t="s">
        <v>1137</v>
      </c>
      <c r="D1149" s="506">
        <v>130</v>
      </c>
      <c r="E1149" s="506">
        <v>130</v>
      </c>
      <c r="F1149" s="506">
        <v>0</v>
      </c>
      <c r="G1149" s="507">
        <v>130</v>
      </c>
      <c r="H1149" s="503"/>
      <c r="I1149" s="503"/>
      <c r="J1149" s="503"/>
      <c r="K1149" s="503"/>
    </row>
    <row r="1150" spans="1:11" ht="12">
      <c r="A1150" s="504">
        <v>2141137098</v>
      </c>
      <c r="B1150" s="539" t="s">
        <v>1621</v>
      </c>
      <c r="C1150" s="505" t="s">
        <v>1159</v>
      </c>
      <c r="D1150" s="506">
        <v>4200</v>
      </c>
      <c r="E1150" s="506">
        <v>1589</v>
      </c>
      <c r="F1150" s="506">
        <v>1589</v>
      </c>
      <c r="G1150" s="507">
        <v>0</v>
      </c>
      <c r="H1150" s="503"/>
      <c r="I1150" s="503"/>
      <c r="J1150" s="503"/>
      <c r="K1150" s="503"/>
    </row>
    <row r="1151" spans="1:11" ht="12">
      <c r="A1151" s="504">
        <v>2141137099</v>
      </c>
      <c r="B1151" s="539" t="s">
        <v>1622</v>
      </c>
      <c r="C1151" s="505" t="s">
        <v>1159</v>
      </c>
      <c r="D1151" s="506">
        <v>5480</v>
      </c>
      <c r="E1151" s="506">
        <v>0</v>
      </c>
      <c r="F1151" s="506">
        <v>0</v>
      </c>
      <c r="G1151" s="507">
        <v>0</v>
      </c>
      <c r="H1151" s="503"/>
      <c r="I1151" s="503"/>
      <c r="J1151" s="503"/>
      <c r="K1151" s="503"/>
    </row>
    <row r="1152" spans="1:11" ht="12">
      <c r="A1152" s="504">
        <v>2141137100</v>
      </c>
      <c r="B1152" s="539" t="s">
        <v>1623</v>
      </c>
      <c r="C1152" s="505" t="s">
        <v>1159</v>
      </c>
      <c r="D1152" s="506">
        <v>935</v>
      </c>
      <c r="E1152" s="506">
        <v>0</v>
      </c>
      <c r="F1152" s="506">
        <v>0</v>
      </c>
      <c r="G1152" s="507">
        <v>0</v>
      </c>
      <c r="H1152" s="503"/>
      <c r="I1152" s="503"/>
      <c r="J1152" s="503"/>
      <c r="K1152" s="503"/>
    </row>
    <row r="1153" spans="1:11" ht="12">
      <c r="A1153" s="504">
        <v>2141137101</v>
      </c>
      <c r="B1153" s="539" t="s">
        <v>1624</v>
      </c>
      <c r="C1153" s="505" t="s">
        <v>1159</v>
      </c>
      <c r="D1153" s="506">
        <v>2600</v>
      </c>
      <c r="E1153" s="506">
        <v>1950</v>
      </c>
      <c r="F1153" s="506">
        <v>1950</v>
      </c>
      <c r="G1153" s="507">
        <v>0</v>
      </c>
      <c r="H1153" s="503"/>
      <c r="I1153" s="503"/>
      <c r="J1153" s="503"/>
      <c r="K1153" s="503"/>
    </row>
    <row r="1154" spans="1:11" ht="12">
      <c r="A1154" s="504">
        <v>2141137102</v>
      </c>
      <c r="B1154" s="539" t="s">
        <v>1625</v>
      </c>
      <c r="C1154" s="505" t="s">
        <v>1159</v>
      </c>
      <c r="D1154" s="506">
        <v>250</v>
      </c>
      <c r="E1154" s="506">
        <v>225</v>
      </c>
      <c r="F1154" s="506">
        <v>225</v>
      </c>
      <c r="G1154" s="507">
        <v>0</v>
      </c>
      <c r="H1154" s="503"/>
      <c r="I1154" s="503"/>
      <c r="J1154" s="503"/>
      <c r="K1154" s="503"/>
    </row>
    <row r="1155" spans="1:11" ht="12">
      <c r="A1155" s="504">
        <v>2141137103</v>
      </c>
      <c r="B1155" s="539" t="s">
        <v>1626</v>
      </c>
      <c r="C1155" s="505" t="s">
        <v>1159</v>
      </c>
      <c r="D1155" s="506">
        <v>2500</v>
      </c>
      <c r="E1155" s="506">
        <v>2050</v>
      </c>
      <c r="F1155" s="506">
        <v>2050</v>
      </c>
      <c r="G1155" s="507">
        <v>1</v>
      </c>
      <c r="H1155" s="503"/>
      <c r="I1155" s="503"/>
      <c r="J1155" s="503"/>
      <c r="K1155" s="503"/>
    </row>
    <row r="1156" spans="1:11" ht="12">
      <c r="A1156" s="504">
        <v>2141137104</v>
      </c>
      <c r="B1156" s="539" t="s">
        <v>1627</v>
      </c>
      <c r="C1156" s="505" t="s">
        <v>1159</v>
      </c>
      <c r="D1156" s="506">
        <v>7550</v>
      </c>
      <c r="E1156" s="506">
        <v>3584</v>
      </c>
      <c r="F1156" s="506">
        <v>3583</v>
      </c>
      <c r="G1156" s="507">
        <v>1</v>
      </c>
      <c r="H1156" s="503"/>
      <c r="I1156" s="503"/>
      <c r="J1156" s="503"/>
      <c r="K1156" s="503"/>
    </row>
    <row r="1157" spans="1:11" ht="12">
      <c r="A1157" s="504">
        <v>2141137105</v>
      </c>
      <c r="B1157" s="539" t="s">
        <v>1628</v>
      </c>
      <c r="C1157" s="505" t="s">
        <v>1159</v>
      </c>
      <c r="D1157" s="506">
        <v>1700</v>
      </c>
      <c r="E1157" s="506">
        <v>1697</v>
      </c>
      <c r="F1157" s="506">
        <v>1696</v>
      </c>
      <c r="G1157" s="507">
        <v>1</v>
      </c>
      <c r="H1157" s="503"/>
      <c r="I1157" s="503"/>
      <c r="J1157" s="503"/>
      <c r="K1157" s="503"/>
    </row>
    <row r="1158" spans="1:11" ht="12">
      <c r="A1158" s="504">
        <v>2141137106</v>
      </c>
      <c r="B1158" s="539" t="s">
        <v>1629</v>
      </c>
      <c r="C1158" s="505" t="s">
        <v>1159</v>
      </c>
      <c r="D1158" s="506">
        <v>675</v>
      </c>
      <c r="E1158" s="506">
        <v>578</v>
      </c>
      <c r="F1158" s="506">
        <v>578</v>
      </c>
      <c r="G1158" s="507">
        <v>0</v>
      </c>
      <c r="H1158" s="503"/>
      <c r="I1158" s="503"/>
      <c r="J1158" s="503"/>
      <c r="K1158" s="503"/>
    </row>
    <row r="1159" spans="1:11" ht="12">
      <c r="A1159" s="504">
        <v>2141137107</v>
      </c>
      <c r="B1159" s="539" t="s">
        <v>1630</v>
      </c>
      <c r="C1159" s="505" t="s">
        <v>1159</v>
      </c>
      <c r="D1159" s="506">
        <v>2000</v>
      </c>
      <c r="E1159" s="506">
        <v>1997</v>
      </c>
      <c r="F1159" s="506">
        <v>1996</v>
      </c>
      <c r="G1159" s="507">
        <v>1</v>
      </c>
      <c r="H1159" s="503"/>
      <c r="I1159" s="503"/>
      <c r="J1159" s="503"/>
      <c r="K1159" s="503"/>
    </row>
    <row r="1160" spans="1:11" ht="12">
      <c r="A1160" s="504">
        <v>2141137108</v>
      </c>
      <c r="B1160" s="539" t="s">
        <v>1631</v>
      </c>
      <c r="C1160" s="505" t="s">
        <v>1159</v>
      </c>
      <c r="D1160" s="506">
        <v>2800</v>
      </c>
      <c r="E1160" s="506">
        <v>3788</v>
      </c>
      <c r="F1160" s="506">
        <v>3787</v>
      </c>
      <c r="G1160" s="507">
        <v>1</v>
      </c>
      <c r="H1160" s="503"/>
      <c r="I1160" s="503"/>
      <c r="J1160" s="503"/>
      <c r="K1160" s="503"/>
    </row>
    <row r="1161" spans="1:11" ht="12">
      <c r="A1161" s="504">
        <v>2141137109</v>
      </c>
      <c r="B1161" s="539" t="s">
        <v>1632</v>
      </c>
      <c r="C1161" s="505" t="s">
        <v>1159</v>
      </c>
      <c r="D1161" s="506">
        <v>3300</v>
      </c>
      <c r="E1161" s="506">
        <v>2265</v>
      </c>
      <c r="F1161" s="506">
        <v>2264</v>
      </c>
      <c r="G1161" s="507">
        <v>1</v>
      </c>
      <c r="H1161" s="503"/>
      <c r="I1161" s="503"/>
      <c r="J1161" s="503"/>
      <c r="K1161" s="503"/>
    </row>
    <row r="1162" spans="1:11" ht="12">
      <c r="A1162" s="504">
        <v>2141137110</v>
      </c>
      <c r="B1162" s="539" t="s">
        <v>1633</v>
      </c>
      <c r="C1162" s="505" t="s">
        <v>1159</v>
      </c>
      <c r="D1162" s="506">
        <v>450</v>
      </c>
      <c r="E1162" s="506">
        <v>0</v>
      </c>
      <c r="F1162" s="506">
        <v>0</v>
      </c>
      <c r="G1162" s="507">
        <v>0</v>
      </c>
      <c r="H1162" s="503"/>
      <c r="I1162" s="503"/>
      <c r="J1162" s="503"/>
      <c r="K1162" s="503"/>
    </row>
    <row r="1163" spans="1:11" ht="12">
      <c r="A1163" s="504">
        <v>2141137111</v>
      </c>
      <c r="B1163" s="539" t="s">
        <v>1634</v>
      </c>
      <c r="C1163" s="505" t="s">
        <v>1159</v>
      </c>
      <c r="D1163" s="506">
        <v>2500</v>
      </c>
      <c r="E1163" s="506">
        <v>1324</v>
      </c>
      <c r="F1163" s="506">
        <v>1323</v>
      </c>
      <c r="G1163" s="507">
        <v>1</v>
      </c>
      <c r="H1163" s="503"/>
      <c r="I1163" s="503"/>
      <c r="J1163" s="503"/>
      <c r="K1163" s="503"/>
    </row>
    <row r="1164" spans="1:11" ht="12">
      <c r="A1164" s="504">
        <v>2141137112</v>
      </c>
      <c r="B1164" s="539" t="s">
        <v>1635</v>
      </c>
      <c r="C1164" s="505" t="s">
        <v>1159</v>
      </c>
      <c r="D1164" s="506">
        <v>2200</v>
      </c>
      <c r="E1164" s="506">
        <v>1993</v>
      </c>
      <c r="F1164" s="506">
        <v>1992</v>
      </c>
      <c r="G1164" s="507">
        <v>1</v>
      </c>
      <c r="H1164" s="503"/>
      <c r="I1164" s="503"/>
      <c r="J1164" s="503"/>
      <c r="K1164" s="503"/>
    </row>
    <row r="1165" spans="1:11" ht="12">
      <c r="A1165" s="504">
        <v>2141137113</v>
      </c>
      <c r="B1165" s="539" t="s">
        <v>1636</v>
      </c>
      <c r="C1165" s="505" t="s">
        <v>1159</v>
      </c>
      <c r="D1165" s="506">
        <v>1500</v>
      </c>
      <c r="E1165" s="506">
        <v>0</v>
      </c>
      <c r="F1165" s="506">
        <v>0</v>
      </c>
      <c r="G1165" s="507">
        <v>0</v>
      </c>
      <c r="H1165" s="503"/>
      <c r="I1165" s="503"/>
      <c r="J1165" s="503"/>
      <c r="K1165" s="503"/>
    </row>
    <row r="1166" spans="1:11" ht="12">
      <c r="A1166" s="504">
        <v>2141137114</v>
      </c>
      <c r="B1166" s="539" t="s">
        <v>1637</v>
      </c>
      <c r="C1166" s="505" t="s">
        <v>1159</v>
      </c>
      <c r="D1166" s="506">
        <v>350</v>
      </c>
      <c r="E1166" s="506">
        <v>0</v>
      </c>
      <c r="F1166" s="506">
        <v>0</v>
      </c>
      <c r="G1166" s="507">
        <v>0</v>
      </c>
      <c r="H1166" s="503"/>
      <c r="I1166" s="503"/>
      <c r="J1166" s="503"/>
      <c r="K1166" s="503"/>
    </row>
    <row r="1167" spans="1:11" ht="12">
      <c r="A1167" s="504">
        <v>2141137115</v>
      </c>
      <c r="B1167" s="539" t="s">
        <v>1638</v>
      </c>
      <c r="C1167" s="505" t="s">
        <v>1159</v>
      </c>
      <c r="D1167" s="506">
        <v>3300</v>
      </c>
      <c r="E1167" s="506">
        <v>3196</v>
      </c>
      <c r="F1167" s="506">
        <v>3196</v>
      </c>
      <c r="G1167" s="507">
        <v>0</v>
      </c>
      <c r="H1167" s="503"/>
      <c r="I1167" s="503"/>
      <c r="J1167" s="503"/>
      <c r="K1167" s="503"/>
    </row>
    <row r="1168" spans="1:11" ht="12">
      <c r="A1168" s="504">
        <v>2141137116</v>
      </c>
      <c r="B1168" s="539" t="s">
        <v>1639</v>
      </c>
      <c r="C1168" s="505" t="s">
        <v>1159</v>
      </c>
      <c r="D1168" s="506">
        <v>2000</v>
      </c>
      <c r="E1168" s="506">
        <v>1441</v>
      </c>
      <c r="F1168" s="506">
        <v>1440</v>
      </c>
      <c r="G1168" s="507">
        <v>1</v>
      </c>
      <c r="H1168" s="503"/>
      <c r="I1168" s="503"/>
      <c r="J1168" s="503"/>
      <c r="K1168" s="503"/>
    </row>
    <row r="1169" spans="1:11" ht="12">
      <c r="A1169" s="504">
        <v>2141137117</v>
      </c>
      <c r="B1169" s="539" t="s">
        <v>1640</v>
      </c>
      <c r="C1169" s="505" t="s">
        <v>1159</v>
      </c>
      <c r="D1169" s="506">
        <v>450</v>
      </c>
      <c r="E1169" s="506">
        <v>448</v>
      </c>
      <c r="F1169" s="506">
        <v>448</v>
      </c>
      <c r="G1169" s="507">
        <v>0</v>
      </c>
      <c r="H1169" s="503"/>
      <c r="I1169" s="503"/>
      <c r="J1169" s="503"/>
      <c r="K1169" s="503"/>
    </row>
    <row r="1170" spans="1:11" ht="12">
      <c r="A1170" s="504">
        <v>2141137118</v>
      </c>
      <c r="B1170" s="539" t="s">
        <v>1641</v>
      </c>
      <c r="C1170" s="505" t="s">
        <v>1159</v>
      </c>
      <c r="D1170" s="506">
        <v>98</v>
      </c>
      <c r="E1170" s="506">
        <v>69</v>
      </c>
      <c r="F1170" s="506">
        <v>68</v>
      </c>
      <c r="G1170" s="507">
        <v>1</v>
      </c>
      <c r="H1170" s="503"/>
      <c r="I1170" s="503"/>
      <c r="J1170" s="503"/>
      <c r="K1170" s="503"/>
    </row>
    <row r="1171" spans="1:11" ht="12">
      <c r="A1171" s="504">
        <v>2141137119</v>
      </c>
      <c r="B1171" s="539" t="s">
        <v>1642</v>
      </c>
      <c r="C1171" s="505" t="s">
        <v>1159</v>
      </c>
      <c r="D1171" s="506">
        <v>1000</v>
      </c>
      <c r="E1171" s="506">
        <v>628</v>
      </c>
      <c r="F1171" s="506">
        <v>627</v>
      </c>
      <c r="G1171" s="507">
        <v>1</v>
      </c>
      <c r="H1171" s="503"/>
      <c r="I1171" s="503"/>
      <c r="J1171" s="503"/>
      <c r="K1171" s="503"/>
    </row>
    <row r="1172" spans="1:11" ht="12">
      <c r="A1172" s="504">
        <v>2141137120</v>
      </c>
      <c r="B1172" s="539" t="s">
        <v>1643</v>
      </c>
      <c r="C1172" s="505" t="s">
        <v>1159</v>
      </c>
      <c r="D1172" s="506">
        <v>480</v>
      </c>
      <c r="E1172" s="506">
        <v>0</v>
      </c>
      <c r="F1172" s="506">
        <v>0</v>
      </c>
      <c r="G1172" s="507">
        <v>0</v>
      </c>
      <c r="H1172" s="503"/>
      <c r="I1172" s="503"/>
      <c r="J1172" s="503"/>
      <c r="K1172" s="503"/>
    </row>
    <row r="1173" spans="1:11" ht="12">
      <c r="A1173" s="504">
        <v>2141137121</v>
      </c>
      <c r="B1173" s="539" t="s">
        <v>1644</v>
      </c>
      <c r="C1173" s="505" t="s">
        <v>1159</v>
      </c>
      <c r="D1173" s="506">
        <v>1950</v>
      </c>
      <c r="E1173" s="506">
        <v>1244</v>
      </c>
      <c r="F1173" s="506">
        <v>1244</v>
      </c>
      <c r="G1173" s="507">
        <v>0</v>
      </c>
      <c r="H1173" s="503"/>
      <c r="I1173" s="503"/>
      <c r="J1173" s="503"/>
      <c r="K1173" s="503"/>
    </row>
    <row r="1174" spans="1:11" ht="12">
      <c r="A1174" s="504">
        <v>2141137122</v>
      </c>
      <c r="B1174" s="539" t="s">
        <v>1645</v>
      </c>
      <c r="C1174" s="505" t="s">
        <v>1159</v>
      </c>
      <c r="D1174" s="506">
        <v>2000</v>
      </c>
      <c r="E1174" s="506">
        <v>583</v>
      </c>
      <c r="F1174" s="506">
        <v>583</v>
      </c>
      <c r="G1174" s="507">
        <v>0</v>
      </c>
      <c r="H1174" s="503"/>
      <c r="I1174" s="503"/>
      <c r="J1174" s="503"/>
      <c r="K1174" s="503"/>
    </row>
    <row r="1175" spans="1:11" ht="12">
      <c r="A1175" s="504">
        <v>2141137123</v>
      </c>
      <c r="B1175" s="539" t="s">
        <v>1646</v>
      </c>
      <c r="C1175" s="505" t="s">
        <v>1159</v>
      </c>
      <c r="D1175" s="506">
        <v>600</v>
      </c>
      <c r="E1175" s="506">
        <v>452</v>
      </c>
      <c r="F1175" s="506">
        <v>452</v>
      </c>
      <c r="G1175" s="507">
        <v>0</v>
      </c>
      <c r="H1175" s="503"/>
      <c r="I1175" s="503"/>
      <c r="J1175" s="503"/>
      <c r="K1175" s="503"/>
    </row>
    <row r="1176" spans="1:11" ht="12">
      <c r="A1176" s="504">
        <v>2141137124</v>
      </c>
      <c r="B1176" s="539" t="s">
        <v>1647</v>
      </c>
      <c r="C1176" s="505" t="s">
        <v>1159</v>
      </c>
      <c r="D1176" s="506">
        <v>700</v>
      </c>
      <c r="E1176" s="506">
        <v>0</v>
      </c>
      <c r="F1176" s="506">
        <v>0</v>
      </c>
      <c r="G1176" s="507">
        <v>0</v>
      </c>
      <c r="H1176" s="503"/>
      <c r="I1176" s="503"/>
      <c r="J1176" s="503"/>
      <c r="K1176" s="503"/>
    </row>
    <row r="1177" spans="1:11" ht="12">
      <c r="A1177" s="504">
        <v>2141137125</v>
      </c>
      <c r="B1177" s="539" t="s">
        <v>1648</v>
      </c>
      <c r="C1177" s="505" t="s">
        <v>1159</v>
      </c>
      <c r="D1177" s="506">
        <v>350</v>
      </c>
      <c r="E1177" s="506">
        <v>0</v>
      </c>
      <c r="F1177" s="506">
        <v>0</v>
      </c>
      <c r="G1177" s="507">
        <v>0</v>
      </c>
      <c r="H1177" s="503"/>
      <c r="I1177" s="503"/>
      <c r="J1177" s="503"/>
      <c r="K1177" s="503"/>
    </row>
    <row r="1178" spans="1:11" ht="12">
      <c r="A1178" s="504">
        <v>2141137126</v>
      </c>
      <c r="B1178" s="539" t="s">
        <v>1649</v>
      </c>
      <c r="C1178" s="505" t="s">
        <v>1159</v>
      </c>
      <c r="D1178" s="506">
        <v>460</v>
      </c>
      <c r="E1178" s="506">
        <v>0</v>
      </c>
      <c r="F1178" s="506">
        <v>0</v>
      </c>
      <c r="G1178" s="507">
        <v>0</v>
      </c>
      <c r="H1178" s="503"/>
      <c r="I1178" s="503"/>
      <c r="J1178" s="503"/>
      <c r="K1178" s="503"/>
    </row>
    <row r="1179" spans="1:11" ht="12">
      <c r="A1179" s="504">
        <v>2141137127</v>
      </c>
      <c r="B1179" s="539" t="s">
        <v>1650</v>
      </c>
      <c r="C1179" s="505" t="s">
        <v>1159</v>
      </c>
      <c r="D1179" s="506">
        <v>140</v>
      </c>
      <c r="E1179" s="506">
        <v>0</v>
      </c>
      <c r="F1179" s="506">
        <v>0</v>
      </c>
      <c r="G1179" s="507">
        <v>0</v>
      </c>
      <c r="H1179" s="503"/>
      <c r="I1179" s="503"/>
      <c r="J1179" s="503"/>
      <c r="K1179" s="503"/>
    </row>
    <row r="1180" spans="1:11" ht="12">
      <c r="A1180" s="504">
        <v>2141137128</v>
      </c>
      <c r="B1180" s="539" t="s">
        <v>1651</v>
      </c>
      <c r="C1180" s="505" t="s">
        <v>1159</v>
      </c>
      <c r="D1180" s="506">
        <v>200</v>
      </c>
      <c r="E1180" s="506">
        <v>163</v>
      </c>
      <c r="F1180" s="506">
        <v>162</v>
      </c>
      <c r="G1180" s="507">
        <v>1</v>
      </c>
      <c r="H1180" s="503"/>
      <c r="I1180" s="503"/>
      <c r="J1180" s="503"/>
      <c r="K1180" s="503"/>
    </row>
    <row r="1181" spans="1:11" ht="12">
      <c r="A1181" s="504">
        <v>2141137129</v>
      </c>
      <c r="B1181" s="539" t="s">
        <v>1652</v>
      </c>
      <c r="C1181" s="505" t="s">
        <v>1159</v>
      </c>
      <c r="D1181" s="506">
        <v>180</v>
      </c>
      <c r="E1181" s="506">
        <v>187</v>
      </c>
      <c r="F1181" s="506">
        <v>186</v>
      </c>
      <c r="G1181" s="507">
        <v>1</v>
      </c>
      <c r="H1181" s="503"/>
      <c r="I1181" s="503"/>
      <c r="J1181" s="503"/>
      <c r="K1181" s="503"/>
    </row>
    <row r="1182" spans="1:11" ht="12">
      <c r="A1182" s="504">
        <v>2141137130</v>
      </c>
      <c r="B1182" s="539" t="s">
        <v>1653</v>
      </c>
      <c r="C1182" s="505" t="s">
        <v>1159</v>
      </c>
      <c r="D1182" s="506">
        <v>56348</v>
      </c>
      <c r="E1182" s="506">
        <v>37932</v>
      </c>
      <c r="F1182" s="506">
        <v>37931</v>
      </c>
      <c r="G1182" s="507">
        <v>1</v>
      </c>
      <c r="H1182" s="503"/>
      <c r="I1182" s="503"/>
      <c r="J1182" s="503"/>
      <c r="K1182" s="503"/>
    </row>
    <row r="1183" spans="1:11" ht="12">
      <c r="A1183" s="504">
        <v>2141137131</v>
      </c>
      <c r="B1183" s="539" t="s">
        <v>1654</v>
      </c>
      <c r="C1183" s="505" t="s">
        <v>1159</v>
      </c>
      <c r="D1183" s="506">
        <v>31160</v>
      </c>
      <c r="E1183" s="506">
        <v>0</v>
      </c>
      <c r="F1183" s="506">
        <v>0</v>
      </c>
      <c r="G1183" s="507">
        <v>0</v>
      </c>
      <c r="H1183" s="503"/>
      <c r="I1183" s="503"/>
      <c r="J1183" s="503"/>
      <c r="K1183" s="503"/>
    </row>
    <row r="1184" spans="1:11" ht="12">
      <c r="A1184" s="504">
        <v>2141137132</v>
      </c>
      <c r="B1184" s="539" t="s">
        <v>1840</v>
      </c>
      <c r="C1184" s="505" t="s">
        <v>1159</v>
      </c>
      <c r="D1184" s="506">
        <v>8895</v>
      </c>
      <c r="E1184" s="506">
        <v>0</v>
      </c>
      <c r="F1184" s="506">
        <v>0</v>
      </c>
      <c r="G1184" s="507">
        <v>0</v>
      </c>
      <c r="H1184" s="503"/>
      <c r="I1184" s="503"/>
      <c r="J1184" s="503"/>
      <c r="K1184" s="503"/>
    </row>
    <row r="1185" spans="1:11" ht="12">
      <c r="A1185" s="504">
        <v>2141137133</v>
      </c>
      <c r="B1185" s="539" t="s">
        <v>1841</v>
      </c>
      <c r="C1185" s="505" t="s">
        <v>1159</v>
      </c>
      <c r="D1185" s="506">
        <v>37630</v>
      </c>
      <c r="E1185" s="506">
        <v>0</v>
      </c>
      <c r="F1185" s="506">
        <v>0</v>
      </c>
      <c r="G1185" s="507">
        <v>0</v>
      </c>
      <c r="H1185" s="503"/>
      <c r="I1185" s="503"/>
      <c r="J1185" s="503"/>
      <c r="K1185" s="503"/>
    </row>
    <row r="1186" spans="1:11" ht="12">
      <c r="A1186" s="504">
        <v>2141137134</v>
      </c>
      <c r="B1186" s="539" t="s">
        <v>1842</v>
      </c>
      <c r="C1186" s="505" t="s">
        <v>1159</v>
      </c>
      <c r="D1186" s="506">
        <v>16930</v>
      </c>
      <c r="E1186" s="506">
        <v>0</v>
      </c>
      <c r="F1186" s="506">
        <v>0</v>
      </c>
      <c r="G1186" s="507">
        <v>0</v>
      </c>
      <c r="H1186" s="503"/>
      <c r="I1186" s="503"/>
      <c r="J1186" s="503"/>
      <c r="K1186" s="503"/>
    </row>
    <row r="1187" spans="1:11" ht="12">
      <c r="A1187" s="504">
        <v>2141137135</v>
      </c>
      <c r="B1187" s="539" t="s">
        <v>1843</v>
      </c>
      <c r="C1187" s="505" t="s">
        <v>1159</v>
      </c>
      <c r="D1187" s="506">
        <v>6000</v>
      </c>
      <c r="E1187" s="506">
        <v>0</v>
      </c>
      <c r="F1187" s="506">
        <v>0</v>
      </c>
      <c r="G1187" s="507">
        <v>0</v>
      </c>
      <c r="H1187" s="503"/>
      <c r="I1187" s="503"/>
      <c r="J1187" s="503"/>
      <c r="K1187" s="503"/>
    </row>
    <row r="1188" spans="1:11" ht="12">
      <c r="A1188" s="504">
        <v>2141137136</v>
      </c>
      <c r="B1188" s="539" t="s">
        <v>1844</v>
      </c>
      <c r="C1188" s="505" t="s">
        <v>1159</v>
      </c>
      <c r="D1188" s="506">
        <v>1600</v>
      </c>
      <c r="E1188" s="506">
        <v>1315</v>
      </c>
      <c r="F1188" s="506">
        <v>1315</v>
      </c>
      <c r="G1188" s="507">
        <v>0</v>
      </c>
      <c r="H1188" s="503"/>
      <c r="I1188" s="503"/>
      <c r="J1188" s="503"/>
      <c r="K1188" s="503"/>
    </row>
    <row r="1189" spans="1:11" ht="12">
      <c r="A1189" s="504">
        <v>2141137137</v>
      </c>
      <c r="B1189" s="539" t="s">
        <v>1845</v>
      </c>
      <c r="C1189" s="505" t="s">
        <v>1159</v>
      </c>
      <c r="D1189" s="506">
        <v>10400</v>
      </c>
      <c r="E1189" s="506">
        <v>8264</v>
      </c>
      <c r="F1189" s="506">
        <v>8073</v>
      </c>
      <c r="G1189" s="507">
        <v>191</v>
      </c>
      <c r="H1189" s="503"/>
      <c r="I1189" s="503"/>
      <c r="J1189" s="503"/>
      <c r="K1189" s="503"/>
    </row>
    <row r="1190" spans="1:11" ht="12">
      <c r="A1190" s="504">
        <v>2141137138</v>
      </c>
      <c r="B1190" s="539" t="s">
        <v>1846</v>
      </c>
      <c r="C1190" s="505" t="s">
        <v>1159</v>
      </c>
      <c r="D1190" s="506">
        <v>1500</v>
      </c>
      <c r="E1190" s="506">
        <v>1497</v>
      </c>
      <c r="F1190" s="506">
        <v>1496</v>
      </c>
      <c r="G1190" s="507">
        <v>1</v>
      </c>
      <c r="H1190" s="503"/>
      <c r="I1190" s="503"/>
      <c r="J1190" s="503"/>
      <c r="K1190" s="503"/>
    </row>
    <row r="1191" spans="1:11" ht="12">
      <c r="A1191" s="504">
        <v>2141137139</v>
      </c>
      <c r="B1191" s="539" t="s">
        <v>1847</v>
      </c>
      <c r="C1191" s="505" t="s">
        <v>1159</v>
      </c>
      <c r="D1191" s="506">
        <v>2500</v>
      </c>
      <c r="E1191" s="506">
        <v>2670</v>
      </c>
      <c r="F1191" s="506">
        <v>2669</v>
      </c>
      <c r="G1191" s="507">
        <v>1</v>
      </c>
      <c r="H1191" s="503"/>
      <c r="I1191" s="503"/>
      <c r="J1191" s="503"/>
      <c r="K1191" s="503"/>
    </row>
    <row r="1192" spans="1:11" ht="12">
      <c r="A1192" s="504">
        <v>2141137141</v>
      </c>
      <c r="B1192" s="539" t="s">
        <v>1848</v>
      </c>
      <c r="C1192" s="505" t="s">
        <v>1159</v>
      </c>
      <c r="D1192" s="506">
        <v>250</v>
      </c>
      <c r="E1192" s="506">
        <v>250</v>
      </c>
      <c r="F1192" s="506">
        <v>250</v>
      </c>
      <c r="G1192" s="507">
        <v>0</v>
      </c>
      <c r="H1192" s="503"/>
      <c r="I1192" s="503"/>
      <c r="J1192" s="503"/>
      <c r="K1192" s="503"/>
    </row>
    <row r="1193" spans="1:11" ht="12">
      <c r="A1193" s="504">
        <v>2141137142</v>
      </c>
      <c r="B1193" s="539" t="s">
        <v>1849</v>
      </c>
      <c r="C1193" s="505" t="s">
        <v>1159</v>
      </c>
      <c r="D1193" s="506">
        <v>9000</v>
      </c>
      <c r="E1193" s="506">
        <v>0</v>
      </c>
      <c r="F1193" s="506">
        <v>0</v>
      </c>
      <c r="G1193" s="507">
        <v>0</v>
      </c>
      <c r="H1193" s="503"/>
      <c r="I1193" s="503"/>
      <c r="J1193" s="503"/>
      <c r="K1193" s="503"/>
    </row>
    <row r="1194" spans="1:11" ht="12">
      <c r="A1194" s="504">
        <v>2141137143</v>
      </c>
      <c r="B1194" s="539" t="s">
        <v>1850</v>
      </c>
      <c r="C1194" s="505" t="s">
        <v>1208</v>
      </c>
      <c r="D1194" s="506">
        <v>1000</v>
      </c>
      <c r="E1194" s="506">
        <v>0</v>
      </c>
      <c r="F1194" s="506">
        <v>0</v>
      </c>
      <c r="G1194" s="507">
        <v>0</v>
      </c>
      <c r="H1194" s="503"/>
      <c r="I1194" s="503"/>
      <c r="J1194" s="503"/>
      <c r="K1194" s="503"/>
    </row>
    <row r="1195" spans="1:11" ht="12">
      <c r="A1195" s="504">
        <v>2141137144</v>
      </c>
      <c r="B1195" s="539" t="s">
        <v>1850</v>
      </c>
      <c r="C1195" s="505" t="s">
        <v>692</v>
      </c>
      <c r="D1195" s="506">
        <v>1000</v>
      </c>
      <c r="E1195" s="506">
        <v>0</v>
      </c>
      <c r="F1195" s="506">
        <v>0</v>
      </c>
      <c r="G1195" s="507">
        <v>0</v>
      </c>
      <c r="H1195" s="503"/>
      <c r="I1195" s="503"/>
      <c r="J1195" s="503"/>
      <c r="K1195" s="503"/>
    </row>
    <row r="1196" spans="1:11" ht="12">
      <c r="A1196" s="504">
        <v>2141137145</v>
      </c>
      <c r="B1196" s="539" t="s">
        <v>1851</v>
      </c>
      <c r="C1196" s="505" t="s">
        <v>699</v>
      </c>
      <c r="D1196" s="506">
        <v>1000</v>
      </c>
      <c r="E1196" s="506">
        <v>0</v>
      </c>
      <c r="F1196" s="506">
        <v>0</v>
      </c>
      <c r="G1196" s="507">
        <v>0</v>
      </c>
      <c r="H1196" s="503"/>
      <c r="I1196" s="503"/>
      <c r="J1196" s="503"/>
      <c r="K1196" s="503"/>
    </row>
    <row r="1197" spans="1:11" ht="12">
      <c r="A1197" s="504">
        <v>2141137146</v>
      </c>
      <c r="B1197" s="539" t="s">
        <v>1850</v>
      </c>
      <c r="C1197" s="505" t="s">
        <v>668</v>
      </c>
      <c r="D1197" s="506">
        <v>1000</v>
      </c>
      <c r="E1197" s="506">
        <v>0</v>
      </c>
      <c r="F1197" s="506">
        <v>0</v>
      </c>
      <c r="G1197" s="507">
        <v>0</v>
      </c>
      <c r="H1197" s="503"/>
      <c r="I1197" s="503"/>
      <c r="J1197" s="503"/>
      <c r="K1197" s="503"/>
    </row>
    <row r="1198" spans="1:11" ht="12">
      <c r="A1198" s="504">
        <v>2141137147</v>
      </c>
      <c r="B1198" s="539" t="s">
        <v>1850</v>
      </c>
      <c r="C1198" s="505" t="s">
        <v>720</v>
      </c>
      <c r="D1198" s="506">
        <v>1000</v>
      </c>
      <c r="E1198" s="506">
        <v>0</v>
      </c>
      <c r="F1198" s="506">
        <v>0</v>
      </c>
      <c r="G1198" s="507">
        <v>0</v>
      </c>
      <c r="H1198" s="503"/>
      <c r="I1198" s="503"/>
      <c r="J1198" s="503"/>
      <c r="K1198" s="503"/>
    </row>
    <row r="1199" spans="1:11" ht="12">
      <c r="A1199" s="504">
        <v>2141137148</v>
      </c>
      <c r="B1199" s="539" t="s">
        <v>1850</v>
      </c>
      <c r="C1199" s="505" t="s">
        <v>1142</v>
      </c>
      <c r="D1199" s="506">
        <v>1000</v>
      </c>
      <c r="E1199" s="506">
        <v>0</v>
      </c>
      <c r="F1199" s="506">
        <v>0</v>
      </c>
      <c r="G1199" s="507">
        <v>0</v>
      </c>
      <c r="H1199" s="503"/>
      <c r="I1199" s="503"/>
      <c r="J1199" s="503"/>
      <c r="K1199" s="503"/>
    </row>
    <row r="1200" spans="1:11" ht="12">
      <c r="A1200" s="504">
        <v>2141137149</v>
      </c>
      <c r="B1200" s="539" t="s">
        <v>1850</v>
      </c>
      <c r="C1200" s="505" t="s">
        <v>677</v>
      </c>
      <c r="D1200" s="506">
        <v>1000</v>
      </c>
      <c r="E1200" s="506">
        <v>0</v>
      </c>
      <c r="F1200" s="506">
        <v>0</v>
      </c>
      <c r="G1200" s="507">
        <v>0</v>
      </c>
      <c r="H1200" s="503"/>
      <c r="I1200" s="503"/>
      <c r="J1200" s="503"/>
      <c r="K1200" s="503"/>
    </row>
    <row r="1201" spans="1:11" ht="12">
      <c r="A1201" s="504">
        <v>2141137150</v>
      </c>
      <c r="B1201" s="539" t="s">
        <v>1850</v>
      </c>
      <c r="C1201" s="505" t="s">
        <v>670</v>
      </c>
      <c r="D1201" s="506">
        <v>1000</v>
      </c>
      <c r="E1201" s="506">
        <v>0</v>
      </c>
      <c r="F1201" s="506">
        <v>0</v>
      </c>
      <c r="G1201" s="507">
        <v>0</v>
      </c>
      <c r="H1201" s="503"/>
      <c r="I1201" s="503"/>
      <c r="J1201" s="503"/>
      <c r="K1201" s="503"/>
    </row>
    <row r="1202" spans="1:11" ht="12">
      <c r="A1202" s="504">
        <v>2141137151</v>
      </c>
      <c r="B1202" s="539" t="s">
        <v>1852</v>
      </c>
      <c r="C1202" s="505" t="s">
        <v>1159</v>
      </c>
      <c r="D1202" s="506">
        <v>0</v>
      </c>
      <c r="E1202" s="506">
        <v>44852</v>
      </c>
      <c r="F1202" s="506">
        <v>44851</v>
      </c>
      <c r="G1202" s="507">
        <v>1</v>
      </c>
      <c r="H1202" s="503"/>
      <c r="I1202" s="503"/>
      <c r="J1202" s="503"/>
      <c r="K1202" s="503"/>
    </row>
    <row r="1203" spans="1:11" ht="12">
      <c r="A1203" s="504">
        <v>2141137152</v>
      </c>
      <c r="B1203" s="539" t="s">
        <v>1853</v>
      </c>
      <c r="C1203" s="505" t="s">
        <v>1159</v>
      </c>
      <c r="D1203" s="506">
        <v>0</v>
      </c>
      <c r="E1203" s="506">
        <v>16499</v>
      </c>
      <c r="F1203" s="506">
        <v>16499</v>
      </c>
      <c r="G1203" s="507">
        <v>0</v>
      </c>
      <c r="H1203" s="503"/>
      <c r="I1203" s="503"/>
      <c r="J1203" s="503"/>
      <c r="K1203" s="503"/>
    </row>
    <row r="1204" spans="1:11" ht="12">
      <c r="A1204" s="504">
        <v>2141137153</v>
      </c>
      <c r="B1204" s="539" t="s">
        <v>1854</v>
      </c>
      <c r="C1204" s="505" t="s">
        <v>1159</v>
      </c>
      <c r="D1204" s="506">
        <v>0</v>
      </c>
      <c r="E1204" s="506">
        <v>7939</v>
      </c>
      <c r="F1204" s="506">
        <v>7938</v>
      </c>
      <c r="G1204" s="507">
        <v>1</v>
      </c>
      <c r="H1204" s="503"/>
      <c r="I1204" s="503"/>
      <c r="J1204" s="503"/>
      <c r="K1204" s="503"/>
    </row>
    <row r="1205" spans="1:11" ht="12">
      <c r="A1205" s="504">
        <v>2141137154</v>
      </c>
      <c r="B1205" s="539" t="s">
        <v>1855</v>
      </c>
      <c r="C1205" s="505" t="s">
        <v>1159</v>
      </c>
      <c r="D1205" s="506">
        <v>0</v>
      </c>
      <c r="E1205" s="506">
        <v>2913</v>
      </c>
      <c r="F1205" s="506">
        <v>2912</v>
      </c>
      <c r="G1205" s="507">
        <v>1</v>
      </c>
      <c r="H1205" s="503"/>
      <c r="I1205" s="503"/>
      <c r="J1205" s="503"/>
      <c r="K1205" s="503"/>
    </row>
    <row r="1206" spans="1:11" ht="12">
      <c r="A1206" s="504">
        <v>2141137155</v>
      </c>
      <c r="B1206" s="539" t="s">
        <v>1856</v>
      </c>
      <c r="C1206" s="505" t="s">
        <v>1159</v>
      </c>
      <c r="D1206" s="506">
        <v>0</v>
      </c>
      <c r="E1206" s="506">
        <v>1960</v>
      </c>
      <c r="F1206" s="506">
        <v>1959</v>
      </c>
      <c r="G1206" s="507">
        <v>1</v>
      </c>
      <c r="H1206" s="503"/>
      <c r="I1206" s="503"/>
      <c r="J1206" s="503"/>
      <c r="K1206" s="503"/>
    </row>
    <row r="1207" spans="1:11" ht="12">
      <c r="A1207" s="504">
        <v>2141137156</v>
      </c>
      <c r="B1207" s="539" t="s">
        <v>1669</v>
      </c>
      <c r="C1207" s="505" t="s">
        <v>1137</v>
      </c>
      <c r="D1207" s="506">
        <v>0</v>
      </c>
      <c r="E1207" s="506">
        <v>0</v>
      </c>
      <c r="F1207" s="506">
        <v>105</v>
      </c>
      <c r="G1207" s="507">
        <v>0</v>
      </c>
      <c r="H1207" s="503"/>
      <c r="I1207" s="503"/>
      <c r="J1207" s="503"/>
      <c r="K1207" s="503"/>
    </row>
    <row r="1208" spans="1:11" ht="12">
      <c r="A1208" s="504">
        <v>2141137157</v>
      </c>
      <c r="B1208" s="539" t="s">
        <v>1670</v>
      </c>
      <c r="C1208" s="505" t="s">
        <v>1159</v>
      </c>
      <c r="D1208" s="506">
        <v>0</v>
      </c>
      <c r="E1208" s="506">
        <v>1089</v>
      </c>
      <c r="F1208" s="506">
        <v>1088</v>
      </c>
      <c r="G1208" s="507">
        <v>1</v>
      </c>
      <c r="H1208" s="503"/>
      <c r="I1208" s="503"/>
      <c r="J1208" s="503"/>
      <c r="K1208" s="503"/>
    </row>
    <row r="1209" spans="1:11" ht="12">
      <c r="A1209" s="504">
        <v>2141137159</v>
      </c>
      <c r="B1209" s="539" t="s">
        <v>1671</v>
      </c>
      <c r="C1209" s="505" t="s">
        <v>1159</v>
      </c>
      <c r="D1209" s="506">
        <v>0</v>
      </c>
      <c r="E1209" s="506">
        <v>222</v>
      </c>
      <c r="F1209" s="506">
        <v>222</v>
      </c>
      <c r="G1209" s="507">
        <v>0</v>
      </c>
      <c r="H1209" s="503"/>
      <c r="I1209" s="503"/>
      <c r="J1209" s="503"/>
      <c r="K1209" s="503"/>
    </row>
    <row r="1210" spans="1:11" ht="12">
      <c r="A1210" s="504">
        <v>2141137162</v>
      </c>
      <c r="B1210" s="539" t="s">
        <v>1672</v>
      </c>
      <c r="C1210" s="505" t="s">
        <v>1159</v>
      </c>
      <c r="D1210" s="506">
        <v>0</v>
      </c>
      <c r="E1210" s="506">
        <v>2</v>
      </c>
      <c r="F1210" s="506">
        <v>2</v>
      </c>
      <c r="G1210" s="507">
        <v>0</v>
      </c>
      <c r="H1210" s="503"/>
      <c r="I1210" s="503"/>
      <c r="J1210" s="503"/>
      <c r="K1210" s="503"/>
    </row>
    <row r="1211" spans="1:11" ht="12">
      <c r="A1211" s="504">
        <v>2141137163</v>
      </c>
      <c r="B1211" s="539" t="s">
        <v>1673</v>
      </c>
      <c r="C1211" s="505" t="s">
        <v>1159</v>
      </c>
      <c r="D1211" s="506">
        <v>0</v>
      </c>
      <c r="E1211" s="506">
        <v>2217</v>
      </c>
      <c r="F1211" s="506">
        <v>2215</v>
      </c>
      <c r="G1211" s="507">
        <v>2</v>
      </c>
      <c r="H1211" s="503"/>
      <c r="I1211" s="503"/>
      <c r="J1211" s="503"/>
      <c r="K1211" s="503"/>
    </row>
    <row r="1212" spans="1:11" ht="12">
      <c r="A1212" s="504">
        <v>2141137164</v>
      </c>
      <c r="B1212" s="539" t="s">
        <v>1674</v>
      </c>
      <c r="C1212" s="505" t="s">
        <v>1159</v>
      </c>
      <c r="D1212" s="506">
        <v>0</v>
      </c>
      <c r="E1212" s="506">
        <v>31128</v>
      </c>
      <c r="F1212" s="506">
        <v>31127</v>
      </c>
      <c r="G1212" s="507">
        <v>1</v>
      </c>
      <c r="H1212" s="503"/>
      <c r="I1212" s="503"/>
      <c r="J1212" s="503"/>
      <c r="K1212" s="503"/>
    </row>
    <row r="1213" spans="1:11" ht="12">
      <c r="A1213" s="504">
        <v>2141137165</v>
      </c>
      <c r="B1213" s="539" t="s">
        <v>1675</v>
      </c>
      <c r="C1213" s="505" t="s">
        <v>1159</v>
      </c>
      <c r="D1213" s="506">
        <v>0</v>
      </c>
      <c r="E1213" s="506">
        <v>12496</v>
      </c>
      <c r="F1213" s="506">
        <v>12496</v>
      </c>
      <c r="G1213" s="507">
        <v>0</v>
      </c>
      <c r="H1213" s="503"/>
      <c r="I1213" s="503"/>
      <c r="J1213" s="503"/>
      <c r="K1213" s="503"/>
    </row>
    <row r="1214" spans="1:11" ht="12">
      <c r="A1214" s="504">
        <v>2141137166</v>
      </c>
      <c r="B1214" s="539" t="s">
        <v>1676</v>
      </c>
      <c r="C1214" s="505" t="s">
        <v>1159</v>
      </c>
      <c r="D1214" s="506">
        <v>0</v>
      </c>
      <c r="E1214" s="506">
        <v>13482</v>
      </c>
      <c r="F1214" s="506">
        <v>13481</v>
      </c>
      <c r="G1214" s="507">
        <v>1</v>
      </c>
      <c r="H1214" s="503"/>
      <c r="I1214" s="503"/>
      <c r="J1214" s="503"/>
      <c r="K1214" s="503"/>
    </row>
    <row r="1215" spans="1:11" ht="12">
      <c r="A1215" s="504">
        <v>2141137168</v>
      </c>
      <c r="B1215" s="539" t="s">
        <v>1677</v>
      </c>
      <c r="C1215" s="505" t="s">
        <v>1159</v>
      </c>
      <c r="D1215" s="506">
        <v>0</v>
      </c>
      <c r="E1215" s="506">
        <v>2628</v>
      </c>
      <c r="F1215" s="506">
        <v>2628</v>
      </c>
      <c r="G1215" s="507">
        <v>0</v>
      </c>
      <c r="H1215" s="503"/>
      <c r="I1215" s="503"/>
      <c r="J1215" s="503"/>
      <c r="K1215" s="503"/>
    </row>
    <row r="1216" spans="1:11" ht="12">
      <c r="A1216" s="504">
        <v>2141137169</v>
      </c>
      <c r="B1216" s="539" t="s">
        <v>1678</v>
      </c>
      <c r="C1216" s="505" t="s">
        <v>1137</v>
      </c>
      <c r="D1216" s="506">
        <v>0</v>
      </c>
      <c r="E1216" s="506">
        <v>541</v>
      </c>
      <c r="F1216" s="506">
        <v>541</v>
      </c>
      <c r="G1216" s="507">
        <v>0</v>
      </c>
      <c r="H1216" s="503"/>
      <c r="I1216" s="503"/>
      <c r="J1216" s="503"/>
      <c r="K1216" s="503"/>
    </row>
    <row r="1217" spans="1:11" ht="12">
      <c r="A1217" s="504">
        <v>2141137170</v>
      </c>
      <c r="B1217" s="539" t="s">
        <v>1679</v>
      </c>
      <c r="C1217" s="505" t="s">
        <v>692</v>
      </c>
      <c r="D1217" s="506">
        <v>0</v>
      </c>
      <c r="E1217" s="506">
        <v>0</v>
      </c>
      <c r="F1217" s="506">
        <v>51</v>
      </c>
      <c r="G1217" s="507">
        <v>0</v>
      </c>
      <c r="H1217" s="503"/>
      <c r="I1217" s="503"/>
      <c r="J1217" s="503"/>
      <c r="K1217" s="503"/>
    </row>
    <row r="1218" spans="1:11" ht="12">
      <c r="A1218" s="504">
        <v>2141137171</v>
      </c>
      <c r="B1218" s="539" t="s">
        <v>1669</v>
      </c>
      <c r="C1218" s="505" t="s">
        <v>1208</v>
      </c>
      <c r="D1218" s="506">
        <v>0</v>
      </c>
      <c r="E1218" s="506">
        <v>0</v>
      </c>
      <c r="F1218" s="506">
        <v>61</v>
      </c>
      <c r="G1218" s="507">
        <v>0</v>
      </c>
      <c r="H1218" s="503"/>
      <c r="I1218" s="503"/>
      <c r="J1218" s="503"/>
      <c r="K1218" s="503"/>
    </row>
    <row r="1219" spans="1:11" ht="12">
      <c r="A1219" s="504">
        <v>2141137172</v>
      </c>
      <c r="B1219" s="539" t="s">
        <v>1679</v>
      </c>
      <c r="C1219" s="505" t="s">
        <v>1142</v>
      </c>
      <c r="D1219" s="506">
        <v>0</v>
      </c>
      <c r="E1219" s="506">
        <v>0</v>
      </c>
      <c r="F1219" s="506">
        <v>29</v>
      </c>
      <c r="G1219" s="507">
        <v>0</v>
      </c>
      <c r="H1219" s="503"/>
      <c r="I1219" s="503"/>
      <c r="J1219" s="503"/>
      <c r="K1219" s="503"/>
    </row>
    <row r="1220" spans="1:11" ht="12">
      <c r="A1220" s="504">
        <v>2141137173</v>
      </c>
      <c r="B1220" s="539" t="s">
        <v>1680</v>
      </c>
      <c r="C1220" s="505" t="s">
        <v>1159</v>
      </c>
      <c r="D1220" s="506">
        <v>0</v>
      </c>
      <c r="E1220" s="506">
        <v>0</v>
      </c>
      <c r="F1220" s="506">
        <v>2573</v>
      </c>
      <c r="G1220" s="507">
        <v>0</v>
      </c>
      <c r="H1220" s="503"/>
      <c r="I1220" s="503"/>
      <c r="J1220" s="503"/>
      <c r="K1220" s="503"/>
    </row>
    <row r="1221" spans="1:11" ht="12">
      <c r="A1221" s="504">
        <v>2141137174</v>
      </c>
      <c r="B1221" s="539" t="s">
        <v>1681</v>
      </c>
      <c r="C1221" s="505" t="s">
        <v>1159</v>
      </c>
      <c r="D1221" s="506">
        <v>0</v>
      </c>
      <c r="E1221" s="506">
        <v>0</v>
      </c>
      <c r="F1221" s="506">
        <v>5048</v>
      </c>
      <c r="G1221" s="507">
        <v>0</v>
      </c>
      <c r="H1221" s="503"/>
      <c r="I1221" s="503"/>
      <c r="J1221" s="503"/>
      <c r="K1221" s="503"/>
    </row>
    <row r="1222" spans="1:11" ht="12">
      <c r="A1222" s="504">
        <v>2141137175</v>
      </c>
      <c r="B1222" s="539" t="s">
        <v>1682</v>
      </c>
      <c r="C1222" s="505" t="s">
        <v>1159</v>
      </c>
      <c r="D1222" s="506">
        <v>0</v>
      </c>
      <c r="E1222" s="506">
        <v>0</v>
      </c>
      <c r="F1222" s="506">
        <v>2562</v>
      </c>
      <c r="G1222" s="507">
        <v>0</v>
      </c>
      <c r="H1222" s="503"/>
      <c r="I1222" s="503"/>
      <c r="J1222" s="503"/>
      <c r="K1222" s="503"/>
    </row>
    <row r="1223" spans="1:11" ht="12">
      <c r="A1223" s="504">
        <v>2141137176</v>
      </c>
      <c r="B1223" s="539" t="s">
        <v>1683</v>
      </c>
      <c r="C1223" s="505" t="s">
        <v>1159</v>
      </c>
      <c r="D1223" s="506">
        <v>0</v>
      </c>
      <c r="E1223" s="506">
        <v>0</v>
      </c>
      <c r="F1223" s="506">
        <v>1358</v>
      </c>
      <c r="G1223" s="507">
        <v>0</v>
      </c>
      <c r="H1223" s="503"/>
      <c r="I1223" s="503"/>
      <c r="J1223" s="503"/>
      <c r="K1223" s="503"/>
    </row>
    <row r="1224" spans="1:11" ht="12">
      <c r="A1224" s="504">
        <v>2141137177</v>
      </c>
      <c r="B1224" s="539" t="s">
        <v>1684</v>
      </c>
      <c r="C1224" s="505" t="s">
        <v>1159</v>
      </c>
      <c r="D1224" s="506">
        <v>0</v>
      </c>
      <c r="E1224" s="506">
        <v>0</v>
      </c>
      <c r="F1224" s="506">
        <v>357</v>
      </c>
      <c r="G1224" s="507">
        <v>0</v>
      </c>
      <c r="H1224" s="503"/>
      <c r="I1224" s="503"/>
      <c r="J1224" s="503"/>
      <c r="K1224" s="503"/>
    </row>
    <row r="1225" spans="1:11" ht="12">
      <c r="A1225" s="504">
        <v>2141137178</v>
      </c>
      <c r="B1225" s="539" t="s">
        <v>1685</v>
      </c>
      <c r="C1225" s="505" t="s">
        <v>1159</v>
      </c>
      <c r="D1225" s="506">
        <v>0</v>
      </c>
      <c r="E1225" s="506">
        <v>0</v>
      </c>
      <c r="F1225" s="506">
        <v>357</v>
      </c>
      <c r="G1225" s="507">
        <v>0</v>
      </c>
      <c r="H1225" s="503"/>
      <c r="I1225" s="503"/>
      <c r="J1225" s="503"/>
      <c r="K1225" s="503"/>
    </row>
    <row r="1226" spans="1:11" ht="12">
      <c r="A1226" s="504">
        <v>2141137179</v>
      </c>
      <c r="B1226" s="539" t="s">
        <v>1686</v>
      </c>
      <c r="C1226" s="505" t="s">
        <v>1159</v>
      </c>
      <c r="D1226" s="506">
        <v>0</v>
      </c>
      <c r="E1226" s="506">
        <v>0</v>
      </c>
      <c r="F1226" s="506">
        <v>825</v>
      </c>
      <c r="G1226" s="507">
        <v>0</v>
      </c>
      <c r="H1226" s="503"/>
      <c r="I1226" s="503"/>
      <c r="J1226" s="503"/>
      <c r="K1226" s="503"/>
    </row>
    <row r="1227" spans="1:11" ht="12">
      <c r="A1227" s="504">
        <v>2141137180</v>
      </c>
      <c r="B1227" s="539" t="s">
        <v>1687</v>
      </c>
      <c r="C1227" s="505" t="s">
        <v>1159</v>
      </c>
      <c r="D1227" s="506">
        <v>0</v>
      </c>
      <c r="E1227" s="506">
        <v>0</v>
      </c>
      <c r="F1227" s="506">
        <v>293</v>
      </c>
      <c r="G1227" s="507">
        <v>0</v>
      </c>
      <c r="H1227" s="503"/>
      <c r="I1227" s="503"/>
      <c r="J1227" s="503"/>
      <c r="K1227" s="503"/>
    </row>
    <row r="1228" spans="1:11" ht="12">
      <c r="A1228" s="504">
        <v>2141137181</v>
      </c>
      <c r="B1228" s="539" t="s">
        <v>1688</v>
      </c>
      <c r="C1228" s="505" t="s">
        <v>1159</v>
      </c>
      <c r="D1228" s="506">
        <v>0</v>
      </c>
      <c r="E1228" s="506">
        <v>0</v>
      </c>
      <c r="F1228" s="506">
        <v>618</v>
      </c>
      <c r="G1228" s="507">
        <v>0</v>
      </c>
      <c r="H1228" s="503"/>
      <c r="I1228" s="503"/>
      <c r="J1228" s="503"/>
      <c r="K1228" s="503"/>
    </row>
    <row r="1229" spans="1:11" ht="12">
      <c r="A1229" s="504">
        <v>2141137182</v>
      </c>
      <c r="B1229" s="539" t="s">
        <v>1689</v>
      </c>
      <c r="C1229" s="505" t="s">
        <v>1159</v>
      </c>
      <c r="D1229" s="506">
        <v>0</v>
      </c>
      <c r="E1229" s="506">
        <v>0</v>
      </c>
      <c r="F1229" s="506">
        <v>1000</v>
      </c>
      <c r="G1229" s="507">
        <v>0</v>
      </c>
      <c r="H1229" s="503"/>
      <c r="I1229" s="503"/>
      <c r="J1229" s="503"/>
      <c r="K1229" s="503"/>
    </row>
    <row r="1230" spans="1:11" ht="12">
      <c r="A1230" s="504">
        <v>2141137183</v>
      </c>
      <c r="B1230" s="539" t="s">
        <v>1690</v>
      </c>
      <c r="C1230" s="505" t="s">
        <v>668</v>
      </c>
      <c r="D1230" s="506">
        <v>0</v>
      </c>
      <c r="E1230" s="506">
        <v>1422</v>
      </c>
      <c r="F1230" s="506">
        <v>1422</v>
      </c>
      <c r="G1230" s="507">
        <v>0</v>
      </c>
      <c r="H1230" s="503"/>
      <c r="I1230" s="503"/>
      <c r="J1230" s="503"/>
      <c r="K1230" s="503"/>
    </row>
    <row r="1231" spans="1:11" ht="12">
      <c r="A1231" s="504">
        <v>2141137184</v>
      </c>
      <c r="B1231" s="539" t="s">
        <v>1691</v>
      </c>
      <c r="C1231" s="505" t="s">
        <v>668</v>
      </c>
      <c r="D1231" s="506">
        <v>0</v>
      </c>
      <c r="E1231" s="506">
        <v>1066</v>
      </c>
      <c r="F1231" s="506">
        <v>1065</v>
      </c>
      <c r="G1231" s="507">
        <v>1</v>
      </c>
      <c r="H1231" s="503"/>
      <c r="I1231" s="503"/>
      <c r="J1231" s="503"/>
      <c r="K1231" s="503"/>
    </row>
    <row r="1232" spans="1:11" ht="12">
      <c r="A1232" s="504">
        <v>2141137185</v>
      </c>
      <c r="B1232" s="539" t="s">
        <v>1669</v>
      </c>
      <c r="C1232" s="505" t="s">
        <v>668</v>
      </c>
      <c r="D1232" s="506">
        <v>0</v>
      </c>
      <c r="E1232" s="506">
        <v>0</v>
      </c>
      <c r="F1232" s="506">
        <v>71</v>
      </c>
      <c r="G1232" s="507">
        <v>0</v>
      </c>
      <c r="H1232" s="503"/>
      <c r="I1232" s="503"/>
      <c r="J1232" s="503"/>
      <c r="K1232" s="503"/>
    </row>
    <row r="1233" spans="1:11" ht="12">
      <c r="A1233" s="504">
        <v>2141137186</v>
      </c>
      <c r="B1233" s="539" t="s">
        <v>1692</v>
      </c>
      <c r="C1233" s="505" t="s">
        <v>692</v>
      </c>
      <c r="D1233" s="506">
        <v>0</v>
      </c>
      <c r="E1233" s="506">
        <v>0</v>
      </c>
      <c r="F1233" s="506">
        <v>94</v>
      </c>
      <c r="G1233" s="507">
        <v>0</v>
      </c>
      <c r="H1233" s="503"/>
      <c r="I1233" s="503"/>
      <c r="J1233" s="503"/>
      <c r="K1233" s="503"/>
    </row>
    <row r="1234" spans="1:11" ht="12">
      <c r="A1234" s="504">
        <v>2141137187</v>
      </c>
      <c r="B1234" s="539" t="s">
        <v>1693</v>
      </c>
      <c r="C1234" s="505" t="s">
        <v>692</v>
      </c>
      <c r="D1234" s="506">
        <v>0</v>
      </c>
      <c r="E1234" s="506">
        <v>0</v>
      </c>
      <c r="F1234" s="506">
        <v>117</v>
      </c>
      <c r="G1234" s="507">
        <v>0</v>
      </c>
      <c r="H1234" s="503"/>
      <c r="I1234" s="503"/>
      <c r="J1234" s="503"/>
      <c r="K1234" s="503"/>
    </row>
    <row r="1235" spans="1:11" ht="12">
      <c r="A1235" s="504">
        <v>2141137188</v>
      </c>
      <c r="B1235" s="539" t="s">
        <v>1694</v>
      </c>
      <c r="C1235" s="505" t="s">
        <v>1159</v>
      </c>
      <c r="D1235" s="506">
        <v>0</v>
      </c>
      <c r="E1235" s="506">
        <v>0</v>
      </c>
      <c r="F1235" s="506">
        <v>557</v>
      </c>
      <c r="G1235" s="507">
        <v>0</v>
      </c>
      <c r="H1235" s="503"/>
      <c r="I1235" s="503"/>
      <c r="J1235" s="503"/>
      <c r="K1235" s="503"/>
    </row>
    <row r="1236" spans="1:11" ht="12">
      <c r="A1236" s="504">
        <v>2141137189</v>
      </c>
      <c r="B1236" s="539" t="s">
        <v>1695</v>
      </c>
      <c r="C1236" s="505" t="s">
        <v>1159</v>
      </c>
      <c r="D1236" s="506">
        <v>0</v>
      </c>
      <c r="E1236" s="506">
        <v>0</v>
      </c>
      <c r="F1236" s="506">
        <v>675</v>
      </c>
      <c r="G1236" s="507">
        <v>0</v>
      </c>
      <c r="H1236" s="503"/>
      <c r="I1236" s="503"/>
      <c r="J1236" s="503"/>
      <c r="K1236" s="503"/>
    </row>
    <row r="1237" spans="1:11" ht="12">
      <c r="A1237" s="504">
        <v>2141137190</v>
      </c>
      <c r="B1237" s="539" t="s">
        <v>1696</v>
      </c>
      <c r="C1237" s="505" t="s">
        <v>1159</v>
      </c>
      <c r="D1237" s="506">
        <v>0</v>
      </c>
      <c r="E1237" s="506">
        <v>0</v>
      </c>
      <c r="F1237" s="506">
        <v>1506</v>
      </c>
      <c r="G1237" s="507">
        <v>0</v>
      </c>
      <c r="H1237" s="503"/>
      <c r="I1237" s="503"/>
      <c r="J1237" s="503"/>
      <c r="K1237" s="503"/>
    </row>
    <row r="1238" spans="1:11" ht="12">
      <c r="A1238" s="504">
        <v>2141137191</v>
      </c>
      <c r="B1238" s="539" t="s">
        <v>1697</v>
      </c>
      <c r="C1238" s="505" t="s">
        <v>1159</v>
      </c>
      <c r="D1238" s="506">
        <v>0</v>
      </c>
      <c r="E1238" s="506">
        <v>0</v>
      </c>
      <c r="F1238" s="506">
        <v>484</v>
      </c>
      <c r="G1238" s="507">
        <v>0</v>
      </c>
      <c r="H1238" s="503"/>
      <c r="I1238" s="503"/>
      <c r="J1238" s="503"/>
      <c r="K1238" s="503"/>
    </row>
    <row r="1239" spans="1:11" ht="12">
      <c r="A1239" s="504">
        <v>2141137192</v>
      </c>
      <c r="B1239" s="539" t="s">
        <v>1698</v>
      </c>
      <c r="C1239" s="505" t="s">
        <v>1159</v>
      </c>
      <c r="D1239" s="506">
        <v>0</v>
      </c>
      <c r="E1239" s="506">
        <v>0</v>
      </c>
      <c r="F1239" s="506">
        <v>174</v>
      </c>
      <c r="G1239" s="507">
        <v>0</v>
      </c>
      <c r="H1239" s="503"/>
      <c r="I1239" s="503"/>
      <c r="J1239" s="503"/>
      <c r="K1239" s="503"/>
    </row>
    <row r="1240" spans="1:11" ht="12">
      <c r="A1240" s="504">
        <v>2141137193</v>
      </c>
      <c r="B1240" s="539" t="s">
        <v>1699</v>
      </c>
      <c r="C1240" s="505" t="s">
        <v>1142</v>
      </c>
      <c r="D1240" s="506">
        <v>0</v>
      </c>
      <c r="E1240" s="506">
        <v>3297</v>
      </c>
      <c r="F1240" s="506">
        <v>3296</v>
      </c>
      <c r="G1240" s="507">
        <v>1</v>
      </c>
      <c r="H1240" s="503"/>
      <c r="I1240" s="503"/>
      <c r="J1240" s="503"/>
      <c r="K1240" s="503"/>
    </row>
    <row r="1241" spans="1:11" ht="12">
      <c r="A1241" s="504">
        <v>2141137194</v>
      </c>
      <c r="B1241" s="539" t="s">
        <v>1700</v>
      </c>
      <c r="C1241" s="505" t="s">
        <v>1159</v>
      </c>
      <c r="D1241" s="506">
        <v>0</v>
      </c>
      <c r="E1241" s="506">
        <v>249</v>
      </c>
      <c r="F1241" s="506">
        <v>248</v>
      </c>
      <c r="G1241" s="507">
        <v>1</v>
      </c>
      <c r="H1241" s="503"/>
      <c r="I1241" s="503"/>
      <c r="J1241" s="503"/>
      <c r="K1241" s="503"/>
    </row>
    <row r="1242" spans="1:11" ht="12">
      <c r="A1242" s="504">
        <v>2141137195</v>
      </c>
      <c r="B1242" s="539" t="s">
        <v>1701</v>
      </c>
      <c r="C1242" s="505" t="s">
        <v>1137</v>
      </c>
      <c r="D1242" s="506">
        <v>0</v>
      </c>
      <c r="E1242" s="506">
        <v>159</v>
      </c>
      <c r="F1242" s="506">
        <v>158</v>
      </c>
      <c r="G1242" s="507">
        <v>1</v>
      </c>
      <c r="H1242" s="503"/>
      <c r="I1242" s="503"/>
      <c r="J1242" s="503"/>
      <c r="K1242" s="503"/>
    </row>
    <row r="1243" spans="1:11" ht="12">
      <c r="A1243" s="504">
        <v>2141137196</v>
      </c>
      <c r="B1243" s="539" t="s">
        <v>1669</v>
      </c>
      <c r="C1243" s="505" t="s">
        <v>699</v>
      </c>
      <c r="D1243" s="506">
        <v>0</v>
      </c>
      <c r="E1243" s="506">
        <v>0</v>
      </c>
      <c r="F1243" s="506">
        <v>13</v>
      </c>
      <c r="G1243" s="507">
        <v>0</v>
      </c>
      <c r="H1243" s="503"/>
      <c r="I1243" s="503"/>
      <c r="J1243" s="503"/>
      <c r="K1243" s="503"/>
    </row>
    <row r="1244" spans="1:11" ht="12">
      <c r="A1244" s="504">
        <v>2141137197</v>
      </c>
      <c r="B1244" s="539" t="s">
        <v>1702</v>
      </c>
      <c r="C1244" s="505" t="s">
        <v>1142</v>
      </c>
      <c r="D1244" s="506">
        <v>0</v>
      </c>
      <c r="E1244" s="506">
        <v>330</v>
      </c>
      <c r="F1244" s="506">
        <v>330</v>
      </c>
      <c r="G1244" s="507">
        <v>0</v>
      </c>
      <c r="H1244" s="503"/>
      <c r="I1244" s="503"/>
      <c r="J1244" s="503"/>
      <c r="K1244" s="503"/>
    </row>
    <row r="1245" spans="1:11" ht="12">
      <c r="A1245" s="504">
        <v>2141137198</v>
      </c>
      <c r="B1245" s="539" t="s">
        <v>1703</v>
      </c>
      <c r="C1245" s="505" t="s">
        <v>692</v>
      </c>
      <c r="D1245" s="506">
        <v>0</v>
      </c>
      <c r="E1245" s="506">
        <v>0</v>
      </c>
      <c r="F1245" s="506">
        <v>98</v>
      </c>
      <c r="G1245" s="507">
        <v>0</v>
      </c>
      <c r="H1245" s="503"/>
      <c r="I1245" s="503"/>
      <c r="J1245" s="503"/>
      <c r="K1245" s="503"/>
    </row>
    <row r="1246" spans="1:11" ht="12">
      <c r="A1246" s="504">
        <v>2141137199</v>
      </c>
      <c r="B1246" s="539" t="s">
        <v>1704</v>
      </c>
      <c r="C1246" s="505" t="s">
        <v>677</v>
      </c>
      <c r="D1246" s="506">
        <v>0</v>
      </c>
      <c r="E1246" s="506">
        <v>0</v>
      </c>
      <c r="F1246" s="506">
        <v>916</v>
      </c>
      <c r="G1246" s="507">
        <v>0</v>
      </c>
      <c r="H1246" s="503"/>
      <c r="I1246" s="503"/>
      <c r="J1246" s="503"/>
      <c r="K1246" s="503"/>
    </row>
    <row r="1247" spans="1:11" ht="12">
      <c r="A1247" s="504">
        <v>2141137200</v>
      </c>
      <c r="B1247" s="539" t="s">
        <v>1705</v>
      </c>
      <c r="C1247" s="505" t="s">
        <v>1159</v>
      </c>
      <c r="D1247" s="506">
        <v>0</v>
      </c>
      <c r="E1247" s="506">
        <v>0</v>
      </c>
      <c r="F1247" s="506">
        <v>1828</v>
      </c>
      <c r="G1247" s="507">
        <v>0</v>
      </c>
      <c r="H1247" s="503"/>
      <c r="I1247" s="503"/>
      <c r="J1247" s="503"/>
      <c r="K1247" s="503"/>
    </row>
    <row r="1248" spans="1:11" ht="12">
      <c r="A1248" s="504">
        <v>2141137201</v>
      </c>
      <c r="B1248" s="539" t="s">
        <v>1706</v>
      </c>
      <c r="C1248" s="505" t="s">
        <v>670</v>
      </c>
      <c r="D1248" s="506">
        <v>0</v>
      </c>
      <c r="E1248" s="506">
        <v>200</v>
      </c>
      <c r="F1248" s="506">
        <v>200</v>
      </c>
      <c r="G1248" s="507">
        <v>0</v>
      </c>
      <c r="H1248" s="503"/>
      <c r="I1248" s="503"/>
      <c r="J1248" s="503"/>
      <c r="K1248" s="503"/>
    </row>
    <row r="1249" spans="1:11" ht="12">
      <c r="A1249" s="504">
        <v>2141137202</v>
      </c>
      <c r="B1249" s="539" t="s">
        <v>1707</v>
      </c>
      <c r="C1249" s="505" t="s">
        <v>1159</v>
      </c>
      <c r="D1249" s="506">
        <v>0</v>
      </c>
      <c r="E1249" s="506">
        <v>295</v>
      </c>
      <c r="F1249" s="506">
        <v>295</v>
      </c>
      <c r="G1249" s="507">
        <v>0</v>
      </c>
      <c r="H1249" s="503"/>
      <c r="I1249" s="503"/>
      <c r="J1249" s="503"/>
      <c r="K1249" s="503"/>
    </row>
    <row r="1250" spans="1:11" ht="12">
      <c r="A1250" s="504">
        <v>2141137203</v>
      </c>
      <c r="B1250" s="539" t="s">
        <v>1708</v>
      </c>
      <c r="C1250" s="505" t="s">
        <v>1159</v>
      </c>
      <c r="D1250" s="506">
        <v>0</v>
      </c>
      <c r="E1250" s="506">
        <v>0</v>
      </c>
      <c r="F1250" s="506">
        <v>4590</v>
      </c>
      <c r="G1250" s="507">
        <v>0</v>
      </c>
      <c r="H1250" s="503"/>
      <c r="I1250" s="503"/>
      <c r="J1250" s="503"/>
      <c r="K1250" s="503"/>
    </row>
    <row r="1251" spans="1:11" ht="12">
      <c r="A1251" s="504">
        <v>2141137204</v>
      </c>
      <c r="B1251" s="539" t="s">
        <v>1709</v>
      </c>
      <c r="C1251" s="505" t="s">
        <v>677</v>
      </c>
      <c r="D1251" s="506">
        <v>0</v>
      </c>
      <c r="E1251" s="506">
        <v>570</v>
      </c>
      <c r="F1251" s="506">
        <v>544</v>
      </c>
      <c r="G1251" s="507">
        <v>0</v>
      </c>
      <c r="H1251" s="503"/>
      <c r="I1251" s="503"/>
      <c r="J1251" s="503"/>
      <c r="K1251" s="503"/>
    </row>
    <row r="1252" spans="1:11" ht="12">
      <c r="A1252" s="504">
        <v>2141137205</v>
      </c>
      <c r="B1252" s="539" t="s">
        <v>1710</v>
      </c>
      <c r="C1252" s="505" t="s">
        <v>1208</v>
      </c>
      <c r="D1252" s="506">
        <v>0</v>
      </c>
      <c r="E1252" s="506">
        <v>119</v>
      </c>
      <c r="F1252" s="506">
        <v>119</v>
      </c>
      <c r="G1252" s="507">
        <v>0</v>
      </c>
      <c r="H1252" s="503"/>
      <c r="I1252" s="503"/>
      <c r="J1252" s="503"/>
      <c r="K1252" s="503"/>
    </row>
    <row r="1253" spans="1:11" ht="12">
      <c r="A1253" s="504">
        <v>2141137206</v>
      </c>
      <c r="B1253" s="539" t="s">
        <v>1711</v>
      </c>
      <c r="C1253" s="505" t="s">
        <v>1208</v>
      </c>
      <c r="D1253" s="506">
        <v>0</v>
      </c>
      <c r="E1253" s="506">
        <v>450</v>
      </c>
      <c r="F1253" s="506">
        <v>450</v>
      </c>
      <c r="G1253" s="507">
        <v>0</v>
      </c>
      <c r="H1253" s="503"/>
      <c r="I1253" s="503"/>
      <c r="J1253" s="503"/>
      <c r="K1253" s="503"/>
    </row>
    <row r="1254" spans="1:11" ht="12">
      <c r="A1254" s="504">
        <v>2141137207</v>
      </c>
      <c r="B1254" s="539" t="s">
        <v>624</v>
      </c>
      <c r="C1254" s="505" t="s">
        <v>1208</v>
      </c>
      <c r="D1254" s="506">
        <v>0</v>
      </c>
      <c r="E1254" s="506">
        <v>136</v>
      </c>
      <c r="F1254" s="506">
        <v>136</v>
      </c>
      <c r="G1254" s="507">
        <v>0</v>
      </c>
      <c r="H1254" s="503"/>
      <c r="I1254" s="503"/>
      <c r="J1254" s="503"/>
      <c r="K1254" s="503"/>
    </row>
    <row r="1255" spans="1:11" ht="12">
      <c r="A1255" s="504">
        <v>2141137208</v>
      </c>
      <c r="B1255" s="539" t="s">
        <v>1712</v>
      </c>
      <c r="C1255" s="505" t="s">
        <v>1159</v>
      </c>
      <c r="D1255" s="506">
        <v>0</v>
      </c>
      <c r="E1255" s="506">
        <v>255</v>
      </c>
      <c r="F1255" s="506">
        <v>254</v>
      </c>
      <c r="G1255" s="507">
        <v>1</v>
      </c>
      <c r="H1255" s="503"/>
      <c r="I1255" s="503"/>
      <c r="J1255" s="503"/>
      <c r="K1255" s="503"/>
    </row>
    <row r="1256" spans="1:11" ht="12">
      <c r="A1256" s="504">
        <v>2141137209</v>
      </c>
      <c r="B1256" s="539" t="s">
        <v>748</v>
      </c>
      <c r="C1256" s="505" t="s">
        <v>692</v>
      </c>
      <c r="D1256" s="506">
        <v>0</v>
      </c>
      <c r="E1256" s="506">
        <v>436</v>
      </c>
      <c r="F1256" s="506">
        <v>435</v>
      </c>
      <c r="G1256" s="507">
        <v>1</v>
      </c>
      <c r="H1256" s="503"/>
      <c r="I1256" s="503"/>
      <c r="J1256" s="503"/>
      <c r="K1256" s="503"/>
    </row>
    <row r="1257" spans="1:11" ht="12">
      <c r="A1257" s="504">
        <v>2141137210</v>
      </c>
      <c r="B1257" s="539" t="s">
        <v>749</v>
      </c>
      <c r="C1257" s="505" t="s">
        <v>1137</v>
      </c>
      <c r="D1257" s="506">
        <v>0</v>
      </c>
      <c r="E1257" s="506">
        <v>160</v>
      </c>
      <c r="F1257" s="506">
        <v>159</v>
      </c>
      <c r="G1257" s="507">
        <v>1</v>
      </c>
      <c r="H1257" s="503"/>
      <c r="I1257" s="503"/>
      <c r="J1257" s="503"/>
      <c r="K1257" s="503"/>
    </row>
    <row r="1258" spans="1:11" ht="12">
      <c r="A1258" s="504">
        <v>2141137212</v>
      </c>
      <c r="B1258" s="539" t="s">
        <v>750</v>
      </c>
      <c r="C1258" s="505" t="s">
        <v>677</v>
      </c>
      <c r="D1258" s="506">
        <v>0</v>
      </c>
      <c r="E1258" s="506">
        <v>100</v>
      </c>
      <c r="F1258" s="506">
        <v>92</v>
      </c>
      <c r="G1258" s="507">
        <v>0</v>
      </c>
      <c r="H1258" s="503"/>
      <c r="I1258" s="503"/>
      <c r="J1258" s="503"/>
      <c r="K1258" s="503"/>
    </row>
    <row r="1259" spans="1:11" ht="12">
      <c r="A1259" s="504">
        <v>2141137213</v>
      </c>
      <c r="B1259" s="539" t="s">
        <v>751</v>
      </c>
      <c r="C1259" s="505" t="s">
        <v>677</v>
      </c>
      <c r="D1259" s="506">
        <v>0</v>
      </c>
      <c r="E1259" s="506">
        <v>1400</v>
      </c>
      <c r="F1259" s="506">
        <v>1380</v>
      </c>
      <c r="G1259" s="507">
        <v>0</v>
      </c>
      <c r="H1259" s="503"/>
      <c r="I1259" s="503"/>
      <c r="J1259" s="503"/>
      <c r="K1259" s="503"/>
    </row>
    <row r="1260" spans="1:11" ht="12">
      <c r="A1260" s="504">
        <v>2141137214</v>
      </c>
      <c r="B1260" s="539" t="s">
        <v>752</v>
      </c>
      <c r="C1260" s="505" t="s">
        <v>1142</v>
      </c>
      <c r="D1260" s="506">
        <v>0</v>
      </c>
      <c r="E1260" s="506">
        <v>190</v>
      </c>
      <c r="F1260" s="506">
        <v>190</v>
      </c>
      <c r="G1260" s="507">
        <v>0</v>
      </c>
      <c r="H1260" s="503"/>
      <c r="I1260" s="503"/>
      <c r="J1260" s="503"/>
      <c r="K1260" s="503"/>
    </row>
    <row r="1261" spans="1:11" ht="12">
      <c r="A1261" s="504">
        <v>2141137215</v>
      </c>
      <c r="B1261" s="539" t="s">
        <v>753</v>
      </c>
      <c r="C1261" s="505" t="s">
        <v>670</v>
      </c>
      <c r="D1261" s="506">
        <v>0</v>
      </c>
      <c r="E1261" s="506">
        <v>2380</v>
      </c>
      <c r="F1261" s="506">
        <v>2312</v>
      </c>
      <c r="G1261" s="507">
        <v>68</v>
      </c>
      <c r="H1261" s="503"/>
      <c r="I1261" s="503"/>
      <c r="J1261" s="503"/>
      <c r="K1261" s="503"/>
    </row>
    <row r="1262" spans="1:11" ht="12">
      <c r="A1262" s="504">
        <v>2141137216</v>
      </c>
      <c r="B1262" s="539" t="s">
        <v>2267</v>
      </c>
      <c r="C1262" s="505" t="s">
        <v>1208</v>
      </c>
      <c r="D1262" s="506">
        <v>0</v>
      </c>
      <c r="E1262" s="506">
        <v>2000</v>
      </c>
      <c r="F1262" s="506">
        <v>1987</v>
      </c>
      <c r="G1262" s="507">
        <v>13</v>
      </c>
      <c r="H1262" s="503"/>
      <c r="I1262" s="503"/>
      <c r="J1262" s="503"/>
      <c r="K1262" s="503"/>
    </row>
    <row r="1263" spans="1:11" ht="12">
      <c r="A1263" s="504">
        <v>2141137218</v>
      </c>
      <c r="B1263" s="539" t="s">
        <v>754</v>
      </c>
      <c r="C1263" s="505" t="s">
        <v>1208</v>
      </c>
      <c r="D1263" s="506">
        <v>0</v>
      </c>
      <c r="E1263" s="506">
        <v>165</v>
      </c>
      <c r="F1263" s="506">
        <v>165</v>
      </c>
      <c r="G1263" s="507">
        <v>0</v>
      </c>
      <c r="H1263" s="503"/>
      <c r="I1263" s="503"/>
      <c r="J1263" s="503"/>
      <c r="K1263" s="503"/>
    </row>
    <row r="1264" spans="1:11" ht="12">
      <c r="A1264" s="504">
        <v>2141137219</v>
      </c>
      <c r="B1264" s="539" t="s">
        <v>755</v>
      </c>
      <c r="C1264" s="179" t="s">
        <v>1159</v>
      </c>
      <c r="D1264" s="506">
        <v>0</v>
      </c>
      <c r="E1264" s="506">
        <v>104</v>
      </c>
      <c r="F1264" s="506">
        <v>102</v>
      </c>
      <c r="G1264" s="507">
        <v>2</v>
      </c>
      <c r="H1264" s="503"/>
      <c r="I1264" s="503"/>
      <c r="J1264" s="503"/>
      <c r="K1264" s="503"/>
    </row>
    <row r="1265" spans="1:11" ht="12">
      <c r="A1265" s="504">
        <v>2141137220</v>
      </c>
      <c r="B1265" s="539" t="s">
        <v>756</v>
      </c>
      <c r="C1265" s="505" t="s">
        <v>670</v>
      </c>
      <c r="D1265" s="506">
        <v>0</v>
      </c>
      <c r="E1265" s="506">
        <v>160</v>
      </c>
      <c r="F1265" s="506">
        <v>137</v>
      </c>
      <c r="G1265" s="507">
        <v>23</v>
      </c>
      <c r="H1265" s="503"/>
      <c r="I1265" s="503"/>
      <c r="J1265" s="503"/>
      <c r="K1265" s="503"/>
    </row>
    <row r="1266" spans="1:11" ht="12">
      <c r="A1266" s="504">
        <v>2141137221</v>
      </c>
      <c r="B1266" s="539" t="s">
        <v>757</v>
      </c>
      <c r="C1266" s="505" t="s">
        <v>670</v>
      </c>
      <c r="D1266" s="506">
        <v>0</v>
      </c>
      <c r="E1266" s="506">
        <v>180</v>
      </c>
      <c r="F1266" s="506">
        <v>141</v>
      </c>
      <c r="G1266" s="507">
        <v>39</v>
      </c>
      <c r="H1266" s="503"/>
      <c r="I1266" s="503"/>
      <c r="J1266" s="503"/>
      <c r="K1266" s="503"/>
    </row>
    <row r="1267" spans="1:11" ht="12">
      <c r="A1267" s="504">
        <v>2141137222</v>
      </c>
      <c r="B1267" s="539" t="s">
        <v>1669</v>
      </c>
      <c r="C1267" s="505" t="s">
        <v>677</v>
      </c>
      <c r="D1267" s="506">
        <v>0</v>
      </c>
      <c r="E1267" s="506">
        <v>0</v>
      </c>
      <c r="F1267" s="506">
        <v>18</v>
      </c>
      <c r="G1267" s="507">
        <v>0</v>
      </c>
      <c r="H1267" s="503"/>
      <c r="I1267" s="503"/>
      <c r="J1267" s="503"/>
      <c r="K1267" s="503"/>
    </row>
    <row r="1268" spans="1:11" ht="12">
      <c r="A1268" s="504">
        <v>2141147001</v>
      </c>
      <c r="B1268" s="539" t="s">
        <v>1849</v>
      </c>
      <c r="C1268" s="505" t="s">
        <v>1159</v>
      </c>
      <c r="D1268" s="506">
        <v>1200</v>
      </c>
      <c r="E1268" s="506">
        <v>1037</v>
      </c>
      <c r="F1268" s="506">
        <v>1037</v>
      </c>
      <c r="G1268" s="507">
        <v>0</v>
      </c>
      <c r="H1268" s="503"/>
      <c r="I1268" s="503"/>
      <c r="J1268" s="503"/>
      <c r="K1268" s="503"/>
    </row>
    <row r="1269" spans="1:11" ht="12">
      <c r="A1269" s="504">
        <v>2141147002</v>
      </c>
      <c r="B1269" s="539" t="s">
        <v>758</v>
      </c>
      <c r="C1269" s="505" t="s">
        <v>1159</v>
      </c>
      <c r="D1269" s="506">
        <v>2200</v>
      </c>
      <c r="E1269" s="506">
        <v>0</v>
      </c>
      <c r="F1269" s="506">
        <v>0</v>
      </c>
      <c r="G1269" s="507">
        <v>0</v>
      </c>
      <c r="H1269" s="503"/>
      <c r="I1269" s="503"/>
      <c r="J1269" s="503"/>
      <c r="K1269" s="503"/>
    </row>
    <row r="1270" spans="1:11" ht="12">
      <c r="A1270" s="504">
        <v>2141147003</v>
      </c>
      <c r="B1270" s="539" t="s">
        <v>759</v>
      </c>
      <c r="C1270" s="505" t="s">
        <v>1159</v>
      </c>
      <c r="D1270" s="506">
        <v>12780</v>
      </c>
      <c r="E1270" s="506">
        <v>13567</v>
      </c>
      <c r="F1270" s="506">
        <v>13567</v>
      </c>
      <c r="G1270" s="507">
        <v>0</v>
      </c>
      <c r="H1270" s="503"/>
      <c r="I1270" s="503"/>
      <c r="J1270" s="503"/>
      <c r="K1270" s="503"/>
    </row>
    <row r="1271" spans="1:11" ht="12">
      <c r="A1271" s="504">
        <v>2141147004</v>
      </c>
      <c r="B1271" s="539" t="s">
        <v>760</v>
      </c>
      <c r="C1271" s="505" t="s">
        <v>1159</v>
      </c>
      <c r="D1271" s="506">
        <v>3258</v>
      </c>
      <c r="E1271" s="506">
        <v>3047</v>
      </c>
      <c r="F1271" s="506">
        <v>3046</v>
      </c>
      <c r="G1271" s="507">
        <v>1</v>
      </c>
      <c r="H1271" s="503"/>
      <c r="I1271" s="503"/>
      <c r="J1271" s="503"/>
      <c r="K1271" s="503"/>
    </row>
    <row r="1272" spans="1:11" ht="12">
      <c r="A1272" s="504">
        <v>2141147005</v>
      </c>
      <c r="B1272" s="539" t="s">
        <v>761</v>
      </c>
      <c r="C1272" s="505" t="s">
        <v>1159</v>
      </c>
      <c r="D1272" s="506">
        <v>2720</v>
      </c>
      <c r="E1272" s="506">
        <v>2705</v>
      </c>
      <c r="F1272" s="506">
        <v>2704</v>
      </c>
      <c r="G1272" s="507">
        <v>1</v>
      </c>
      <c r="H1272" s="503"/>
      <c r="I1272" s="503"/>
      <c r="J1272" s="503"/>
      <c r="K1272" s="503"/>
    </row>
    <row r="1273" spans="1:11" ht="12">
      <c r="A1273" s="504">
        <v>2141147006</v>
      </c>
      <c r="B1273" s="539" t="s">
        <v>762</v>
      </c>
      <c r="C1273" s="505" t="s">
        <v>1159</v>
      </c>
      <c r="D1273" s="506">
        <v>3875</v>
      </c>
      <c r="E1273" s="506">
        <v>2848</v>
      </c>
      <c r="F1273" s="506">
        <v>2848</v>
      </c>
      <c r="G1273" s="507">
        <v>0</v>
      </c>
      <c r="H1273" s="503"/>
      <c r="I1273" s="503"/>
      <c r="J1273" s="503"/>
      <c r="K1273" s="503"/>
    </row>
    <row r="1274" spans="1:11" ht="12">
      <c r="A1274" s="504">
        <v>2141150001</v>
      </c>
      <c r="B1274" s="539" t="s">
        <v>763</v>
      </c>
      <c r="C1274" s="505" t="s">
        <v>1137</v>
      </c>
      <c r="D1274" s="506">
        <v>85812</v>
      </c>
      <c r="E1274" s="506">
        <v>257580</v>
      </c>
      <c r="F1274" s="506">
        <v>254654</v>
      </c>
      <c r="G1274" s="507">
        <v>2926</v>
      </c>
      <c r="H1274" s="503"/>
      <c r="I1274" s="503"/>
      <c r="J1274" s="503"/>
      <c r="K1274" s="503"/>
    </row>
    <row r="1275" spans="1:11" ht="12">
      <c r="A1275" s="504">
        <v>2141155001</v>
      </c>
      <c r="B1275" s="539" t="s">
        <v>764</v>
      </c>
      <c r="C1275" s="505" t="s">
        <v>1137</v>
      </c>
      <c r="D1275" s="506">
        <v>46914</v>
      </c>
      <c r="E1275" s="506">
        <v>44148</v>
      </c>
      <c r="F1275" s="506">
        <v>36841</v>
      </c>
      <c r="G1275" s="507">
        <v>7307</v>
      </c>
      <c r="H1275" s="503"/>
      <c r="I1275" s="503"/>
      <c r="J1275" s="503"/>
      <c r="K1275" s="503"/>
    </row>
    <row r="1276" spans="1:11" ht="12">
      <c r="A1276" s="504">
        <v>2141156001</v>
      </c>
      <c r="B1276" s="539" t="s">
        <v>765</v>
      </c>
      <c r="C1276" s="505" t="s">
        <v>1137</v>
      </c>
      <c r="D1276" s="506">
        <v>1305</v>
      </c>
      <c r="E1276" s="506">
        <v>0</v>
      </c>
      <c r="F1276" s="506">
        <v>0</v>
      </c>
      <c r="G1276" s="507">
        <v>0</v>
      </c>
      <c r="H1276" s="503"/>
      <c r="I1276" s="503"/>
      <c r="J1276" s="503"/>
      <c r="K1276" s="503"/>
    </row>
    <row r="1277" spans="1:11" ht="12">
      <c r="A1277" s="504">
        <v>2141156002</v>
      </c>
      <c r="B1277" s="539" t="s">
        <v>766</v>
      </c>
      <c r="C1277" s="505" t="s">
        <v>1137</v>
      </c>
      <c r="D1277" s="506">
        <v>0</v>
      </c>
      <c r="E1277" s="506">
        <v>481</v>
      </c>
      <c r="F1277" s="506">
        <v>480</v>
      </c>
      <c r="G1277" s="507">
        <v>1</v>
      </c>
      <c r="H1277" s="503"/>
      <c r="I1277" s="503"/>
      <c r="J1277" s="503"/>
      <c r="K1277" s="503"/>
    </row>
    <row r="1278" spans="1:11" ht="12">
      <c r="A1278" s="504">
        <v>2141157001</v>
      </c>
      <c r="B1278" s="539" t="s">
        <v>767</v>
      </c>
      <c r="C1278" s="505" t="s">
        <v>1137</v>
      </c>
      <c r="D1278" s="506">
        <v>1091</v>
      </c>
      <c r="E1278" s="506">
        <v>0</v>
      </c>
      <c r="F1278" s="506">
        <v>0</v>
      </c>
      <c r="G1278" s="507">
        <v>0</v>
      </c>
      <c r="H1278" s="503"/>
      <c r="I1278" s="503"/>
      <c r="J1278" s="503"/>
      <c r="K1278" s="503"/>
    </row>
    <row r="1279" spans="1:11" ht="12">
      <c r="A1279" s="504">
        <v>2141157002</v>
      </c>
      <c r="B1279" s="539" t="s">
        <v>768</v>
      </c>
      <c r="C1279" s="505" t="s">
        <v>1137</v>
      </c>
      <c r="D1279" s="506">
        <v>0</v>
      </c>
      <c r="E1279" s="506">
        <v>27000</v>
      </c>
      <c r="F1279" s="506">
        <v>26100</v>
      </c>
      <c r="G1279" s="507">
        <v>900</v>
      </c>
      <c r="H1279" s="503"/>
      <c r="I1279" s="503"/>
      <c r="J1279" s="503"/>
      <c r="K1279" s="503"/>
    </row>
    <row r="1280" spans="1:11" ht="12">
      <c r="A1280" s="504">
        <v>2141157003</v>
      </c>
      <c r="B1280" s="539" t="s">
        <v>769</v>
      </c>
      <c r="C1280" s="505" t="s">
        <v>1137</v>
      </c>
      <c r="D1280" s="506">
        <v>0</v>
      </c>
      <c r="E1280" s="506">
        <v>370</v>
      </c>
      <c r="F1280" s="506">
        <v>370</v>
      </c>
      <c r="G1280" s="507">
        <v>0</v>
      </c>
      <c r="H1280" s="503"/>
      <c r="I1280" s="503"/>
      <c r="J1280" s="503"/>
      <c r="K1280" s="503"/>
    </row>
    <row r="1281" spans="1:11" ht="12">
      <c r="A1281" s="504">
        <v>2141157004</v>
      </c>
      <c r="B1281" s="539" t="s">
        <v>770</v>
      </c>
      <c r="C1281" s="505" t="s">
        <v>1137</v>
      </c>
      <c r="D1281" s="506">
        <v>0</v>
      </c>
      <c r="E1281" s="506">
        <v>558</v>
      </c>
      <c r="F1281" s="506">
        <v>557</v>
      </c>
      <c r="G1281" s="507">
        <v>1</v>
      </c>
      <c r="H1281" s="503"/>
      <c r="I1281" s="503"/>
      <c r="J1281" s="503"/>
      <c r="K1281" s="503"/>
    </row>
    <row r="1282" spans="1:11" ht="12">
      <c r="A1282" s="504">
        <v>2141157005</v>
      </c>
      <c r="B1282" s="539" t="s">
        <v>771</v>
      </c>
      <c r="C1282" s="505" t="s">
        <v>1137</v>
      </c>
      <c r="D1282" s="506">
        <v>0</v>
      </c>
      <c r="E1282" s="506">
        <v>476</v>
      </c>
      <c r="F1282" s="506">
        <v>476</v>
      </c>
      <c r="G1282" s="507">
        <v>0</v>
      </c>
      <c r="H1282" s="503"/>
      <c r="I1282" s="503"/>
      <c r="J1282" s="503"/>
      <c r="K1282" s="503"/>
    </row>
    <row r="1283" spans="1:11" ht="12">
      <c r="A1283" s="504">
        <v>2141157006</v>
      </c>
      <c r="B1283" s="539" t="s">
        <v>772</v>
      </c>
      <c r="C1283" s="505" t="s">
        <v>1137</v>
      </c>
      <c r="D1283" s="506">
        <v>0</v>
      </c>
      <c r="E1283" s="506">
        <v>211</v>
      </c>
      <c r="F1283" s="506">
        <v>211</v>
      </c>
      <c r="G1283" s="507">
        <v>0</v>
      </c>
      <c r="H1283" s="503"/>
      <c r="I1283" s="503"/>
      <c r="J1283" s="503"/>
      <c r="K1283" s="503"/>
    </row>
    <row r="1284" spans="1:11" ht="12">
      <c r="A1284" s="504">
        <v>2141175002</v>
      </c>
      <c r="B1284" s="539" t="s">
        <v>773</v>
      </c>
      <c r="C1284" s="505" t="s">
        <v>677</v>
      </c>
      <c r="D1284" s="506">
        <v>0</v>
      </c>
      <c r="E1284" s="506">
        <v>0</v>
      </c>
      <c r="F1284" s="506">
        <v>8163</v>
      </c>
      <c r="G1284" s="507">
        <v>0</v>
      </c>
      <c r="H1284" s="503"/>
      <c r="I1284" s="503"/>
      <c r="J1284" s="503"/>
      <c r="K1284" s="503"/>
    </row>
    <row r="1285" spans="1:11" ht="12">
      <c r="A1285" s="504">
        <v>2141175003</v>
      </c>
      <c r="B1285" s="539" t="s">
        <v>774</v>
      </c>
      <c r="C1285" s="505" t="s">
        <v>1208</v>
      </c>
      <c r="D1285" s="506">
        <v>3603</v>
      </c>
      <c r="E1285" s="506">
        <v>3766</v>
      </c>
      <c r="F1285" s="506">
        <v>3765</v>
      </c>
      <c r="G1285" s="507">
        <v>1</v>
      </c>
      <c r="H1285" s="503"/>
      <c r="I1285" s="503"/>
      <c r="J1285" s="503"/>
      <c r="K1285" s="503"/>
    </row>
    <row r="1286" spans="1:11" ht="12">
      <c r="A1286" s="504">
        <v>2141177001</v>
      </c>
      <c r="B1286" s="539" t="s">
        <v>775</v>
      </c>
      <c r="C1286" s="505" t="s">
        <v>1137</v>
      </c>
      <c r="D1286" s="506">
        <v>0</v>
      </c>
      <c r="E1286" s="506">
        <v>0</v>
      </c>
      <c r="F1286" s="506">
        <v>86</v>
      </c>
      <c r="G1286" s="507">
        <v>0</v>
      </c>
      <c r="H1286" s="503"/>
      <c r="I1286" s="503"/>
      <c r="J1286" s="503"/>
      <c r="K1286" s="503"/>
    </row>
    <row r="1287" spans="1:11" ht="12">
      <c r="A1287" s="504">
        <v>2141177002</v>
      </c>
      <c r="B1287" s="539" t="s">
        <v>776</v>
      </c>
      <c r="C1287" s="505" t="s">
        <v>699</v>
      </c>
      <c r="D1287" s="506">
        <v>0</v>
      </c>
      <c r="E1287" s="506">
        <v>2200</v>
      </c>
      <c r="F1287" s="506">
        <v>33</v>
      </c>
      <c r="G1287" s="507">
        <v>2167</v>
      </c>
      <c r="H1287" s="503"/>
      <c r="I1287" s="503"/>
      <c r="J1287" s="503"/>
      <c r="K1287" s="503"/>
    </row>
    <row r="1288" spans="1:11" ht="12">
      <c r="A1288" s="504">
        <v>2141177003</v>
      </c>
      <c r="B1288" s="539" t="s">
        <v>777</v>
      </c>
      <c r="C1288" s="505" t="s">
        <v>699</v>
      </c>
      <c r="D1288" s="506">
        <v>0</v>
      </c>
      <c r="E1288" s="506">
        <v>2200</v>
      </c>
      <c r="F1288" s="506">
        <v>32</v>
      </c>
      <c r="G1288" s="507">
        <v>2168</v>
      </c>
      <c r="H1288" s="503"/>
      <c r="I1288" s="503"/>
      <c r="J1288" s="503"/>
      <c r="K1288" s="503"/>
    </row>
    <row r="1289" spans="1:11" ht="12">
      <c r="A1289" s="504">
        <v>2141187001</v>
      </c>
      <c r="B1289" s="539" t="s">
        <v>778</v>
      </c>
      <c r="C1289" s="505" t="s">
        <v>692</v>
      </c>
      <c r="D1289" s="506">
        <v>7207</v>
      </c>
      <c r="E1289" s="506">
        <v>0</v>
      </c>
      <c r="F1289" s="506">
        <v>0</v>
      </c>
      <c r="G1289" s="507">
        <v>0</v>
      </c>
      <c r="H1289" s="503"/>
      <c r="I1289" s="503"/>
      <c r="J1289" s="503"/>
      <c r="K1289" s="503"/>
    </row>
    <row r="1290" spans="1:11" ht="12">
      <c r="A1290" s="504">
        <v>2141195031</v>
      </c>
      <c r="B1290" s="539" t="s">
        <v>1801</v>
      </c>
      <c r="C1290" s="505" t="s">
        <v>677</v>
      </c>
      <c r="D1290" s="506">
        <v>3209</v>
      </c>
      <c r="E1290" s="506">
        <v>0</v>
      </c>
      <c r="F1290" s="506">
        <v>0</v>
      </c>
      <c r="G1290" s="507">
        <v>0</v>
      </c>
      <c r="H1290" s="503"/>
      <c r="I1290" s="503"/>
      <c r="J1290" s="503"/>
      <c r="K1290" s="503"/>
    </row>
    <row r="1291" spans="1:11" ht="12">
      <c r="A1291" s="504">
        <v>2141196006</v>
      </c>
      <c r="B1291" s="539" t="s">
        <v>1802</v>
      </c>
      <c r="C1291" s="505" t="s">
        <v>677</v>
      </c>
      <c r="D1291" s="506">
        <v>1775</v>
      </c>
      <c r="E1291" s="506">
        <v>5128</v>
      </c>
      <c r="F1291" s="506">
        <v>5127</v>
      </c>
      <c r="G1291" s="507">
        <v>0</v>
      </c>
      <c r="H1291" s="503"/>
      <c r="I1291" s="503"/>
      <c r="J1291" s="503"/>
      <c r="K1291" s="503"/>
    </row>
    <row r="1292" spans="1:11" ht="12">
      <c r="A1292" s="504">
        <v>2141197001</v>
      </c>
      <c r="B1292" s="539" t="s">
        <v>1803</v>
      </c>
      <c r="C1292" s="505" t="s">
        <v>668</v>
      </c>
      <c r="D1292" s="506">
        <v>1817</v>
      </c>
      <c r="E1292" s="506">
        <v>3072</v>
      </c>
      <c r="F1292" s="506">
        <v>3071</v>
      </c>
      <c r="G1292" s="507">
        <v>0</v>
      </c>
      <c r="H1292" s="503"/>
      <c r="I1292" s="503"/>
      <c r="J1292" s="503"/>
      <c r="K1292" s="503"/>
    </row>
    <row r="1293" spans="1:11" ht="12">
      <c r="A1293" s="504">
        <v>2141197002</v>
      </c>
      <c r="B1293" s="539" t="s">
        <v>1804</v>
      </c>
      <c r="C1293" s="505" t="s">
        <v>668</v>
      </c>
      <c r="D1293" s="506">
        <v>2420</v>
      </c>
      <c r="E1293" s="506">
        <v>131</v>
      </c>
      <c r="F1293" s="506">
        <v>131</v>
      </c>
      <c r="G1293" s="507">
        <v>0</v>
      </c>
      <c r="H1293" s="503"/>
      <c r="I1293" s="503"/>
      <c r="J1293" s="503"/>
      <c r="K1293" s="503"/>
    </row>
    <row r="1294" spans="1:11" ht="12">
      <c r="A1294" s="504">
        <v>2141197003</v>
      </c>
      <c r="B1294" s="539" t="s">
        <v>1805</v>
      </c>
      <c r="C1294" s="505" t="s">
        <v>720</v>
      </c>
      <c r="D1294" s="506">
        <v>0</v>
      </c>
      <c r="E1294" s="506">
        <v>5994</v>
      </c>
      <c r="F1294" s="506">
        <v>5994</v>
      </c>
      <c r="G1294" s="507">
        <v>0</v>
      </c>
      <c r="H1294" s="503"/>
      <c r="I1294" s="503"/>
      <c r="J1294" s="503"/>
      <c r="K1294" s="503"/>
    </row>
    <row r="1295" spans="1:11" ht="12">
      <c r="A1295" s="504">
        <v>2141197004</v>
      </c>
      <c r="B1295" s="539" t="s">
        <v>1806</v>
      </c>
      <c r="C1295" s="505" t="s">
        <v>1137</v>
      </c>
      <c r="D1295" s="506">
        <v>0</v>
      </c>
      <c r="E1295" s="506">
        <v>119</v>
      </c>
      <c r="F1295" s="506">
        <v>119</v>
      </c>
      <c r="G1295" s="507">
        <v>0</v>
      </c>
      <c r="H1295" s="503"/>
      <c r="I1295" s="503"/>
      <c r="J1295" s="503"/>
      <c r="K1295" s="503"/>
    </row>
    <row r="1296" spans="1:11" ht="12">
      <c r="A1296" s="504">
        <v>2141197005</v>
      </c>
      <c r="B1296" s="539" t="s">
        <v>1807</v>
      </c>
      <c r="C1296" s="505" t="s">
        <v>699</v>
      </c>
      <c r="D1296" s="506">
        <v>0</v>
      </c>
      <c r="E1296" s="506">
        <v>329</v>
      </c>
      <c r="F1296" s="506">
        <v>328</v>
      </c>
      <c r="G1296" s="507">
        <v>1</v>
      </c>
      <c r="H1296" s="503"/>
      <c r="I1296" s="503"/>
      <c r="J1296" s="503"/>
      <c r="K1296" s="503"/>
    </row>
    <row r="1297" spans="1:11" ht="12">
      <c r="A1297" s="504">
        <v>2141197006</v>
      </c>
      <c r="B1297" s="539" t="s">
        <v>1808</v>
      </c>
      <c r="C1297" s="505" t="s">
        <v>699</v>
      </c>
      <c r="D1297" s="506">
        <v>0</v>
      </c>
      <c r="E1297" s="506">
        <v>256</v>
      </c>
      <c r="F1297" s="506">
        <v>255</v>
      </c>
      <c r="G1297" s="507">
        <v>1</v>
      </c>
      <c r="H1297" s="503"/>
      <c r="I1297" s="503"/>
      <c r="J1297" s="503"/>
      <c r="K1297" s="503"/>
    </row>
    <row r="1298" spans="1:11" ht="12">
      <c r="A1298" s="504">
        <v>2141197007</v>
      </c>
      <c r="B1298" s="539" t="s">
        <v>1809</v>
      </c>
      <c r="C1298" s="505" t="s">
        <v>699</v>
      </c>
      <c r="D1298" s="506">
        <v>0</v>
      </c>
      <c r="E1298" s="506">
        <v>318</v>
      </c>
      <c r="F1298" s="506">
        <v>317</v>
      </c>
      <c r="G1298" s="507">
        <v>1</v>
      </c>
      <c r="H1298" s="503"/>
      <c r="I1298" s="503"/>
      <c r="J1298" s="503"/>
      <c r="K1298" s="503"/>
    </row>
    <row r="1299" spans="1:11" ht="12.75" thickBot="1">
      <c r="A1299" s="508">
        <v>2141197008</v>
      </c>
      <c r="B1299" s="539" t="s">
        <v>1810</v>
      </c>
      <c r="C1299" s="509" t="s">
        <v>1208</v>
      </c>
      <c r="D1299" s="510">
        <v>0</v>
      </c>
      <c r="E1299" s="510">
        <v>0</v>
      </c>
      <c r="F1299" s="510">
        <v>100</v>
      </c>
      <c r="G1299" s="511">
        <v>0</v>
      </c>
      <c r="H1299" s="503"/>
      <c r="I1299" s="503"/>
      <c r="J1299" s="503"/>
      <c r="K1299" s="503"/>
    </row>
    <row r="1300" spans="1:11" ht="12.75" thickBot="1">
      <c r="A1300" s="1489" t="s">
        <v>1811</v>
      </c>
      <c r="B1300" s="1490"/>
      <c r="C1300" s="1490"/>
      <c r="D1300" s="513">
        <f>SUM(D541:D1299)</f>
        <v>3141620</v>
      </c>
      <c r="E1300" s="513">
        <f>SUM(E541:E1299)</f>
        <v>3386094</v>
      </c>
      <c r="F1300" s="513">
        <f>SUM(F541:F1299)</f>
        <v>3144178</v>
      </c>
      <c r="G1300" s="514">
        <f>SUM(G541:G1299)</f>
        <v>524535</v>
      </c>
      <c r="H1300" s="503"/>
      <c r="I1300" s="503"/>
      <c r="J1300" s="503"/>
      <c r="K1300" s="503"/>
    </row>
    <row r="1301" spans="1:11" ht="12">
      <c r="A1301" s="499">
        <v>2142115178</v>
      </c>
      <c r="B1301" s="539" t="s">
        <v>1812</v>
      </c>
      <c r="C1301" s="500" t="s">
        <v>152</v>
      </c>
      <c r="D1301" s="501">
        <v>0</v>
      </c>
      <c r="E1301" s="501">
        <v>951</v>
      </c>
      <c r="F1301" s="501">
        <v>950</v>
      </c>
      <c r="G1301" s="502">
        <v>0</v>
      </c>
      <c r="H1301" s="503"/>
      <c r="I1301" s="503"/>
      <c r="J1301" s="503"/>
      <c r="K1301" s="503"/>
    </row>
    <row r="1302" spans="1:11" ht="12">
      <c r="A1302" s="504">
        <v>2142116020</v>
      </c>
      <c r="B1302" s="539" t="s">
        <v>1813</v>
      </c>
      <c r="C1302" s="505" t="s">
        <v>150</v>
      </c>
      <c r="D1302" s="506">
        <v>300</v>
      </c>
      <c r="E1302" s="506">
        <v>0</v>
      </c>
      <c r="F1302" s="506">
        <v>0</v>
      </c>
      <c r="G1302" s="507">
        <v>0</v>
      </c>
      <c r="H1302" s="503"/>
      <c r="I1302" s="503"/>
      <c r="J1302" s="503"/>
      <c r="K1302" s="503"/>
    </row>
    <row r="1303" spans="1:11" ht="12">
      <c r="A1303" s="504">
        <v>2142116287</v>
      </c>
      <c r="B1303" s="539" t="s">
        <v>1814</v>
      </c>
      <c r="C1303" s="505" t="s">
        <v>154</v>
      </c>
      <c r="D1303" s="506">
        <v>344</v>
      </c>
      <c r="E1303" s="506">
        <v>344</v>
      </c>
      <c r="F1303" s="506">
        <v>344</v>
      </c>
      <c r="G1303" s="507">
        <v>0</v>
      </c>
      <c r="H1303" s="503"/>
      <c r="I1303" s="503"/>
      <c r="J1303" s="503"/>
      <c r="K1303" s="503"/>
    </row>
    <row r="1304" spans="1:11" ht="12">
      <c r="A1304" s="504">
        <v>2142116288</v>
      </c>
      <c r="B1304" s="539" t="s">
        <v>1815</v>
      </c>
      <c r="C1304" s="505" t="s">
        <v>154</v>
      </c>
      <c r="D1304" s="506">
        <v>199</v>
      </c>
      <c r="E1304" s="506">
        <v>199</v>
      </c>
      <c r="F1304" s="506">
        <v>199</v>
      </c>
      <c r="G1304" s="507">
        <v>0</v>
      </c>
      <c r="H1304" s="503"/>
      <c r="I1304" s="503"/>
      <c r="J1304" s="503"/>
      <c r="K1304" s="503"/>
    </row>
    <row r="1305" spans="1:11" ht="12">
      <c r="A1305" s="504">
        <v>2142116308</v>
      </c>
      <c r="B1305" s="539" t="s">
        <v>1816</v>
      </c>
      <c r="C1305" s="505" t="s">
        <v>115</v>
      </c>
      <c r="D1305" s="506">
        <v>0</v>
      </c>
      <c r="E1305" s="506">
        <v>238</v>
      </c>
      <c r="F1305" s="506">
        <v>238</v>
      </c>
      <c r="G1305" s="507">
        <v>0</v>
      </c>
      <c r="H1305" s="503"/>
      <c r="I1305" s="503"/>
      <c r="J1305" s="503"/>
      <c r="K1305" s="503"/>
    </row>
    <row r="1306" spans="1:11" ht="12">
      <c r="A1306" s="504">
        <v>2142116327</v>
      </c>
      <c r="B1306" s="539" t="s">
        <v>1817</v>
      </c>
      <c r="C1306" s="505" t="s">
        <v>113</v>
      </c>
      <c r="D1306" s="506">
        <v>0</v>
      </c>
      <c r="E1306" s="506">
        <v>49</v>
      </c>
      <c r="F1306" s="506">
        <v>49</v>
      </c>
      <c r="G1306" s="507">
        <v>0</v>
      </c>
      <c r="H1306" s="503"/>
      <c r="I1306" s="503"/>
      <c r="J1306" s="503"/>
      <c r="K1306" s="503"/>
    </row>
    <row r="1307" spans="1:11" ht="12">
      <c r="A1307" s="504">
        <v>2142116342</v>
      </c>
      <c r="B1307" s="539" t="s">
        <v>1818</v>
      </c>
      <c r="C1307" s="505" t="s">
        <v>115</v>
      </c>
      <c r="D1307" s="506">
        <v>0</v>
      </c>
      <c r="E1307" s="506">
        <v>106</v>
      </c>
      <c r="F1307" s="506">
        <v>105</v>
      </c>
      <c r="G1307" s="507">
        <v>1</v>
      </c>
      <c r="H1307" s="503"/>
      <c r="I1307" s="503"/>
      <c r="J1307" s="503"/>
      <c r="K1307" s="503"/>
    </row>
    <row r="1308" spans="1:11" ht="12">
      <c r="A1308" s="504">
        <v>2142116351</v>
      </c>
      <c r="B1308" s="539" t="s">
        <v>1819</v>
      </c>
      <c r="C1308" s="505" t="s">
        <v>150</v>
      </c>
      <c r="D1308" s="506">
        <v>0</v>
      </c>
      <c r="E1308" s="506">
        <v>1961</v>
      </c>
      <c r="F1308" s="506">
        <v>1960</v>
      </c>
      <c r="G1308" s="507">
        <v>1</v>
      </c>
      <c r="H1308" s="503"/>
      <c r="I1308" s="503"/>
      <c r="J1308" s="503"/>
      <c r="K1308" s="503"/>
    </row>
    <row r="1309" spans="1:11" ht="12">
      <c r="A1309" s="504">
        <v>2142116352</v>
      </c>
      <c r="B1309" s="539" t="s">
        <v>1820</v>
      </c>
      <c r="C1309" s="505" t="s">
        <v>156</v>
      </c>
      <c r="D1309" s="506">
        <v>0</v>
      </c>
      <c r="E1309" s="506">
        <v>2378</v>
      </c>
      <c r="F1309" s="506">
        <v>2378</v>
      </c>
      <c r="G1309" s="507">
        <v>0</v>
      </c>
      <c r="H1309" s="503"/>
      <c r="I1309" s="503"/>
      <c r="J1309" s="503"/>
      <c r="K1309" s="503"/>
    </row>
    <row r="1310" spans="1:11" ht="12">
      <c r="A1310" s="504">
        <v>2142116357</v>
      </c>
      <c r="B1310" s="539" t="s">
        <v>1821</v>
      </c>
      <c r="C1310" s="505" t="s">
        <v>745</v>
      </c>
      <c r="D1310" s="506">
        <v>0</v>
      </c>
      <c r="E1310" s="506">
        <v>310</v>
      </c>
      <c r="F1310" s="506">
        <v>310</v>
      </c>
      <c r="G1310" s="507">
        <v>0</v>
      </c>
      <c r="H1310" s="503"/>
      <c r="I1310" s="503"/>
      <c r="J1310" s="503"/>
      <c r="K1310" s="503"/>
    </row>
    <row r="1311" spans="1:11" ht="12">
      <c r="A1311" s="504">
        <v>2142116358</v>
      </c>
      <c r="B1311" s="539" t="s">
        <v>1822</v>
      </c>
      <c r="C1311" s="505" t="s">
        <v>745</v>
      </c>
      <c r="D1311" s="506">
        <v>0</v>
      </c>
      <c r="E1311" s="506">
        <v>400</v>
      </c>
      <c r="F1311" s="506">
        <v>400</v>
      </c>
      <c r="G1311" s="507">
        <v>0</v>
      </c>
      <c r="H1311" s="503"/>
      <c r="I1311" s="503"/>
      <c r="J1311" s="503"/>
      <c r="K1311" s="503"/>
    </row>
    <row r="1312" spans="1:11" ht="12">
      <c r="A1312" s="504">
        <v>2142116379</v>
      </c>
      <c r="B1312" s="539" t="s">
        <v>1823</v>
      </c>
      <c r="C1312" s="505" t="s">
        <v>390</v>
      </c>
      <c r="D1312" s="506">
        <v>0</v>
      </c>
      <c r="E1312" s="506">
        <v>478</v>
      </c>
      <c r="F1312" s="506">
        <v>477</v>
      </c>
      <c r="G1312" s="507">
        <v>1</v>
      </c>
      <c r="H1312" s="503"/>
      <c r="I1312" s="503"/>
      <c r="J1312" s="503"/>
      <c r="K1312" s="503"/>
    </row>
    <row r="1313" spans="1:11" ht="12">
      <c r="A1313" s="504">
        <v>2142117001</v>
      </c>
      <c r="B1313" s="539" t="s">
        <v>1824</v>
      </c>
      <c r="C1313" s="505" t="s">
        <v>390</v>
      </c>
      <c r="D1313" s="506">
        <v>130</v>
      </c>
      <c r="E1313" s="506">
        <v>130</v>
      </c>
      <c r="F1313" s="506">
        <v>130</v>
      </c>
      <c r="G1313" s="507">
        <v>0</v>
      </c>
      <c r="H1313" s="503"/>
      <c r="I1313" s="503"/>
      <c r="J1313" s="503"/>
      <c r="K1313" s="503"/>
    </row>
    <row r="1314" spans="1:11" ht="12">
      <c r="A1314" s="504">
        <v>2142117002</v>
      </c>
      <c r="B1314" s="539" t="s">
        <v>1825</v>
      </c>
      <c r="C1314" s="505" t="s">
        <v>390</v>
      </c>
      <c r="D1314" s="506">
        <v>55</v>
      </c>
      <c r="E1314" s="506">
        <v>55</v>
      </c>
      <c r="F1314" s="506">
        <v>55</v>
      </c>
      <c r="G1314" s="507">
        <v>0</v>
      </c>
      <c r="H1314" s="503"/>
      <c r="I1314" s="503"/>
      <c r="J1314" s="503"/>
      <c r="K1314" s="503"/>
    </row>
    <row r="1315" spans="1:11" ht="12">
      <c r="A1315" s="504">
        <v>2142117003</v>
      </c>
      <c r="B1315" s="539" t="s">
        <v>1826</v>
      </c>
      <c r="C1315" s="505" t="s">
        <v>390</v>
      </c>
      <c r="D1315" s="506">
        <v>350</v>
      </c>
      <c r="E1315" s="506">
        <v>350</v>
      </c>
      <c r="F1315" s="506">
        <v>349</v>
      </c>
      <c r="G1315" s="507">
        <v>1</v>
      </c>
      <c r="H1315" s="503"/>
      <c r="I1315" s="503"/>
      <c r="J1315" s="503"/>
      <c r="K1315" s="503"/>
    </row>
    <row r="1316" spans="1:11" ht="12">
      <c r="A1316" s="504">
        <v>2142117004</v>
      </c>
      <c r="B1316" s="539" t="s">
        <v>1827</v>
      </c>
      <c r="C1316" s="505" t="s">
        <v>390</v>
      </c>
      <c r="D1316" s="506">
        <v>150</v>
      </c>
      <c r="E1316" s="506">
        <v>153</v>
      </c>
      <c r="F1316" s="506">
        <v>153</v>
      </c>
      <c r="G1316" s="507">
        <v>0</v>
      </c>
      <c r="H1316" s="503"/>
      <c r="I1316" s="503"/>
      <c r="J1316" s="503"/>
      <c r="K1316" s="503"/>
    </row>
    <row r="1317" spans="1:11" ht="12">
      <c r="A1317" s="504">
        <v>2142117005</v>
      </c>
      <c r="B1317" s="539" t="s">
        <v>1828</v>
      </c>
      <c r="C1317" s="505" t="s">
        <v>390</v>
      </c>
      <c r="D1317" s="506">
        <v>95</v>
      </c>
      <c r="E1317" s="506">
        <v>92</v>
      </c>
      <c r="F1317" s="506">
        <v>92</v>
      </c>
      <c r="G1317" s="507">
        <v>0</v>
      </c>
      <c r="H1317" s="503"/>
      <c r="I1317" s="503"/>
      <c r="J1317" s="503"/>
      <c r="K1317" s="503"/>
    </row>
    <row r="1318" spans="1:11" ht="12">
      <c r="A1318" s="504">
        <v>2142117006</v>
      </c>
      <c r="B1318" s="539" t="s">
        <v>1783</v>
      </c>
      <c r="C1318" s="505" t="s">
        <v>390</v>
      </c>
      <c r="D1318" s="506">
        <v>65</v>
      </c>
      <c r="E1318" s="506">
        <v>65</v>
      </c>
      <c r="F1318" s="506">
        <v>65</v>
      </c>
      <c r="G1318" s="507">
        <v>0</v>
      </c>
      <c r="H1318" s="503"/>
      <c r="I1318" s="503"/>
      <c r="J1318" s="503"/>
      <c r="K1318" s="503"/>
    </row>
    <row r="1319" spans="1:11" ht="12">
      <c r="A1319" s="504">
        <v>2142117007</v>
      </c>
      <c r="B1319" s="539" t="s">
        <v>60</v>
      </c>
      <c r="C1319" s="505" t="s">
        <v>390</v>
      </c>
      <c r="D1319" s="506">
        <v>100</v>
      </c>
      <c r="E1319" s="506">
        <v>100</v>
      </c>
      <c r="F1319" s="506">
        <v>98</v>
      </c>
      <c r="G1319" s="507">
        <v>2</v>
      </c>
      <c r="H1319" s="503"/>
      <c r="I1319" s="503"/>
      <c r="J1319" s="503"/>
      <c r="K1319" s="503"/>
    </row>
    <row r="1320" spans="1:11" ht="12">
      <c r="A1320" s="504">
        <v>2142117008</v>
      </c>
      <c r="B1320" s="539" t="s">
        <v>1784</v>
      </c>
      <c r="C1320" s="505" t="s">
        <v>390</v>
      </c>
      <c r="D1320" s="506">
        <v>100</v>
      </c>
      <c r="E1320" s="506">
        <v>99</v>
      </c>
      <c r="F1320" s="506">
        <v>97</v>
      </c>
      <c r="G1320" s="507">
        <v>2</v>
      </c>
      <c r="H1320" s="503"/>
      <c r="I1320" s="503"/>
      <c r="J1320" s="503"/>
      <c r="K1320" s="503"/>
    </row>
    <row r="1321" spans="1:11" ht="12">
      <c r="A1321" s="504">
        <v>2142117009</v>
      </c>
      <c r="B1321" s="539" t="s">
        <v>1785</v>
      </c>
      <c r="C1321" s="505" t="s">
        <v>390</v>
      </c>
      <c r="D1321" s="506">
        <v>50</v>
      </c>
      <c r="E1321" s="506">
        <v>0</v>
      </c>
      <c r="F1321" s="506">
        <v>0</v>
      </c>
      <c r="G1321" s="507">
        <v>0</v>
      </c>
      <c r="H1321" s="503"/>
      <c r="I1321" s="503"/>
      <c r="J1321" s="503"/>
      <c r="K1321" s="503"/>
    </row>
    <row r="1322" spans="1:11" ht="12">
      <c r="A1322" s="504">
        <v>2142117010</v>
      </c>
      <c r="B1322" s="539" t="s">
        <v>1786</v>
      </c>
      <c r="C1322" s="505" t="s">
        <v>390</v>
      </c>
      <c r="D1322" s="506">
        <v>100</v>
      </c>
      <c r="E1322" s="506">
        <v>0</v>
      </c>
      <c r="F1322" s="506">
        <v>0</v>
      </c>
      <c r="G1322" s="507">
        <v>0</v>
      </c>
      <c r="H1322" s="503"/>
      <c r="I1322" s="503"/>
      <c r="J1322" s="503"/>
      <c r="K1322" s="503"/>
    </row>
    <row r="1323" spans="1:11" ht="12">
      <c r="A1323" s="504">
        <v>2142117011</v>
      </c>
      <c r="B1323" s="539" t="s">
        <v>1787</v>
      </c>
      <c r="C1323" s="505" t="s">
        <v>390</v>
      </c>
      <c r="D1323" s="506">
        <v>350</v>
      </c>
      <c r="E1323" s="506">
        <v>346</v>
      </c>
      <c r="F1323" s="506">
        <v>337</v>
      </c>
      <c r="G1323" s="507">
        <v>9</v>
      </c>
      <c r="H1323" s="503"/>
      <c r="I1323" s="503"/>
      <c r="J1323" s="503"/>
      <c r="K1323" s="503"/>
    </row>
    <row r="1324" spans="1:11" ht="12">
      <c r="A1324" s="504">
        <v>2142117012</v>
      </c>
      <c r="B1324" s="539" t="s">
        <v>1788</v>
      </c>
      <c r="C1324" s="505" t="s">
        <v>390</v>
      </c>
      <c r="D1324" s="506">
        <v>100</v>
      </c>
      <c r="E1324" s="506">
        <v>0</v>
      </c>
      <c r="F1324" s="506">
        <v>0</v>
      </c>
      <c r="G1324" s="507">
        <v>0</v>
      </c>
      <c r="H1324" s="503"/>
      <c r="I1324" s="503"/>
      <c r="J1324" s="503"/>
      <c r="K1324" s="503"/>
    </row>
    <row r="1325" spans="1:11" ht="12">
      <c r="A1325" s="504">
        <v>2142117013</v>
      </c>
      <c r="B1325" s="539" t="s">
        <v>1789</v>
      </c>
      <c r="C1325" s="505" t="s">
        <v>390</v>
      </c>
      <c r="D1325" s="506">
        <v>470</v>
      </c>
      <c r="E1325" s="506">
        <v>0</v>
      </c>
      <c r="F1325" s="506">
        <v>0</v>
      </c>
      <c r="G1325" s="507">
        <v>0</v>
      </c>
      <c r="H1325" s="503"/>
      <c r="I1325" s="503"/>
      <c r="J1325" s="503"/>
      <c r="K1325" s="503"/>
    </row>
    <row r="1326" spans="1:11" ht="12">
      <c r="A1326" s="504">
        <v>2142117014</v>
      </c>
      <c r="B1326" s="539" t="s">
        <v>1790</v>
      </c>
      <c r="C1326" s="505" t="s">
        <v>390</v>
      </c>
      <c r="D1326" s="506">
        <v>200</v>
      </c>
      <c r="E1326" s="506">
        <v>299</v>
      </c>
      <c r="F1326" s="506">
        <v>298</v>
      </c>
      <c r="G1326" s="507">
        <v>1</v>
      </c>
      <c r="H1326" s="503"/>
      <c r="I1326" s="503"/>
      <c r="J1326" s="503"/>
      <c r="K1326" s="503"/>
    </row>
    <row r="1327" spans="1:11" ht="12">
      <c r="A1327" s="504">
        <v>2142117015</v>
      </c>
      <c r="B1327" s="539" t="s">
        <v>1791</v>
      </c>
      <c r="C1327" s="505" t="s">
        <v>390</v>
      </c>
      <c r="D1327" s="506">
        <v>300</v>
      </c>
      <c r="E1327" s="506">
        <v>205</v>
      </c>
      <c r="F1327" s="506">
        <v>204</v>
      </c>
      <c r="G1327" s="507">
        <v>1</v>
      </c>
      <c r="H1327" s="503"/>
      <c r="I1327" s="503"/>
      <c r="J1327" s="503"/>
      <c r="K1327" s="503"/>
    </row>
    <row r="1328" spans="1:11" ht="12">
      <c r="A1328" s="504">
        <v>2142117016</v>
      </c>
      <c r="B1328" s="539" t="s">
        <v>307</v>
      </c>
      <c r="C1328" s="505" t="s">
        <v>390</v>
      </c>
      <c r="D1328" s="506">
        <v>3150</v>
      </c>
      <c r="E1328" s="506">
        <v>3600</v>
      </c>
      <c r="F1328" s="506">
        <v>3596</v>
      </c>
      <c r="G1328" s="507">
        <v>4</v>
      </c>
      <c r="H1328" s="503"/>
      <c r="I1328" s="503"/>
      <c r="J1328" s="503"/>
      <c r="K1328" s="503"/>
    </row>
    <row r="1329" spans="1:11" ht="12">
      <c r="A1329" s="504">
        <v>2142117017</v>
      </c>
      <c r="B1329" s="539" t="s">
        <v>684</v>
      </c>
      <c r="C1329" s="505" t="s">
        <v>390</v>
      </c>
      <c r="D1329" s="506">
        <v>85935</v>
      </c>
      <c r="E1329" s="506">
        <v>58526</v>
      </c>
      <c r="F1329" s="506">
        <v>58362</v>
      </c>
      <c r="G1329" s="507">
        <v>164</v>
      </c>
      <c r="H1329" s="503"/>
      <c r="I1329" s="503"/>
      <c r="J1329" s="503"/>
      <c r="K1329" s="503"/>
    </row>
    <row r="1330" spans="1:11" ht="12">
      <c r="A1330" s="504">
        <v>2142117018</v>
      </c>
      <c r="B1330" s="539" t="s">
        <v>1792</v>
      </c>
      <c r="C1330" s="505" t="s">
        <v>390</v>
      </c>
      <c r="D1330" s="506">
        <v>1250</v>
      </c>
      <c r="E1330" s="506">
        <v>1250</v>
      </c>
      <c r="F1330" s="506">
        <v>1180</v>
      </c>
      <c r="G1330" s="507">
        <v>70</v>
      </c>
      <c r="H1330" s="503"/>
      <c r="I1330" s="503"/>
      <c r="J1330" s="503"/>
      <c r="K1330" s="503"/>
    </row>
    <row r="1331" spans="1:11" ht="12">
      <c r="A1331" s="504">
        <v>2142117019</v>
      </c>
      <c r="B1331" s="539" t="s">
        <v>1793</v>
      </c>
      <c r="C1331" s="505" t="s">
        <v>390</v>
      </c>
      <c r="D1331" s="506">
        <v>6200</v>
      </c>
      <c r="E1331" s="506">
        <v>4600</v>
      </c>
      <c r="F1331" s="506">
        <v>4556</v>
      </c>
      <c r="G1331" s="507">
        <v>44</v>
      </c>
      <c r="H1331" s="503"/>
      <c r="I1331" s="503"/>
      <c r="J1331" s="503"/>
      <c r="K1331" s="503"/>
    </row>
    <row r="1332" spans="1:11" ht="12">
      <c r="A1332" s="504">
        <v>2142117020</v>
      </c>
      <c r="B1332" s="539" t="s">
        <v>1925</v>
      </c>
      <c r="C1332" s="505" t="s">
        <v>390</v>
      </c>
      <c r="D1332" s="506">
        <v>850</v>
      </c>
      <c r="E1332" s="506">
        <v>170</v>
      </c>
      <c r="F1332" s="506">
        <v>138</v>
      </c>
      <c r="G1332" s="507">
        <v>32</v>
      </c>
      <c r="H1332" s="503"/>
      <c r="I1332" s="503"/>
      <c r="J1332" s="503"/>
      <c r="K1332" s="503"/>
    </row>
    <row r="1333" spans="1:11" ht="12">
      <c r="A1333" s="504">
        <v>2142117021</v>
      </c>
      <c r="B1333" s="539" t="s">
        <v>1794</v>
      </c>
      <c r="C1333" s="505" t="s">
        <v>390</v>
      </c>
      <c r="D1333" s="506">
        <v>65000</v>
      </c>
      <c r="E1333" s="506">
        <v>27618</v>
      </c>
      <c r="F1333" s="506">
        <v>27617</v>
      </c>
      <c r="G1333" s="507">
        <v>1</v>
      </c>
      <c r="H1333" s="503"/>
      <c r="I1333" s="503"/>
      <c r="J1333" s="503"/>
      <c r="K1333" s="503"/>
    </row>
    <row r="1334" spans="1:11" ht="12">
      <c r="A1334" s="504">
        <v>2142117022</v>
      </c>
      <c r="B1334" s="539" t="s">
        <v>1817</v>
      </c>
      <c r="C1334" s="505" t="s">
        <v>390</v>
      </c>
      <c r="D1334" s="506">
        <v>476</v>
      </c>
      <c r="E1334" s="506">
        <v>616</v>
      </c>
      <c r="F1334" s="506">
        <v>615</v>
      </c>
      <c r="G1334" s="507">
        <v>1</v>
      </c>
      <c r="H1334" s="503"/>
      <c r="I1334" s="503"/>
      <c r="J1334" s="503"/>
      <c r="K1334" s="503"/>
    </row>
    <row r="1335" spans="1:11" ht="12">
      <c r="A1335" s="504">
        <v>2142117023</v>
      </c>
      <c r="B1335" s="539" t="s">
        <v>1795</v>
      </c>
      <c r="C1335" s="505" t="s">
        <v>390</v>
      </c>
      <c r="D1335" s="506">
        <v>353</v>
      </c>
      <c r="E1335" s="506">
        <v>383</v>
      </c>
      <c r="F1335" s="506">
        <v>382</v>
      </c>
      <c r="G1335" s="507">
        <v>0</v>
      </c>
      <c r="H1335" s="503"/>
      <c r="I1335" s="503"/>
      <c r="J1335" s="503"/>
      <c r="K1335" s="503"/>
    </row>
    <row r="1336" spans="1:11" ht="12">
      <c r="A1336" s="504">
        <v>2142117024</v>
      </c>
      <c r="B1336" s="539" t="s">
        <v>693</v>
      </c>
      <c r="C1336" s="505" t="s">
        <v>390</v>
      </c>
      <c r="D1336" s="506">
        <v>473</v>
      </c>
      <c r="E1336" s="506">
        <v>623</v>
      </c>
      <c r="F1336" s="506">
        <v>622</v>
      </c>
      <c r="G1336" s="507">
        <v>1</v>
      </c>
      <c r="H1336" s="503"/>
      <c r="I1336" s="503"/>
      <c r="J1336" s="503"/>
      <c r="K1336" s="503"/>
    </row>
    <row r="1337" spans="1:11" ht="12">
      <c r="A1337" s="504">
        <v>2142117025</v>
      </c>
      <c r="B1337" s="539" t="s">
        <v>1796</v>
      </c>
      <c r="C1337" s="505" t="s">
        <v>390</v>
      </c>
      <c r="D1337" s="506">
        <v>498</v>
      </c>
      <c r="E1337" s="506">
        <v>328</v>
      </c>
      <c r="F1337" s="506">
        <v>328</v>
      </c>
      <c r="G1337" s="507">
        <v>0</v>
      </c>
      <c r="H1337" s="503"/>
      <c r="I1337" s="503"/>
      <c r="J1337" s="503"/>
      <c r="K1337" s="503"/>
    </row>
    <row r="1338" spans="1:11" ht="12">
      <c r="A1338" s="504">
        <v>2142117026</v>
      </c>
      <c r="B1338" s="539" t="s">
        <v>1797</v>
      </c>
      <c r="C1338" s="505" t="s">
        <v>390</v>
      </c>
      <c r="D1338" s="506">
        <v>250</v>
      </c>
      <c r="E1338" s="506">
        <v>250</v>
      </c>
      <c r="F1338" s="506">
        <v>248</v>
      </c>
      <c r="G1338" s="507">
        <v>2</v>
      </c>
      <c r="H1338" s="503"/>
      <c r="I1338" s="503"/>
      <c r="J1338" s="503"/>
      <c r="K1338" s="503"/>
    </row>
    <row r="1339" spans="1:11" ht="12">
      <c r="A1339" s="504">
        <v>2142117027</v>
      </c>
      <c r="B1339" s="539" t="s">
        <v>1798</v>
      </c>
      <c r="C1339" s="505" t="s">
        <v>390</v>
      </c>
      <c r="D1339" s="506">
        <v>150</v>
      </c>
      <c r="E1339" s="506">
        <v>295</v>
      </c>
      <c r="F1339" s="506">
        <v>295</v>
      </c>
      <c r="G1339" s="507">
        <v>0</v>
      </c>
      <c r="H1339" s="503"/>
      <c r="I1339" s="503"/>
      <c r="J1339" s="503"/>
      <c r="K1339" s="503"/>
    </row>
    <row r="1340" spans="1:11" ht="12">
      <c r="A1340" s="504">
        <v>2142117028</v>
      </c>
      <c r="B1340" s="539" t="s">
        <v>1799</v>
      </c>
      <c r="C1340" s="505" t="s">
        <v>390</v>
      </c>
      <c r="D1340" s="506">
        <v>150</v>
      </c>
      <c r="E1340" s="506">
        <v>150</v>
      </c>
      <c r="F1340" s="506">
        <v>148</v>
      </c>
      <c r="G1340" s="507">
        <v>2</v>
      </c>
      <c r="H1340" s="503"/>
      <c r="I1340" s="503"/>
      <c r="J1340" s="503"/>
      <c r="K1340" s="503"/>
    </row>
    <row r="1341" spans="1:11" ht="12">
      <c r="A1341" s="504">
        <v>2142117029</v>
      </c>
      <c r="B1341" s="539" t="s">
        <v>1800</v>
      </c>
      <c r="C1341" s="505" t="s">
        <v>390</v>
      </c>
      <c r="D1341" s="506">
        <v>640</v>
      </c>
      <c r="E1341" s="506">
        <v>495</v>
      </c>
      <c r="F1341" s="506">
        <v>488</v>
      </c>
      <c r="G1341" s="507">
        <v>7</v>
      </c>
      <c r="H1341" s="503"/>
      <c r="I1341" s="503"/>
      <c r="J1341" s="503"/>
      <c r="K1341" s="503"/>
    </row>
    <row r="1342" spans="1:11" ht="12">
      <c r="A1342" s="504">
        <v>2142117030</v>
      </c>
      <c r="B1342" s="539" t="s">
        <v>2309</v>
      </c>
      <c r="C1342" s="505" t="s">
        <v>390</v>
      </c>
      <c r="D1342" s="506">
        <v>10</v>
      </c>
      <c r="E1342" s="506">
        <v>10</v>
      </c>
      <c r="F1342" s="506">
        <v>5</v>
      </c>
      <c r="G1342" s="507">
        <v>5</v>
      </c>
      <c r="H1342" s="503"/>
      <c r="I1342" s="503"/>
      <c r="J1342" s="503"/>
      <c r="K1342" s="503"/>
    </row>
    <row r="1343" spans="1:11" ht="12">
      <c r="A1343" s="504">
        <v>2142117031</v>
      </c>
      <c r="B1343" s="539" t="s">
        <v>2310</v>
      </c>
      <c r="C1343" s="505" t="s">
        <v>390</v>
      </c>
      <c r="D1343" s="506">
        <v>70</v>
      </c>
      <c r="E1343" s="506">
        <v>70</v>
      </c>
      <c r="F1343" s="506">
        <v>70</v>
      </c>
      <c r="G1343" s="507">
        <v>0</v>
      </c>
      <c r="H1343" s="503"/>
      <c r="I1343" s="503"/>
      <c r="J1343" s="503"/>
      <c r="K1343" s="503"/>
    </row>
    <row r="1344" spans="1:11" ht="12">
      <c r="A1344" s="504">
        <v>2142117032</v>
      </c>
      <c r="B1344" s="539" t="s">
        <v>2311</v>
      </c>
      <c r="C1344" s="505" t="s">
        <v>390</v>
      </c>
      <c r="D1344" s="506">
        <v>150</v>
      </c>
      <c r="E1344" s="506">
        <v>170</v>
      </c>
      <c r="F1344" s="506">
        <v>170</v>
      </c>
      <c r="G1344" s="507">
        <v>0</v>
      </c>
      <c r="H1344" s="503"/>
      <c r="I1344" s="503"/>
      <c r="J1344" s="503"/>
      <c r="K1344" s="503"/>
    </row>
    <row r="1345" spans="1:11" ht="12">
      <c r="A1345" s="504">
        <v>2142117033</v>
      </c>
      <c r="B1345" s="539" t="s">
        <v>2312</v>
      </c>
      <c r="C1345" s="505" t="s">
        <v>390</v>
      </c>
      <c r="D1345" s="506">
        <v>500</v>
      </c>
      <c r="E1345" s="506">
        <v>490</v>
      </c>
      <c r="F1345" s="506">
        <v>489</v>
      </c>
      <c r="G1345" s="507">
        <v>1</v>
      </c>
      <c r="H1345" s="503"/>
      <c r="I1345" s="503"/>
      <c r="J1345" s="503"/>
      <c r="K1345" s="503"/>
    </row>
    <row r="1346" spans="1:11" ht="12">
      <c r="A1346" s="504">
        <v>2142117034</v>
      </c>
      <c r="B1346" s="539" t="s">
        <v>2313</v>
      </c>
      <c r="C1346" s="505" t="s">
        <v>390</v>
      </c>
      <c r="D1346" s="506">
        <v>250</v>
      </c>
      <c r="E1346" s="506">
        <v>240</v>
      </c>
      <c r="F1346" s="506">
        <v>240</v>
      </c>
      <c r="G1346" s="507">
        <v>0</v>
      </c>
      <c r="H1346" s="503"/>
      <c r="I1346" s="503"/>
      <c r="J1346" s="503"/>
      <c r="K1346" s="503"/>
    </row>
    <row r="1347" spans="1:11" ht="12">
      <c r="A1347" s="504">
        <v>2142117035</v>
      </c>
      <c r="B1347" s="539" t="s">
        <v>2314</v>
      </c>
      <c r="C1347" s="505" t="s">
        <v>390</v>
      </c>
      <c r="D1347" s="506">
        <v>260</v>
      </c>
      <c r="E1347" s="506">
        <v>260</v>
      </c>
      <c r="F1347" s="506">
        <v>254</v>
      </c>
      <c r="G1347" s="507">
        <v>6</v>
      </c>
      <c r="H1347" s="503"/>
      <c r="I1347" s="503"/>
      <c r="J1347" s="503"/>
      <c r="K1347" s="503"/>
    </row>
    <row r="1348" spans="1:11" ht="12">
      <c r="A1348" s="504">
        <v>2142117036</v>
      </c>
      <c r="B1348" s="539" t="s">
        <v>889</v>
      </c>
      <c r="C1348" s="505" t="s">
        <v>390</v>
      </c>
      <c r="D1348" s="506">
        <v>125</v>
      </c>
      <c r="E1348" s="506">
        <v>125</v>
      </c>
      <c r="F1348" s="506">
        <v>121</v>
      </c>
      <c r="G1348" s="507">
        <v>4</v>
      </c>
      <c r="H1348" s="503"/>
      <c r="I1348" s="503"/>
      <c r="J1348" s="503"/>
      <c r="K1348" s="503"/>
    </row>
    <row r="1349" spans="1:11" ht="12">
      <c r="A1349" s="504">
        <v>2142117037</v>
      </c>
      <c r="B1349" s="539" t="s">
        <v>890</v>
      </c>
      <c r="C1349" s="505" t="s">
        <v>390</v>
      </c>
      <c r="D1349" s="506">
        <v>100</v>
      </c>
      <c r="E1349" s="506">
        <v>100</v>
      </c>
      <c r="F1349" s="506">
        <v>100</v>
      </c>
      <c r="G1349" s="507">
        <v>0</v>
      </c>
      <c r="H1349" s="503"/>
      <c r="I1349" s="503"/>
      <c r="J1349" s="503"/>
      <c r="K1349" s="503"/>
    </row>
    <row r="1350" spans="1:11" ht="12">
      <c r="A1350" s="504">
        <v>2142117038</v>
      </c>
      <c r="B1350" s="539" t="s">
        <v>891</v>
      </c>
      <c r="C1350" s="505" t="s">
        <v>390</v>
      </c>
      <c r="D1350" s="506">
        <v>145</v>
      </c>
      <c r="E1350" s="506">
        <v>145</v>
      </c>
      <c r="F1350" s="506">
        <v>126</v>
      </c>
      <c r="G1350" s="507">
        <v>19</v>
      </c>
      <c r="H1350" s="503"/>
      <c r="I1350" s="503"/>
      <c r="J1350" s="503"/>
      <c r="K1350" s="503"/>
    </row>
    <row r="1351" spans="1:11" ht="12">
      <c r="A1351" s="504">
        <v>2142117039</v>
      </c>
      <c r="B1351" s="539" t="s">
        <v>892</v>
      </c>
      <c r="C1351" s="505" t="s">
        <v>390</v>
      </c>
      <c r="D1351" s="506">
        <v>180</v>
      </c>
      <c r="E1351" s="506">
        <v>140</v>
      </c>
      <c r="F1351" s="506">
        <v>139</v>
      </c>
      <c r="G1351" s="507">
        <v>1</v>
      </c>
      <c r="H1351" s="503"/>
      <c r="I1351" s="503"/>
      <c r="J1351" s="503"/>
      <c r="K1351" s="503"/>
    </row>
    <row r="1352" spans="1:11" ht="12">
      <c r="A1352" s="504">
        <v>2142117040</v>
      </c>
      <c r="B1352" s="539" t="s">
        <v>893</v>
      </c>
      <c r="C1352" s="505" t="s">
        <v>390</v>
      </c>
      <c r="D1352" s="506">
        <v>320</v>
      </c>
      <c r="E1352" s="506">
        <v>262</v>
      </c>
      <c r="F1352" s="506">
        <v>260</v>
      </c>
      <c r="G1352" s="507">
        <v>2</v>
      </c>
      <c r="H1352" s="503"/>
      <c r="I1352" s="503"/>
      <c r="J1352" s="503"/>
      <c r="K1352" s="503"/>
    </row>
    <row r="1353" spans="1:11" ht="12">
      <c r="A1353" s="504">
        <v>2142117041</v>
      </c>
      <c r="B1353" s="539" t="s">
        <v>894</v>
      </c>
      <c r="C1353" s="505" t="s">
        <v>390</v>
      </c>
      <c r="D1353" s="506">
        <v>250</v>
      </c>
      <c r="E1353" s="506">
        <v>158</v>
      </c>
      <c r="F1353" s="506">
        <v>158</v>
      </c>
      <c r="G1353" s="507">
        <v>0</v>
      </c>
      <c r="H1353" s="503"/>
      <c r="I1353" s="503"/>
      <c r="J1353" s="503"/>
      <c r="K1353" s="503"/>
    </row>
    <row r="1354" spans="1:11" ht="12">
      <c r="A1354" s="504">
        <v>2142117042</v>
      </c>
      <c r="B1354" s="539" t="s">
        <v>895</v>
      </c>
      <c r="C1354" s="505" t="s">
        <v>390</v>
      </c>
      <c r="D1354" s="506">
        <v>10</v>
      </c>
      <c r="E1354" s="506">
        <v>0</v>
      </c>
      <c r="F1354" s="506">
        <v>0</v>
      </c>
      <c r="G1354" s="507">
        <v>0</v>
      </c>
      <c r="H1354" s="503"/>
      <c r="I1354" s="503"/>
      <c r="J1354" s="503"/>
      <c r="K1354" s="503"/>
    </row>
    <row r="1355" spans="1:11" ht="12">
      <c r="A1355" s="504">
        <v>2142117043</v>
      </c>
      <c r="B1355" s="539" t="s">
        <v>1933</v>
      </c>
      <c r="C1355" s="505" t="s">
        <v>390</v>
      </c>
      <c r="D1355" s="506">
        <v>136</v>
      </c>
      <c r="E1355" s="506">
        <v>136</v>
      </c>
      <c r="F1355" s="506">
        <v>124</v>
      </c>
      <c r="G1355" s="507">
        <v>12</v>
      </c>
      <c r="H1355" s="503"/>
      <c r="I1355" s="503"/>
      <c r="J1355" s="503"/>
      <c r="K1355" s="503"/>
    </row>
    <row r="1356" spans="1:11" ht="12">
      <c r="A1356" s="504">
        <v>2142117044</v>
      </c>
      <c r="B1356" s="539" t="s">
        <v>1934</v>
      </c>
      <c r="C1356" s="505" t="s">
        <v>390</v>
      </c>
      <c r="D1356" s="506">
        <v>525</v>
      </c>
      <c r="E1356" s="506">
        <v>255</v>
      </c>
      <c r="F1356" s="506">
        <v>244</v>
      </c>
      <c r="G1356" s="507">
        <v>11</v>
      </c>
      <c r="H1356" s="503"/>
      <c r="I1356" s="503"/>
      <c r="J1356" s="503"/>
      <c r="K1356" s="503"/>
    </row>
    <row r="1357" spans="1:11" ht="12">
      <c r="A1357" s="504">
        <v>2142117045</v>
      </c>
      <c r="B1357" s="539" t="s">
        <v>1935</v>
      </c>
      <c r="C1357" s="505" t="s">
        <v>390</v>
      </c>
      <c r="D1357" s="506">
        <v>1583</v>
      </c>
      <c r="E1357" s="506">
        <v>1083</v>
      </c>
      <c r="F1357" s="506">
        <v>1081</v>
      </c>
      <c r="G1357" s="507">
        <v>2</v>
      </c>
      <c r="H1357" s="503"/>
      <c r="I1357" s="503"/>
      <c r="J1357" s="503"/>
      <c r="K1357" s="503"/>
    </row>
    <row r="1358" spans="1:11" ht="12">
      <c r="A1358" s="504">
        <v>2142117046</v>
      </c>
      <c r="B1358" s="539" t="s">
        <v>1936</v>
      </c>
      <c r="C1358" s="505" t="s">
        <v>390</v>
      </c>
      <c r="D1358" s="506">
        <v>80</v>
      </c>
      <c r="E1358" s="506">
        <v>80</v>
      </c>
      <c r="F1358" s="506">
        <v>80</v>
      </c>
      <c r="G1358" s="507">
        <v>0</v>
      </c>
      <c r="H1358" s="503"/>
      <c r="I1358" s="503"/>
      <c r="J1358" s="503"/>
      <c r="K1358" s="503"/>
    </row>
    <row r="1359" spans="1:11" ht="12">
      <c r="A1359" s="504">
        <v>2142117047</v>
      </c>
      <c r="B1359" s="539" t="s">
        <v>1937</v>
      </c>
      <c r="C1359" s="505" t="s">
        <v>390</v>
      </c>
      <c r="D1359" s="506">
        <v>300</v>
      </c>
      <c r="E1359" s="506">
        <v>250</v>
      </c>
      <c r="F1359" s="506">
        <v>250</v>
      </c>
      <c r="G1359" s="507">
        <v>0</v>
      </c>
      <c r="H1359" s="503"/>
      <c r="I1359" s="503"/>
      <c r="J1359" s="503"/>
      <c r="K1359" s="503"/>
    </row>
    <row r="1360" spans="1:11" ht="12">
      <c r="A1360" s="504">
        <v>2142117048</v>
      </c>
      <c r="B1360" s="539" t="s">
        <v>1938</v>
      </c>
      <c r="C1360" s="505" t="s">
        <v>390</v>
      </c>
      <c r="D1360" s="506">
        <v>350</v>
      </c>
      <c r="E1360" s="506">
        <v>250</v>
      </c>
      <c r="F1360" s="506">
        <v>250</v>
      </c>
      <c r="G1360" s="507">
        <v>0</v>
      </c>
      <c r="H1360" s="503"/>
      <c r="I1360" s="503"/>
      <c r="J1360" s="503"/>
      <c r="K1360" s="503"/>
    </row>
    <row r="1361" spans="1:11" ht="12">
      <c r="A1361" s="504">
        <v>2142117049</v>
      </c>
      <c r="B1361" s="539" t="s">
        <v>1939</v>
      </c>
      <c r="C1361" s="505" t="s">
        <v>390</v>
      </c>
      <c r="D1361" s="506">
        <v>650</v>
      </c>
      <c r="E1361" s="506">
        <v>1035</v>
      </c>
      <c r="F1361" s="506">
        <v>1034</v>
      </c>
      <c r="G1361" s="507">
        <v>1</v>
      </c>
      <c r="H1361" s="503"/>
      <c r="I1361" s="503"/>
      <c r="J1361" s="503"/>
      <c r="K1361" s="503"/>
    </row>
    <row r="1362" spans="1:11" ht="12">
      <c r="A1362" s="504">
        <v>2142117050</v>
      </c>
      <c r="B1362" s="539" t="s">
        <v>1940</v>
      </c>
      <c r="C1362" s="505" t="s">
        <v>390</v>
      </c>
      <c r="D1362" s="506">
        <v>260</v>
      </c>
      <c r="E1362" s="506">
        <v>221</v>
      </c>
      <c r="F1362" s="506">
        <v>216</v>
      </c>
      <c r="G1362" s="507">
        <v>5</v>
      </c>
      <c r="H1362" s="503"/>
      <c r="I1362" s="503"/>
      <c r="J1362" s="503"/>
      <c r="K1362" s="503"/>
    </row>
    <row r="1363" spans="1:11" ht="12">
      <c r="A1363" s="504">
        <v>2142117051</v>
      </c>
      <c r="B1363" s="539" t="s">
        <v>1941</v>
      </c>
      <c r="C1363" s="505" t="s">
        <v>390</v>
      </c>
      <c r="D1363" s="506">
        <v>545</v>
      </c>
      <c r="E1363" s="506">
        <v>383</v>
      </c>
      <c r="F1363" s="506">
        <v>381</v>
      </c>
      <c r="G1363" s="507">
        <v>2</v>
      </c>
      <c r="H1363" s="503"/>
      <c r="I1363" s="503"/>
      <c r="J1363" s="503"/>
      <c r="K1363" s="503"/>
    </row>
    <row r="1364" spans="1:11" ht="12">
      <c r="A1364" s="504">
        <v>2142117052</v>
      </c>
      <c r="B1364" s="539" t="s">
        <v>1942</v>
      </c>
      <c r="C1364" s="505" t="s">
        <v>390</v>
      </c>
      <c r="D1364" s="506">
        <v>308</v>
      </c>
      <c r="E1364" s="506">
        <v>308</v>
      </c>
      <c r="F1364" s="506">
        <v>308</v>
      </c>
      <c r="G1364" s="507">
        <v>0</v>
      </c>
      <c r="H1364" s="503"/>
      <c r="I1364" s="503"/>
      <c r="J1364" s="503"/>
      <c r="K1364" s="503"/>
    </row>
    <row r="1365" spans="1:11" ht="12">
      <c r="A1365" s="504">
        <v>2142117053</v>
      </c>
      <c r="B1365" s="539" t="s">
        <v>1943</v>
      </c>
      <c r="C1365" s="505" t="s">
        <v>390</v>
      </c>
      <c r="D1365" s="506">
        <v>47</v>
      </c>
      <c r="E1365" s="506">
        <v>47</v>
      </c>
      <c r="F1365" s="506">
        <v>47</v>
      </c>
      <c r="G1365" s="507">
        <v>0</v>
      </c>
      <c r="H1365" s="503"/>
      <c r="I1365" s="503"/>
      <c r="J1365" s="503"/>
      <c r="K1365" s="503"/>
    </row>
    <row r="1366" spans="1:11" ht="12">
      <c r="A1366" s="504">
        <v>2142117054</v>
      </c>
      <c r="B1366" s="539" t="s">
        <v>1944</v>
      </c>
      <c r="C1366" s="505" t="s">
        <v>109</v>
      </c>
      <c r="D1366" s="506">
        <v>950</v>
      </c>
      <c r="E1366" s="506">
        <v>0</v>
      </c>
      <c r="F1366" s="506">
        <v>950</v>
      </c>
      <c r="G1366" s="507">
        <v>0</v>
      </c>
      <c r="H1366" s="503"/>
      <c r="I1366" s="503"/>
      <c r="J1366" s="503"/>
      <c r="K1366" s="503"/>
    </row>
    <row r="1367" spans="1:11" ht="12">
      <c r="A1367" s="504">
        <v>2142117055</v>
      </c>
      <c r="B1367" s="539" t="s">
        <v>1945</v>
      </c>
      <c r="C1367" s="505" t="s">
        <v>109</v>
      </c>
      <c r="D1367" s="506">
        <v>3390</v>
      </c>
      <c r="E1367" s="506">
        <v>3390</v>
      </c>
      <c r="F1367" s="506">
        <v>3389</v>
      </c>
      <c r="G1367" s="507">
        <v>1</v>
      </c>
      <c r="H1367" s="503"/>
      <c r="I1367" s="503"/>
      <c r="J1367" s="503"/>
      <c r="K1367" s="503"/>
    </row>
    <row r="1368" spans="1:11" ht="12">
      <c r="A1368" s="504">
        <v>2142117056</v>
      </c>
      <c r="B1368" s="539" t="s">
        <v>684</v>
      </c>
      <c r="C1368" s="505" t="s">
        <v>109</v>
      </c>
      <c r="D1368" s="506">
        <v>7200</v>
      </c>
      <c r="E1368" s="506">
        <v>8120</v>
      </c>
      <c r="F1368" s="506">
        <v>8120</v>
      </c>
      <c r="G1368" s="507">
        <v>0</v>
      </c>
      <c r="H1368" s="503"/>
      <c r="I1368" s="503"/>
      <c r="J1368" s="503"/>
      <c r="K1368" s="503"/>
    </row>
    <row r="1369" spans="1:11" ht="12">
      <c r="A1369" s="504">
        <v>2142117057</v>
      </c>
      <c r="B1369" s="539" t="s">
        <v>1792</v>
      </c>
      <c r="C1369" s="505" t="s">
        <v>109</v>
      </c>
      <c r="D1369" s="506">
        <v>50</v>
      </c>
      <c r="E1369" s="506">
        <v>50</v>
      </c>
      <c r="F1369" s="506">
        <v>31</v>
      </c>
      <c r="G1369" s="507">
        <v>19</v>
      </c>
      <c r="H1369" s="503"/>
      <c r="I1369" s="503"/>
      <c r="J1369" s="503"/>
      <c r="K1369" s="503"/>
    </row>
    <row r="1370" spans="1:11" ht="12">
      <c r="A1370" s="504">
        <v>2142117058</v>
      </c>
      <c r="B1370" s="539" t="s">
        <v>1946</v>
      </c>
      <c r="C1370" s="505" t="s">
        <v>109</v>
      </c>
      <c r="D1370" s="506">
        <v>2960</v>
      </c>
      <c r="E1370" s="506">
        <v>860</v>
      </c>
      <c r="F1370" s="506">
        <v>859</v>
      </c>
      <c r="G1370" s="507">
        <v>1</v>
      </c>
      <c r="H1370" s="503"/>
      <c r="I1370" s="503"/>
      <c r="J1370" s="503"/>
      <c r="K1370" s="503"/>
    </row>
    <row r="1371" spans="1:11" ht="12">
      <c r="A1371" s="504">
        <v>2142117059</v>
      </c>
      <c r="B1371" s="539" t="s">
        <v>1925</v>
      </c>
      <c r="C1371" s="505" t="s">
        <v>109</v>
      </c>
      <c r="D1371" s="506">
        <v>200</v>
      </c>
      <c r="E1371" s="506">
        <v>10</v>
      </c>
      <c r="F1371" s="506">
        <v>10</v>
      </c>
      <c r="G1371" s="507">
        <v>0</v>
      </c>
      <c r="H1371" s="503"/>
      <c r="I1371" s="503"/>
      <c r="J1371" s="503"/>
      <c r="K1371" s="503"/>
    </row>
    <row r="1372" spans="1:11" ht="12">
      <c r="A1372" s="504">
        <v>2142117060</v>
      </c>
      <c r="B1372" s="539" t="s">
        <v>1947</v>
      </c>
      <c r="C1372" s="505" t="s">
        <v>152</v>
      </c>
      <c r="D1372" s="506">
        <v>3000</v>
      </c>
      <c r="E1372" s="506">
        <v>0</v>
      </c>
      <c r="F1372" s="506">
        <v>0</v>
      </c>
      <c r="G1372" s="507">
        <v>0</v>
      </c>
      <c r="H1372" s="503"/>
      <c r="I1372" s="503"/>
      <c r="J1372" s="503"/>
      <c r="K1372" s="503"/>
    </row>
    <row r="1373" spans="1:11" ht="12">
      <c r="A1373" s="504">
        <v>2142117061</v>
      </c>
      <c r="B1373" s="539" t="s">
        <v>1948</v>
      </c>
      <c r="C1373" s="505" t="s">
        <v>152</v>
      </c>
      <c r="D1373" s="506">
        <v>150</v>
      </c>
      <c r="E1373" s="506">
        <v>350</v>
      </c>
      <c r="F1373" s="506">
        <v>349</v>
      </c>
      <c r="G1373" s="507">
        <v>0</v>
      </c>
      <c r="H1373" s="503"/>
      <c r="I1373" s="503"/>
      <c r="J1373" s="503"/>
      <c r="K1373" s="503"/>
    </row>
    <row r="1374" spans="1:11" ht="12">
      <c r="A1374" s="504">
        <v>2142117062</v>
      </c>
      <c r="B1374" s="539" t="s">
        <v>1949</v>
      </c>
      <c r="C1374" s="505" t="s">
        <v>152</v>
      </c>
      <c r="D1374" s="506">
        <v>300</v>
      </c>
      <c r="E1374" s="506">
        <v>0</v>
      </c>
      <c r="F1374" s="506">
        <v>0</v>
      </c>
      <c r="G1374" s="507">
        <v>0</v>
      </c>
      <c r="H1374" s="503"/>
      <c r="I1374" s="503"/>
      <c r="J1374" s="503"/>
      <c r="K1374" s="503"/>
    </row>
    <row r="1375" spans="1:11" ht="12">
      <c r="A1375" s="504">
        <v>2142117063</v>
      </c>
      <c r="B1375" s="539" t="s">
        <v>1950</v>
      </c>
      <c r="C1375" s="505" t="s">
        <v>152</v>
      </c>
      <c r="D1375" s="506">
        <v>600</v>
      </c>
      <c r="E1375" s="506">
        <v>0</v>
      </c>
      <c r="F1375" s="506">
        <v>597</v>
      </c>
      <c r="G1375" s="507">
        <v>0</v>
      </c>
      <c r="H1375" s="503"/>
      <c r="I1375" s="503"/>
      <c r="J1375" s="503"/>
      <c r="K1375" s="503"/>
    </row>
    <row r="1376" spans="1:11" ht="12">
      <c r="A1376" s="504">
        <v>2142117064</v>
      </c>
      <c r="B1376" s="539" t="s">
        <v>1951</v>
      </c>
      <c r="C1376" s="505" t="s">
        <v>152</v>
      </c>
      <c r="D1376" s="506">
        <v>1300</v>
      </c>
      <c r="E1376" s="506">
        <v>0</v>
      </c>
      <c r="F1376" s="506">
        <v>1297</v>
      </c>
      <c r="G1376" s="507">
        <v>0</v>
      </c>
      <c r="H1376" s="503"/>
      <c r="I1376" s="503"/>
      <c r="J1376" s="503"/>
      <c r="K1376" s="503"/>
    </row>
    <row r="1377" spans="1:11" ht="12">
      <c r="A1377" s="504">
        <v>2142117065</v>
      </c>
      <c r="B1377" s="539" t="s">
        <v>1952</v>
      </c>
      <c r="C1377" s="505" t="s">
        <v>152</v>
      </c>
      <c r="D1377" s="506">
        <v>400</v>
      </c>
      <c r="E1377" s="506">
        <v>330</v>
      </c>
      <c r="F1377" s="506">
        <v>330</v>
      </c>
      <c r="G1377" s="507">
        <v>0</v>
      </c>
      <c r="H1377" s="503"/>
      <c r="I1377" s="503"/>
      <c r="J1377" s="503"/>
      <c r="K1377" s="503"/>
    </row>
    <row r="1378" spans="1:11" ht="12">
      <c r="A1378" s="504">
        <v>2142117066</v>
      </c>
      <c r="B1378" s="539" t="s">
        <v>1953</v>
      </c>
      <c r="C1378" s="505" t="s">
        <v>152</v>
      </c>
      <c r="D1378" s="506">
        <v>400</v>
      </c>
      <c r="E1378" s="506">
        <v>0</v>
      </c>
      <c r="F1378" s="506">
        <v>0</v>
      </c>
      <c r="G1378" s="507">
        <v>0</v>
      </c>
      <c r="H1378" s="503"/>
      <c r="I1378" s="503"/>
      <c r="J1378" s="503"/>
      <c r="K1378" s="503"/>
    </row>
    <row r="1379" spans="1:11" ht="12">
      <c r="A1379" s="504">
        <v>2142117067</v>
      </c>
      <c r="B1379" s="539" t="s">
        <v>1954</v>
      </c>
      <c r="C1379" s="505" t="s">
        <v>152</v>
      </c>
      <c r="D1379" s="506">
        <v>490</v>
      </c>
      <c r="E1379" s="506">
        <v>0</v>
      </c>
      <c r="F1379" s="506">
        <v>0</v>
      </c>
      <c r="G1379" s="507">
        <v>0</v>
      </c>
      <c r="H1379" s="503"/>
      <c r="I1379" s="503"/>
      <c r="J1379" s="503"/>
      <c r="K1379" s="503"/>
    </row>
    <row r="1380" spans="1:11" ht="12">
      <c r="A1380" s="504">
        <v>2142117068</v>
      </c>
      <c r="B1380" s="539" t="s">
        <v>1955</v>
      </c>
      <c r="C1380" s="505" t="s">
        <v>152</v>
      </c>
      <c r="D1380" s="506">
        <v>600</v>
      </c>
      <c r="E1380" s="506">
        <v>595</v>
      </c>
      <c r="F1380" s="506">
        <v>595</v>
      </c>
      <c r="G1380" s="507">
        <v>0</v>
      </c>
      <c r="H1380" s="503"/>
      <c r="I1380" s="503"/>
      <c r="J1380" s="503"/>
      <c r="K1380" s="503"/>
    </row>
    <row r="1381" spans="1:11" ht="12">
      <c r="A1381" s="504">
        <v>2142117069</v>
      </c>
      <c r="B1381" s="539" t="s">
        <v>1956</v>
      </c>
      <c r="C1381" s="505" t="s">
        <v>152</v>
      </c>
      <c r="D1381" s="506">
        <v>158</v>
      </c>
      <c r="E1381" s="506">
        <v>0</v>
      </c>
      <c r="F1381" s="506">
        <v>0</v>
      </c>
      <c r="G1381" s="507">
        <v>0</v>
      </c>
      <c r="H1381" s="503"/>
      <c r="I1381" s="503"/>
      <c r="J1381" s="503"/>
      <c r="K1381" s="503"/>
    </row>
    <row r="1382" spans="1:11" ht="12">
      <c r="A1382" s="504">
        <v>2142117070</v>
      </c>
      <c r="B1382" s="539" t="s">
        <v>1957</v>
      </c>
      <c r="C1382" s="505" t="s">
        <v>152</v>
      </c>
      <c r="D1382" s="506">
        <v>4610</v>
      </c>
      <c r="E1382" s="506">
        <v>4463</v>
      </c>
      <c r="F1382" s="506">
        <v>4457</v>
      </c>
      <c r="G1382" s="507">
        <v>5</v>
      </c>
      <c r="H1382" s="503"/>
      <c r="I1382" s="503"/>
      <c r="J1382" s="503"/>
      <c r="K1382" s="503"/>
    </row>
    <row r="1383" spans="1:11" ht="12">
      <c r="A1383" s="504">
        <v>2142117071</v>
      </c>
      <c r="B1383" s="539" t="s">
        <v>1946</v>
      </c>
      <c r="C1383" s="505" t="s">
        <v>152</v>
      </c>
      <c r="D1383" s="506">
        <v>1870</v>
      </c>
      <c r="E1383" s="506">
        <v>1470</v>
      </c>
      <c r="F1383" s="506">
        <v>1470</v>
      </c>
      <c r="G1383" s="507">
        <v>0</v>
      </c>
      <c r="H1383" s="503"/>
      <c r="I1383" s="503"/>
      <c r="J1383" s="503"/>
      <c r="K1383" s="503"/>
    </row>
    <row r="1384" spans="1:11" ht="12">
      <c r="A1384" s="504">
        <v>2142117072</v>
      </c>
      <c r="B1384" s="539" t="s">
        <v>1945</v>
      </c>
      <c r="C1384" s="505" t="s">
        <v>152</v>
      </c>
      <c r="D1384" s="506">
        <v>5338</v>
      </c>
      <c r="E1384" s="506">
        <v>5338</v>
      </c>
      <c r="F1384" s="506">
        <v>5337</v>
      </c>
      <c r="G1384" s="507">
        <v>1</v>
      </c>
      <c r="H1384" s="503"/>
      <c r="I1384" s="503"/>
      <c r="J1384" s="503"/>
      <c r="K1384" s="503"/>
    </row>
    <row r="1385" spans="1:11" ht="12">
      <c r="A1385" s="504">
        <v>2142117073</v>
      </c>
      <c r="B1385" s="539" t="s">
        <v>684</v>
      </c>
      <c r="C1385" s="505" t="s">
        <v>152</v>
      </c>
      <c r="D1385" s="506">
        <v>6927</v>
      </c>
      <c r="E1385" s="506">
        <v>6927</v>
      </c>
      <c r="F1385" s="506">
        <v>6925</v>
      </c>
      <c r="G1385" s="507">
        <v>2</v>
      </c>
      <c r="H1385" s="503"/>
      <c r="I1385" s="503"/>
      <c r="J1385" s="503"/>
      <c r="K1385" s="503"/>
    </row>
    <row r="1386" spans="1:11" ht="12">
      <c r="A1386" s="504">
        <v>2142117074</v>
      </c>
      <c r="B1386" s="539" t="s">
        <v>1925</v>
      </c>
      <c r="C1386" s="505" t="s">
        <v>152</v>
      </c>
      <c r="D1386" s="506">
        <v>180</v>
      </c>
      <c r="E1386" s="506">
        <v>140</v>
      </c>
      <c r="F1386" s="506">
        <v>134</v>
      </c>
      <c r="G1386" s="507">
        <v>6</v>
      </c>
      <c r="H1386" s="503"/>
      <c r="I1386" s="503"/>
      <c r="J1386" s="503"/>
      <c r="K1386" s="503"/>
    </row>
    <row r="1387" spans="1:11" ht="12">
      <c r="A1387" s="504">
        <v>2142117075</v>
      </c>
      <c r="B1387" s="539" t="s">
        <v>1958</v>
      </c>
      <c r="C1387" s="505" t="s">
        <v>111</v>
      </c>
      <c r="D1387" s="506">
        <v>500</v>
      </c>
      <c r="E1387" s="506">
        <v>500</v>
      </c>
      <c r="F1387" s="506">
        <v>497</v>
      </c>
      <c r="G1387" s="507">
        <v>2</v>
      </c>
      <c r="H1387" s="503"/>
      <c r="I1387" s="503"/>
      <c r="J1387" s="503"/>
      <c r="K1387" s="503"/>
    </row>
    <row r="1388" spans="1:11" ht="12">
      <c r="A1388" s="504">
        <v>2142117076</v>
      </c>
      <c r="B1388" s="539" t="s">
        <v>1959</v>
      </c>
      <c r="C1388" s="505" t="s">
        <v>111</v>
      </c>
      <c r="D1388" s="506">
        <v>500</v>
      </c>
      <c r="E1388" s="506">
        <v>720</v>
      </c>
      <c r="F1388" s="506">
        <v>720</v>
      </c>
      <c r="G1388" s="507">
        <v>0</v>
      </c>
      <c r="H1388" s="503"/>
      <c r="I1388" s="503"/>
      <c r="J1388" s="503"/>
      <c r="K1388" s="503"/>
    </row>
    <row r="1389" spans="1:11" ht="12">
      <c r="A1389" s="504">
        <v>2142117077</v>
      </c>
      <c r="B1389" s="539" t="s">
        <v>1960</v>
      </c>
      <c r="C1389" s="505" t="s">
        <v>111</v>
      </c>
      <c r="D1389" s="506">
        <v>800</v>
      </c>
      <c r="E1389" s="506">
        <v>800</v>
      </c>
      <c r="F1389" s="506">
        <v>732</v>
      </c>
      <c r="G1389" s="507">
        <v>68</v>
      </c>
      <c r="H1389" s="503"/>
      <c r="I1389" s="503"/>
      <c r="J1389" s="503"/>
      <c r="K1389" s="503"/>
    </row>
    <row r="1390" spans="1:11" ht="12">
      <c r="A1390" s="504">
        <v>2142117078</v>
      </c>
      <c r="B1390" s="539" t="s">
        <v>1961</v>
      </c>
      <c r="C1390" s="505" t="s">
        <v>111</v>
      </c>
      <c r="D1390" s="506">
        <v>600</v>
      </c>
      <c r="E1390" s="506">
        <v>575</v>
      </c>
      <c r="F1390" s="506">
        <v>575</v>
      </c>
      <c r="G1390" s="507">
        <v>0</v>
      </c>
      <c r="H1390" s="503"/>
      <c r="I1390" s="503"/>
      <c r="J1390" s="503"/>
      <c r="K1390" s="503"/>
    </row>
    <row r="1391" spans="1:11" ht="12">
      <c r="A1391" s="504">
        <v>2142117079</v>
      </c>
      <c r="B1391" s="539" t="s">
        <v>1962</v>
      </c>
      <c r="C1391" s="505" t="s">
        <v>111</v>
      </c>
      <c r="D1391" s="506">
        <v>267</v>
      </c>
      <c r="E1391" s="506">
        <v>267</v>
      </c>
      <c r="F1391" s="506">
        <v>267</v>
      </c>
      <c r="G1391" s="507">
        <v>0</v>
      </c>
      <c r="H1391" s="503"/>
      <c r="I1391" s="503"/>
      <c r="J1391" s="503"/>
      <c r="K1391" s="503"/>
    </row>
    <row r="1392" spans="1:11" ht="12">
      <c r="A1392" s="504">
        <v>2142117080</v>
      </c>
      <c r="B1392" s="539" t="s">
        <v>1963</v>
      </c>
      <c r="C1392" s="505" t="s">
        <v>111</v>
      </c>
      <c r="D1392" s="506">
        <v>220</v>
      </c>
      <c r="E1392" s="506">
        <v>191</v>
      </c>
      <c r="F1392" s="506">
        <v>190</v>
      </c>
      <c r="G1392" s="507">
        <v>1</v>
      </c>
      <c r="H1392" s="503"/>
      <c r="I1392" s="503"/>
      <c r="J1392" s="503"/>
      <c r="K1392" s="503"/>
    </row>
    <row r="1393" spans="1:11" ht="12">
      <c r="A1393" s="504">
        <v>2142117081</v>
      </c>
      <c r="B1393" s="539" t="s">
        <v>1964</v>
      </c>
      <c r="C1393" s="505" t="s">
        <v>111</v>
      </c>
      <c r="D1393" s="506">
        <v>900</v>
      </c>
      <c r="E1393" s="506">
        <v>825</v>
      </c>
      <c r="F1393" s="506">
        <v>824</v>
      </c>
      <c r="G1393" s="507">
        <v>1</v>
      </c>
      <c r="H1393" s="503"/>
      <c r="I1393" s="503"/>
      <c r="J1393" s="503"/>
      <c r="K1393" s="503"/>
    </row>
    <row r="1394" spans="1:11" ht="12">
      <c r="A1394" s="504">
        <v>2142117082</v>
      </c>
      <c r="B1394" s="539" t="s">
        <v>1965</v>
      </c>
      <c r="C1394" s="505" t="s">
        <v>111</v>
      </c>
      <c r="D1394" s="506">
        <v>550</v>
      </c>
      <c r="E1394" s="506">
        <v>549</v>
      </c>
      <c r="F1394" s="506">
        <v>549</v>
      </c>
      <c r="G1394" s="507">
        <v>0</v>
      </c>
      <c r="H1394" s="503"/>
      <c r="I1394" s="503"/>
      <c r="J1394" s="503"/>
      <c r="K1394" s="503"/>
    </row>
    <row r="1395" spans="1:11" ht="12">
      <c r="A1395" s="504">
        <v>2142117083</v>
      </c>
      <c r="B1395" s="539" t="s">
        <v>1966</v>
      </c>
      <c r="C1395" s="505" t="s">
        <v>111</v>
      </c>
      <c r="D1395" s="506">
        <v>200</v>
      </c>
      <c r="E1395" s="506">
        <v>197</v>
      </c>
      <c r="F1395" s="506">
        <v>196</v>
      </c>
      <c r="G1395" s="507">
        <v>1</v>
      </c>
      <c r="H1395" s="503"/>
      <c r="I1395" s="503"/>
      <c r="J1395" s="503"/>
      <c r="K1395" s="503"/>
    </row>
    <row r="1396" spans="1:11" ht="12">
      <c r="A1396" s="504">
        <v>2142117084</v>
      </c>
      <c r="B1396" s="539" t="s">
        <v>1967</v>
      </c>
      <c r="C1396" s="505" t="s">
        <v>111</v>
      </c>
      <c r="D1396" s="506">
        <v>300</v>
      </c>
      <c r="E1396" s="506">
        <v>130</v>
      </c>
      <c r="F1396" s="506">
        <v>130</v>
      </c>
      <c r="G1396" s="507">
        <v>0</v>
      </c>
      <c r="H1396" s="503"/>
      <c r="I1396" s="503"/>
      <c r="J1396" s="503"/>
      <c r="K1396" s="503"/>
    </row>
    <row r="1397" spans="1:11" ht="12">
      <c r="A1397" s="504">
        <v>2142117085</v>
      </c>
      <c r="B1397" s="539" t="s">
        <v>1968</v>
      </c>
      <c r="C1397" s="505" t="s">
        <v>111</v>
      </c>
      <c r="D1397" s="506">
        <v>3150</v>
      </c>
      <c r="E1397" s="506">
        <v>3461</v>
      </c>
      <c r="F1397" s="506">
        <v>3459</v>
      </c>
      <c r="G1397" s="507">
        <v>2</v>
      </c>
      <c r="H1397" s="503"/>
      <c r="I1397" s="503"/>
      <c r="J1397" s="503"/>
      <c r="K1397" s="503"/>
    </row>
    <row r="1398" spans="1:11" ht="12">
      <c r="A1398" s="504">
        <v>2142117086</v>
      </c>
      <c r="B1398" s="539" t="s">
        <v>1945</v>
      </c>
      <c r="C1398" s="505" t="s">
        <v>111</v>
      </c>
      <c r="D1398" s="506">
        <v>2800</v>
      </c>
      <c r="E1398" s="506">
        <v>2836</v>
      </c>
      <c r="F1398" s="506">
        <v>2836</v>
      </c>
      <c r="G1398" s="507">
        <v>0</v>
      </c>
      <c r="H1398" s="503"/>
      <c r="I1398" s="503"/>
      <c r="J1398" s="503"/>
      <c r="K1398" s="503"/>
    </row>
    <row r="1399" spans="1:11" ht="12">
      <c r="A1399" s="504">
        <v>2142117087</v>
      </c>
      <c r="B1399" s="539" t="s">
        <v>684</v>
      </c>
      <c r="C1399" s="505" t="s">
        <v>111</v>
      </c>
      <c r="D1399" s="506">
        <v>4400</v>
      </c>
      <c r="E1399" s="506">
        <v>3423</v>
      </c>
      <c r="F1399" s="506">
        <v>3376</v>
      </c>
      <c r="G1399" s="507">
        <v>47</v>
      </c>
      <c r="H1399" s="503"/>
      <c r="I1399" s="503"/>
      <c r="J1399" s="503"/>
      <c r="K1399" s="503"/>
    </row>
    <row r="1400" spans="1:11" ht="12">
      <c r="A1400" s="504">
        <v>2142117088</v>
      </c>
      <c r="B1400" s="539" t="s">
        <v>1946</v>
      </c>
      <c r="C1400" s="505" t="s">
        <v>111</v>
      </c>
      <c r="D1400" s="506">
        <v>685</v>
      </c>
      <c r="E1400" s="506">
        <v>565</v>
      </c>
      <c r="F1400" s="506">
        <v>565</v>
      </c>
      <c r="G1400" s="507">
        <v>0</v>
      </c>
      <c r="H1400" s="503"/>
      <c r="I1400" s="503"/>
      <c r="J1400" s="503"/>
      <c r="K1400" s="503"/>
    </row>
    <row r="1401" spans="1:11" ht="12">
      <c r="A1401" s="504">
        <v>2142117089</v>
      </c>
      <c r="B1401" s="539" t="s">
        <v>1969</v>
      </c>
      <c r="C1401" s="505" t="s">
        <v>111</v>
      </c>
      <c r="D1401" s="506">
        <v>65</v>
      </c>
      <c r="E1401" s="506">
        <v>45</v>
      </c>
      <c r="F1401" s="506">
        <v>44</v>
      </c>
      <c r="G1401" s="507">
        <v>1</v>
      </c>
      <c r="H1401" s="503"/>
      <c r="I1401" s="503"/>
      <c r="J1401" s="503"/>
      <c r="K1401" s="503"/>
    </row>
    <row r="1402" spans="1:11" ht="12">
      <c r="A1402" s="504">
        <v>2142117090</v>
      </c>
      <c r="B1402" s="539" t="s">
        <v>1970</v>
      </c>
      <c r="C1402" s="505" t="s">
        <v>150</v>
      </c>
      <c r="D1402" s="506">
        <v>580</v>
      </c>
      <c r="E1402" s="506">
        <v>580</v>
      </c>
      <c r="F1402" s="506">
        <v>579</v>
      </c>
      <c r="G1402" s="507">
        <v>1</v>
      </c>
      <c r="H1402" s="503"/>
      <c r="I1402" s="503"/>
      <c r="J1402" s="503"/>
      <c r="K1402" s="503"/>
    </row>
    <row r="1403" spans="1:11" ht="12">
      <c r="A1403" s="504">
        <v>2142117091</v>
      </c>
      <c r="B1403" s="539" t="s">
        <v>1341</v>
      </c>
      <c r="C1403" s="505" t="s">
        <v>150</v>
      </c>
      <c r="D1403" s="506">
        <v>354</v>
      </c>
      <c r="E1403" s="506">
        <v>354</v>
      </c>
      <c r="F1403" s="506">
        <v>354</v>
      </c>
      <c r="G1403" s="507">
        <v>0</v>
      </c>
      <c r="H1403" s="503"/>
      <c r="I1403" s="503"/>
      <c r="J1403" s="503"/>
      <c r="K1403" s="503"/>
    </row>
    <row r="1404" spans="1:11" ht="12">
      <c r="A1404" s="504">
        <v>2142117092</v>
      </c>
      <c r="B1404" s="539" t="s">
        <v>1971</v>
      </c>
      <c r="C1404" s="505" t="s">
        <v>150</v>
      </c>
      <c r="D1404" s="506">
        <v>90</v>
      </c>
      <c r="E1404" s="506">
        <v>136</v>
      </c>
      <c r="F1404" s="506">
        <v>136</v>
      </c>
      <c r="G1404" s="507">
        <v>0</v>
      </c>
      <c r="H1404" s="503"/>
      <c r="I1404" s="503"/>
      <c r="J1404" s="503"/>
      <c r="K1404" s="503"/>
    </row>
    <row r="1405" spans="1:11" ht="12">
      <c r="A1405" s="504">
        <v>2142117093</v>
      </c>
      <c r="B1405" s="539" t="s">
        <v>21</v>
      </c>
      <c r="C1405" s="505" t="s">
        <v>150</v>
      </c>
      <c r="D1405" s="506">
        <v>600</v>
      </c>
      <c r="E1405" s="506">
        <v>0</v>
      </c>
      <c r="F1405" s="506">
        <v>0</v>
      </c>
      <c r="G1405" s="507">
        <v>0</v>
      </c>
      <c r="H1405" s="503"/>
      <c r="I1405" s="503"/>
      <c r="J1405" s="503"/>
      <c r="K1405" s="503"/>
    </row>
    <row r="1406" spans="1:11" ht="12">
      <c r="A1406" s="504">
        <v>2142117094</v>
      </c>
      <c r="B1406" s="539" t="s">
        <v>1972</v>
      </c>
      <c r="C1406" s="505" t="s">
        <v>150</v>
      </c>
      <c r="D1406" s="506">
        <v>500</v>
      </c>
      <c r="E1406" s="506">
        <v>0</v>
      </c>
      <c r="F1406" s="506">
        <v>0</v>
      </c>
      <c r="G1406" s="507">
        <v>0</v>
      </c>
      <c r="H1406" s="503"/>
      <c r="I1406" s="503"/>
      <c r="J1406" s="503"/>
      <c r="K1406" s="503"/>
    </row>
    <row r="1407" spans="1:11" ht="12">
      <c r="A1407" s="504">
        <v>2142117095</v>
      </c>
      <c r="B1407" s="539" t="s">
        <v>1973</v>
      </c>
      <c r="C1407" s="505" t="s">
        <v>150</v>
      </c>
      <c r="D1407" s="506">
        <v>690</v>
      </c>
      <c r="E1407" s="506">
        <v>0</v>
      </c>
      <c r="F1407" s="506">
        <v>0</v>
      </c>
      <c r="G1407" s="507">
        <v>0</v>
      </c>
      <c r="H1407" s="503"/>
      <c r="I1407" s="503"/>
      <c r="J1407" s="503"/>
      <c r="K1407" s="503"/>
    </row>
    <row r="1408" spans="1:11" ht="12">
      <c r="A1408" s="504">
        <v>2142117096</v>
      </c>
      <c r="B1408" s="539" t="s">
        <v>1432</v>
      </c>
      <c r="C1408" s="505" t="s">
        <v>150</v>
      </c>
      <c r="D1408" s="506">
        <v>300</v>
      </c>
      <c r="E1408" s="506">
        <v>256</v>
      </c>
      <c r="F1408" s="506">
        <v>254</v>
      </c>
      <c r="G1408" s="507">
        <v>2</v>
      </c>
      <c r="H1408" s="503"/>
      <c r="I1408" s="503"/>
      <c r="J1408" s="503"/>
      <c r="K1408" s="503"/>
    </row>
    <row r="1409" spans="1:11" ht="12">
      <c r="A1409" s="504">
        <v>2142117097</v>
      </c>
      <c r="B1409" s="539" t="s">
        <v>1945</v>
      </c>
      <c r="C1409" s="505" t="s">
        <v>150</v>
      </c>
      <c r="D1409" s="506">
        <v>3195</v>
      </c>
      <c r="E1409" s="506">
        <v>3445</v>
      </c>
      <c r="F1409" s="506">
        <v>3445</v>
      </c>
      <c r="G1409" s="507">
        <v>0</v>
      </c>
      <c r="H1409" s="503"/>
      <c r="I1409" s="503"/>
      <c r="J1409" s="503"/>
      <c r="K1409" s="503"/>
    </row>
    <row r="1410" spans="1:11" ht="12">
      <c r="A1410" s="504">
        <v>2142117098</v>
      </c>
      <c r="B1410" s="539" t="s">
        <v>684</v>
      </c>
      <c r="C1410" s="505" t="s">
        <v>150</v>
      </c>
      <c r="D1410" s="506">
        <v>3135</v>
      </c>
      <c r="E1410" s="506">
        <v>1615</v>
      </c>
      <c r="F1410" s="506">
        <v>1568</v>
      </c>
      <c r="G1410" s="507">
        <v>47</v>
      </c>
      <c r="H1410" s="503"/>
      <c r="I1410" s="503"/>
      <c r="J1410" s="503"/>
      <c r="K1410" s="503"/>
    </row>
    <row r="1411" spans="1:11" ht="12">
      <c r="A1411" s="504">
        <v>2142117099</v>
      </c>
      <c r="B1411" s="539" t="s">
        <v>1792</v>
      </c>
      <c r="C1411" s="505" t="s">
        <v>150</v>
      </c>
      <c r="D1411" s="506">
        <v>15</v>
      </c>
      <c r="E1411" s="506">
        <v>7</v>
      </c>
      <c r="F1411" s="506">
        <v>7</v>
      </c>
      <c r="G1411" s="507">
        <v>0</v>
      </c>
      <c r="H1411" s="503"/>
      <c r="I1411" s="503"/>
      <c r="J1411" s="503"/>
      <c r="K1411" s="503"/>
    </row>
    <row r="1412" spans="1:11" ht="12">
      <c r="A1412" s="504">
        <v>2142117100</v>
      </c>
      <c r="B1412" s="539" t="s">
        <v>1433</v>
      </c>
      <c r="C1412" s="505" t="s">
        <v>150</v>
      </c>
      <c r="D1412" s="506">
        <v>2640</v>
      </c>
      <c r="E1412" s="506">
        <v>940</v>
      </c>
      <c r="F1412" s="506">
        <v>938</v>
      </c>
      <c r="G1412" s="507">
        <v>2</v>
      </c>
      <c r="H1412" s="503"/>
      <c r="I1412" s="503"/>
      <c r="J1412" s="503"/>
      <c r="K1412" s="503"/>
    </row>
    <row r="1413" spans="1:11" ht="12">
      <c r="A1413" s="504">
        <v>2142117101</v>
      </c>
      <c r="B1413" s="539" t="s">
        <v>1925</v>
      </c>
      <c r="C1413" s="505" t="s">
        <v>150</v>
      </c>
      <c r="D1413" s="506">
        <v>15</v>
      </c>
      <c r="E1413" s="506">
        <v>15</v>
      </c>
      <c r="F1413" s="506">
        <v>12</v>
      </c>
      <c r="G1413" s="507">
        <v>3</v>
      </c>
      <c r="H1413" s="503"/>
      <c r="I1413" s="503"/>
      <c r="J1413" s="503"/>
      <c r="K1413" s="503"/>
    </row>
    <row r="1414" spans="1:11" ht="12">
      <c r="A1414" s="504">
        <v>2142117102</v>
      </c>
      <c r="B1414" s="539" t="s">
        <v>1434</v>
      </c>
      <c r="C1414" s="505" t="s">
        <v>115</v>
      </c>
      <c r="D1414" s="506">
        <v>260</v>
      </c>
      <c r="E1414" s="506">
        <v>0</v>
      </c>
      <c r="F1414" s="506">
        <v>0</v>
      </c>
      <c r="G1414" s="507">
        <v>0</v>
      </c>
      <c r="H1414" s="503"/>
      <c r="I1414" s="503"/>
      <c r="J1414" s="503"/>
      <c r="K1414" s="503"/>
    </row>
    <row r="1415" spans="1:11" ht="12">
      <c r="A1415" s="504">
        <v>2142117103</v>
      </c>
      <c r="B1415" s="539" t="s">
        <v>1435</v>
      </c>
      <c r="C1415" s="505" t="s">
        <v>115</v>
      </c>
      <c r="D1415" s="506">
        <v>1312</v>
      </c>
      <c r="E1415" s="506">
        <v>0</v>
      </c>
      <c r="F1415" s="506">
        <v>0</v>
      </c>
      <c r="G1415" s="507">
        <v>0</v>
      </c>
      <c r="H1415" s="503"/>
      <c r="I1415" s="503"/>
      <c r="J1415" s="503"/>
      <c r="K1415" s="503"/>
    </row>
    <row r="1416" spans="1:11" ht="12">
      <c r="A1416" s="504">
        <v>2142117104</v>
      </c>
      <c r="B1416" s="539" t="s">
        <v>1436</v>
      </c>
      <c r="C1416" s="505" t="s">
        <v>115</v>
      </c>
      <c r="D1416" s="506">
        <v>420</v>
      </c>
      <c r="E1416" s="506">
        <v>0</v>
      </c>
      <c r="F1416" s="506">
        <v>0</v>
      </c>
      <c r="G1416" s="507">
        <v>0</v>
      </c>
      <c r="H1416" s="503"/>
      <c r="I1416" s="503"/>
      <c r="J1416" s="503"/>
      <c r="K1416" s="503"/>
    </row>
    <row r="1417" spans="1:11" ht="12">
      <c r="A1417" s="504">
        <v>2142117105</v>
      </c>
      <c r="B1417" s="539" t="s">
        <v>1793</v>
      </c>
      <c r="C1417" s="505" t="s">
        <v>115</v>
      </c>
      <c r="D1417" s="506">
        <v>1449</v>
      </c>
      <c r="E1417" s="506">
        <v>1928</v>
      </c>
      <c r="F1417" s="506">
        <v>1927</v>
      </c>
      <c r="G1417" s="507">
        <v>1</v>
      </c>
      <c r="H1417" s="503"/>
      <c r="I1417" s="503"/>
      <c r="J1417" s="503"/>
      <c r="K1417" s="503"/>
    </row>
    <row r="1418" spans="1:11" ht="12">
      <c r="A1418" s="504">
        <v>2142117106</v>
      </c>
      <c r="B1418" s="539" t="s">
        <v>1945</v>
      </c>
      <c r="C1418" s="505" t="s">
        <v>115</v>
      </c>
      <c r="D1418" s="506">
        <v>1985</v>
      </c>
      <c r="E1418" s="506">
        <v>2022</v>
      </c>
      <c r="F1418" s="506">
        <v>1984</v>
      </c>
      <c r="G1418" s="507">
        <v>38</v>
      </c>
      <c r="H1418" s="503"/>
      <c r="I1418" s="503"/>
      <c r="J1418" s="503"/>
      <c r="K1418" s="503"/>
    </row>
    <row r="1419" spans="1:11" ht="12">
      <c r="A1419" s="504">
        <v>2142117107</v>
      </c>
      <c r="B1419" s="539" t="s">
        <v>684</v>
      </c>
      <c r="C1419" s="505" t="s">
        <v>115</v>
      </c>
      <c r="D1419" s="506">
        <v>1800</v>
      </c>
      <c r="E1419" s="506">
        <v>1450</v>
      </c>
      <c r="F1419" s="506">
        <v>1434</v>
      </c>
      <c r="G1419" s="507">
        <v>16</v>
      </c>
      <c r="H1419" s="503"/>
      <c r="I1419" s="503"/>
      <c r="J1419" s="503"/>
      <c r="K1419" s="503"/>
    </row>
    <row r="1420" spans="1:11" ht="12">
      <c r="A1420" s="504">
        <v>2142117108</v>
      </c>
      <c r="B1420" s="539" t="s">
        <v>1946</v>
      </c>
      <c r="C1420" s="505" t="s">
        <v>115</v>
      </c>
      <c r="D1420" s="506">
        <v>730</v>
      </c>
      <c r="E1420" s="506">
        <v>564</v>
      </c>
      <c r="F1420" s="506">
        <v>561</v>
      </c>
      <c r="G1420" s="507">
        <v>3</v>
      </c>
      <c r="H1420" s="503"/>
      <c r="I1420" s="503"/>
      <c r="J1420" s="503"/>
      <c r="K1420" s="503"/>
    </row>
    <row r="1421" spans="1:11" ht="12">
      <c r="A1421" s="504">
        <v>2142117109</v>
      </c>
      <c r="B1421" s="539" t="s">
        <v>1437</v>
      </c>
      <c r="C1421" s="505" t="s">
        <v>154</v>
      </c>
      <c r="D1421" s="506">
        <v>500</v>
      </c>
      <c r="E1421" s="506">
        <v>449</v>
      </c>
      <c r="F1421" s="506">
        <v>448</v>
      </c>
      <c r="G1421" s="507">
        <v>1</v>
      </c>
      <c r="H1421" s="503"/>
      <c r="I1421" s="503"/>
      <c r="J1421" s="503"/>
      <c r="K1421" s="503"/>
    </row>
    <row r="1422" spans="1:11" ht="12">
      <c r="A1422" s="504">
        <v>2142117110</v>
      </c>
      <c r="B1422" s="539" t="s">
        <v>1438</v>
      </c>
      <c r="C1422" s="505" t="s">
        <v>154</v>
      </c>
      <c r="D1422" s="506">
        <v>240</v>
      </c>
      <c r="E1422" s="506">
        <v>0</v>
      </c>
      <c r="F1422" s="506">
        <v>0</v>
      </c>
      <c r="G1422" s="507">
        <v>0</v>
      </c>
      <c r="H1422" s="503"/>
      <c r="I1422" s="503"/>
      <c r="J1422" s="503"/>
      <c r="K1422" s="503"/>
    </row>
    <row r="1423" spans="1:11" ht="12">
      <c r="A1423" s="504">
        <v>2142117111</v>
      </c>
      <c r="B1423" s="539" t="s">
        <v>1439</v>
      </c>
      <c r="C1423" s="505" t="s">
        <v>154</v>
      </c>
      <c r="D1423" s="506">
        <v>160</v>
      </c>
      <c r="E1423" s="506">
        <v>0</v>
      </c>
      <c r="F1423" s="506">
        <v>170</v>
      </c>
      <c r="G1423" s="507">
        <v>0</v>
      </c>
      <c r="H1423" s="503"/>
      <c r="I1423" s="503"/>
      <c r="J1423" s="503"/>
      <c r="K1423" s="503"/>
    </row>
    <row r="1424" spans="1:11" ht="12">
      <c r="A1424" s="504">
        <v>2142117112</v>
      </c>
      <c r="B1424" s="539" t="s">
        <v>1440</v>
      </c>
      <c r="C1424" s="505" t="s">
        <v>154</v>
      </c>
      <c r="D1424" s="506">
        <v>1500</v>
      </c>
      <c r="E1424" s="506">
        <v>1664</v>
      </c>
      <c r="F1424" s="506">
        <v>1661</v>
      </c>
      <c r="G1424" s="507">
        <v>3</v>
      </c>
      <c r="H1424" s="503"/>
      <c r="I1424" s="503"/>
      <c r="J1424" s="503"/>
      <c r="K1424" s="503"/>
    </row>
    <row r="1425" spans="1:11" ht="12">
      <c r="A1425" s="504">
        <v>2142117113</v>
      </c>
      <c r="B1425" s="539" t="s">
        <v>1441</v>
      </c>
      <c r="C1425" s="505" t="s">
        <v>154</v>
      </c>
      <c r="D1425" s="506">
        <v>300</v>
      </c>
      <c r="E1425" s="506">
        <v>0</v>
      </c>
      <c r="F1425" s="506">
        <v>309</v>
      </c>
      <c r="G1425" s="507">
        <v>0</v>
      </c>
      <c r="H1425" s="503"/>
      <c r="I1425" s="503"/>
      <c r="J1425" s="503"/>
      <c r="K1425" s="503"/>
    </row>
    <row r="1426" spans="1:11" ht="12">
      <c r="A1426" s="504">
        <v>2142117114</v>
      </c>
      <c r="B1426" s="539" t="s">
        <v>1442</v>
      </c>
      <c r="C1426" s="505" t="s">
        <v>154</v>
      </c>
      <c r="D1426" s="506">
        <v>100</v>
      </c>
      <c r="E1426" s="506">
        <v>91</v>
      </c>
      <c r="F1426" s="506">
        <v>90</v>
      </c>
      <c r="G1426" s="507">
        <v>1</v>
      </c>
      <c r="H1426" s="503"/>
      <c r="I1426" s="503"/>
      <c r="J1426" s="503"/>
      <c r="K1426" s="503"/>
    </row>
    <row r="1427" spans="1:11" ht="12">
      <c r="A1427" s="504">
        <v>2142117115</v>
      </c>
      <c r="B1427" s="539" t="s">
        <v>1443</v>
      </c>
      <c r="C1427" s="505" t="s">
        <v>154</v>
      </c>
      <c r="D1427" s="506">
        <v>550</v>
      </c>
      <c r="E1427" s="506">
        <v>20</v>
      </c>
      <c r="F1427" s="506">
        <v>599</v>
      </c>
      <c r="G1427" s="507">
        <v>0</v>
      </c>
      <c r="H1427" s="503"/>
      <c r="I1427" s="503"/>
      <c r="J1427" s="503"/>
      <c r="K1427" s="503"/>
    </row>
    <row r="1428" spans="1:11" ht="12">
      <c r="A1428" s="504">
        <v>2142117116</v>
      </c>
      <c r="B1428" s="539" t="s">
        <v>1444</v>
      </c>
      <c r="C1428" s="505" t="s">
        <v>154</v>
      </c>
      <c r="D1428" s="506">
        <v>687</v>
      </c>
      <c r="E1428" s="506">
        <v>0</v>
      </c>
      <c r="F1428" s="506">
        <v>927</v>
      </c>
      <c r="G1428" s="507">
        <v>0</v>
      </c>
      <c r="H1428" s="503"/>
      <c r="I1428" s="503"/>
      <c r="J1428" s="503"/>
      <c r="K1428" s="503"/>
    </row>
    <row r="1429" spans="1:11" ht="12">
      <c r="A1429" s="504">
        <v>2142117117</v>
      </c>
      <c r="B1429" s="539" t="s">
        <v>1445</v>
      </c>
      <c r="C1429" s="505" t="s">
        <v>154</v>
      </c>
      <c r="D1429" s="506">
        <v>800</v>
      </c>
      <c r="E1429" s="506">
        <v>701</v>
      </c>
      <c r="F1429" s="506">
        <v>700</v>
      </c>
      <c r="G1429" s="507">
        <v>0</v>
      </c>
      <c r="H1429" s="503"/>
      <c r="I1429" s="503"/>
      <c r="J1429" s="503"/>
      <c r="K1429" s="503"/>
    </row>
    <row r="1430" spans="1:11" ht="12">
      <c r="A1430" s="504">
        <v>2142117118</v>
      </c>
      <c r="B1430" s="539" t="s">
        <v>1446</v>
      </c>
      <c r="C1430" s="505" t="s">
        <v>154</v>
      </c>
      <c r="D1430" s="506">
        <v>543</v>
      </c>
      <c r="E1430" s="506">
        <v>0</v>
      </c>
      <c r="F1430" s="506">
        <v>0</v>
      </c>
      <c r="G1430" s="507">
        <v>0</v>
      </c>
      <c r="H1430" s="503"/>
      <c r="I1430" s="503"/>
      <c r="J1430" s="503"/>
      <c r="K1430" s="503"/>
    </row>
    <row r="1431" spans="1:11" ht="12">
      <c r="A1431" s="504">
        <v>2142117119</v>
      </c>
      <c r="B1431" s="539" t="s">
        <v>1447</v>
      </c>
      <c r="C1431" s="505" t="s">
        <v>154</v>
      </c>
      <c r="D1431" s="506">
        <v>621</v>
      </c>
      <c r="E1431" s="506">
        <v>0</v>
      </c>
      <c r="F1431" s="506">
        <v>0</v>
      </c>
      <c r="G1431" s="507">
        <v>0</v>
      </c>
      <c r="H1431" s="503"/>
      <c r="I1431" s="503"/>
      <c r="J1431" s="503"/>
      <c r="K1431" s="503"/>
    </row>
    <row r="1432" spans="1:11" ht="12">
      <c r="A1432" s="504">
        <v>2142117120</v>
      </c>
      <c r="B1432" s="539" t="s">
        <v>684</v>
      </c>
      <c r="C1432" s="505" t="s">
        <v>154</v>
      </c>
      <c r="D1432" s="506">
        <v>4000</v>
      </c>
      <c r="E1432" s="506">
        <v>3410</v>
      </c>
      <c r="F1432" s="506">
        <v>3255</v>
      </c>
      <c r="G1432" s="507">
        <v>154</v>
      </c>
      <c r="H1432" s="503"/>
      <c r="I1432" s="503"/>
      <c r="J1432" s="503"/>
      <c r="K1432" s="503"/>
    </row>
    <row r="1433" spans="1:11" ht="12">
      <c r="A1433" s="504">
        <v>2142117121</v>
      </c>
      <c r="B1433" s="539" t="s">
        <v>1792</v>
      </c>
      <c r="C1433" s="505" t="s">
        <v>154</v>
      </c>
      <c r="D1433" s="506">
        <v>10</v>
      </c>
      <c r="E1433" s="506">
        <v>2</v>
      </c>
      <c r="F1433" s="506">
        <v>2</v>
      </c>
      <c r="G1433" s="507">
        <v>0</v>
      </c>
      <c r="H1433" s="503"/>
      <c r="I1433" s="503"/>
      <c r="J1433" s="503"/>
      <c r="K1433" s="503"/>
    </row>
    <row r="1434" spans="1:11" ht="12">
      <c r="A1434" s="504">
        <v>2142117122</v>
      </c>
      <c r="B1434" s="539" t="s">
        <v>1946</v>
      </c>
      <c r="C1434" s="505" t="s">
        <v>154</v>
      </c>
      <c r="D1434" s="506">
        <v>990</v>
      </c>
      <c r="E1434" s="506">
        <v>998</v>
      </c>
      <c r="F1434" s="506">
        <v>990</v>
      </c>
      <c r="G1434" s="507">
        <v>8</v>
      </c>
      <c r="H1434" s="503"/>
      <c r="I1434" s="503"/>
      <c r="J1434" s="503"/>
      <c r="K1434" s="503"/>
    </row>
    <row r="1435" spans="1:11" ht="12">
      <c r="A1435" s="504">
        <v>2142117123</v>
      </c>
      <c r="B1435" s="539" t="s">
        <v>1817</v>
      </c>
      <c r="C1435" s="505" t="s">
        <v>154</v>
      </c>
      <c r="D1435" s="506">
        <v>900</v>
      </c>
      <c r="E1435" s="506">
        <v>1244</v>
      </c>
      <c r="F1435" s="506">
        <v>1242</v>
      </c>
      <c r="G1435" s="507">
        <v>2</v>
      </c>
      <c r="H1435" s="503"/>
      <c r="I1435" s="503"/>
      <c r="J1435" s="503"/>
      <c r="K1435" s="503"/>
    </row>
    <row r="1436" spans="1:11" ht="12">
      <c r="A1436" s="504">
        <v>2142117124</v>
      </c>
      <c r="B1436" s="539" t="s">
        <v>1925</v>
      </c>
      <c r="C1436" s="505" t="s">
        <v>154</v>
      </c>
      <c r="D1436" s="506">
        <v>100</v>
      </c>
      <c r="E1436" s="506">
        <v>100</v>
      </c>
      <c r="F1436" s="506">
        <v>94</v>
      </c>
      <c r="G1436" s="507">
        <v>6</v>
      </c>
      <c r="H1436" s="503"/>
      <c r="I1436" s="503"/>
      <c r="J1436" s="503"/>
      <c r="K1436" s="503"/>
    </row>
    <row r="1437" spans="1:11" ht="12">
      <c r="A1437" s="504">
        <v>2142117125</v>
      </c>
      <c r="B1437" s="539" t="s">
        <v>1945</v>
      </c>
      <c r="C1437" s="505" t="s">
        <v>154</v>
      </c>
      <c r="D1437" s="506">
        <v>4500</v>
      </c>
      <c r="E1437" s="506">
        <v>4510</v>
      </c>
      <c r="F1437" s="506">
        <v>4509</v>
      </c>
      <c r="G1437" s="507">
        <v>1</v>
      </c>
      <c r="H1437" s="503"/>
      <c r="I1437" s="503"/>
      <c r="J1437" s="503"/>
      <c r="K1437" s="503"/>
    </row>
    <row r="1438" spans="1:11" ht="12">
      <c r="A1438" s="504">
        <v>2142117126</v>
      </c>
      <c r="B1438" s="539" t="s">
        <v>1448</v>
      </c>
      <c r="C1438" s="505" t="s">
        <v>745</v>
      </c>
      <c r="D1438" s="506">
        <v>55</v>
      </c>
      <c r="E1438" s="506">
        <v>43</v>
      </c>
      <c r="F1438" s="506">
        <v>43</v>
      </c>
      <c r="G1438" s="507">
        <v>0</v>
      </c>
      <c r="H1438" s="503"/>
      <c r="I1438" s="503"/>
      <c r="J1438" s="503"/>
      <c r="K1438" s="503"/>
    </row>
    <row r="1439" spans="1:11" ht="12">
      <c r="A1439" s="504">
        <v>2142117127</v>
      </c>
      <c r="B1439" s="539" t="s">
        <v>1449</v>
      </c>
      <c r="C1439" s="505" t="s">
        <v>745</v>
      </c>
      <c r="D1439" s="506">
        <v>420</v>
      </c>
      <c r="E1439" s="506">
        <v>0</v>
      </c>
      <c r="F1439" s="506">
        <v>0</v>
      </c>
      <c r="G1439" s="507">
        <v>0</v>
      </c>
      <c r="H1439" s="503"/>
      <c r="I1439" s="503"/>
      <c r="J1439" s="503"/>
      <c r="K1439" s="503"/>
    </row>
    <row r="1440" spans="1:11" ht="12">
      <c r="A1440" s="504">
        <v>2142117128</v>
      </c>
      <c r="B1440" s="539" t="s">
        <v>1450</v>
      </c>
      <c r="C1440" s="505" t="s">
        <v>745</v>
      </c>
      <c r="D1440" s="506">
        <v>100</v>
      </c>
      <c r="E1440" s="506">
        <v>136</v>
      </c>
      <c r="F1440" s="506">
        <v>135</v>
      </c>
      <c r="G1440" s="507">
        <v>1</v>
      </c>
      <c r="H1440" s="503"/>
      <c r="I1440" s="503"/>
      <c r="J1440" s="503"/>
      <c r="K1440" s="503"/>
    </row>
    <row r="1441" spans="1:11" ht="12">
      <c r="A1441" s="504">
        <v>2142117129</v>
      </c>
      <c r="B1441" s="539" t="s">
        <v>1451</v>
      </c>
      <c r="C1441" s="505" t="s">
        <v>745</v>
      </c>
      <c r="D1441" s="506">
        <v>1086</v>
      </c>
      <c r="E1441" s="506">
        <v>0</v>
      </c>
      <c r="F1441" s="506">
        <v>0</v>
      </c>
      <c r="G1441" s="507">
        <v>0</v>
      </c>
      <c r="H1441" s="503"/>
      <c r="I1441" s="503"/>
      <c r="J1441" s="503"/>
      <c r="K1441" s="503"/>
    </row>
    <row r="1442" spans="1:11" ht="12">
      <c r="A1442" s="504">
        <v>2142117130</v>
      </c>
      <c r="B1442" s="539" t="s">
        <v>1821</v>
      </c>
      <c r="C1442" s="505" t="s">
        <v>745</v>
      </c>
      <c r="D1442" s="506">
        <v>400</v>
      </c>
      <c r="E1442" s="506">
        <v>0</v>
      </c>
      <c r="F1442" s="506">
        <v>0</v>
      </c>
      <c r="G1442" s="507">
        <v>0</v>
      </c>
      <c r="H1442" s="503"/>
      <c r="I1442" s="503"/>
      <c r="J1442" s="503"/>
      <c r="K1442" s="503"/>
    </row>
    <row r="1443" spans="1:11" ht="12">
      <c r="A1443" s="504">
        <v>2142117131</v>
      </c>
      <c r="B1443" s="539" t="s">
        <v>1822</v>
      </c>
      <c r="C1443" s="505" t="s">
        <v>745</v>
      </c>
      <c r="D1443" s="506">
        <v>310</v>
      </c>
      <c r="E1443" s="506">
        <v>0</v>
      </c>
      <c r="F1443" s="506">
        <v>0</v>
      </c>
      <c r="G1443" s="507">
        <v>0</v>
      </c>
      <c r="H1443" s="503"/>
      <c r="I1443" s="503"/>
      <c r="J1443" s="503"/>
      <c r="K1443" s="503"/>
    </row>
    <row r="1444" spans="1:11" ht="12">
      <c r="A1444" s="504">
        <v>2142117132</v>
      </c>
      <c r="B1444" s="539" t="s">
        <v>1945</v>
      </c>
      <c r="C1444" s="505" t="s">
        <v>745</v>
      </c>
      <c r="D1444" s="506">
        <v>2747</v>
      </c>
      <c r="E1444" s="506">
        <v>2864</v>
      </c>
      <c r="F1444" s="506">
        <v>2863</v>
      </c>
      <c r="G1444" s="507">
        <v>1</v>
      </c>
      <c r="H1444" s="503"/>
      <c r="I1444" s="503"/>
      <c r="J1444" s="503"/>
      <c r="K1444" s="503"/>
    </row>
    <row r="1445" spans="1:11" ht="12">
      <c r="A1445" s="504">
        <v>2142117133</v>
      </c>
      <c r="B1445" s="539" t="s">
        <v>684</v>
      </c>
      <c r="C1445" s="505" t="s">
        <v>745</v>
      </c>
      <c r="D1445" s="506">
        <v>2340</v>
      </c>
      <c r="E1445" s="506">
        <v>2220</v>
      </c>
      <c r="F1445" s="506">
        <v>2161</v>
      </c>
      <c r="G1445" s="507">
        <v>59</v>
      </c>
      <c r="H1445" s="503"/>
      <c r="I1445" s="503"/>
      <c r="J1445" s="503"/>
      <c r="K1445" s="503"/>
    </row>
    <row r="1446" spans="1:11" ht="12">
      <c r="A1446" s="504">
        <v>2142117134</v>
      </c>
      <c r="B1446" s="539" t="s">
        <v>1946</v>
      </c>
      <c r="C1446" s="505" t="s">
        <v>745</v>
      </c>
      <c r="D1446" s="506">
        <v>825</v>
      </c>
      <c r="E1446" s="506">
        <v>625</v>
      </c>
      <c r="F1446" s="506">
        <v>624</v>
      </c>
      <c r="G1446" s="507">
        <v>1</v>
      </c>
      <c r="H1446" s="503"/>
      <c r="I1446" s="503"/>
      <c r="J1446" s="503"/>
      <c r="K1446" s="503"/>
    </row>
    <row r="1447" spans="1:11" ht="12">
      <c r="A1447" s="504">
        <v>2142117135</v>
      </c>
      <c r="B1447" s="539" t="s">
        <v>1452</v>
      </c>
      <c r="C1447" s="505" t="s">
        <v>745</v>
      </c>
      <c r="D1447" s="506">
        <v>2088</v>
      </c>
      <c r="E1447" s="506">
        <v>1970</v>
      </c>
      <c r="F1447" s="506">
        <v>1970</v>
      </c>
      <c r="G1447" s="507">
        <v>0</v>
      </c>
      <c r="H1447" s="503"/>
      <c r="I1447" s="503"/>
      <c r="J1447" s="503"/>
      <c r="K1447" s="503"/>
    </row>
    <row r="1448" spans="1:11" ht="12">
      <c r="A1448" s="504">
        <v>2142117136</v>
      </c>
      <c r="B1448" s="539" t="s">
        <v>1453</v>
      </c>
      <c r="C1448" s="505" t="s">
        <v>119</v>
      </c>
      <c r="D1448" s="506">
        <v>1000</v>
      </c>
      <c r="E1448" s="506">
        <v>1001</v>
      </c>
      <c r="F1448" s="506">
        <v>1000</v>
      </c>
      <c r="G1448" s="507">
        <v>1</v>
      </c>
      <c r="H1448" s="503"/>
      <c r="I1448" s="503"/>
      <c r="J1448" s="503"/>
      <c r="K1448" s="503"/>
    </row>
    <row r="1449" spans="1:11" ht="12">
      <c r="A1449" s="504">
        <v>2142117137</v>
      </c>
      <c r="B1449" s="539" t="s">
        <v>1454</v>
      </c>
      <c r="C1449" s="505" t="s">
        <v>119</v>
      </c>
      <c r="D1449" s="506">
        <v>500</v>
      </c>
      <c r="E1449" s="506">
        <v>0</v>
      </c>
      <c r="F1449" s="506">
        <v>0</v>
      </c>
      <c r="G1449" s="507">
        <v>0</v>
      </c>
      <c r="H1449" s="503"/>
      <c r="I1449" s="503"/>
      <c r="J1449" s="503"/>
      <c r="K1449" s="503"/>
    </row>
    <row r="1450" spans="1:11" ht="12">
      <c r="A1450" s="504">
        <v>2142117138</v>
      </c>
      <c r="B1450" s="539" t="s">
        <v>330</v>
      </c>
      <c r="C1450" s="505" t="s">
        <v>119</v>
      </c>
      <c r="D1450" s="506">
        <v>500</v>
      </c>
      <c r="E1450" s="506">
        <v>499</v>
      </c>
      <c r="F1450" s="506">
        <v>499</v>
      </c>
      <c r="G1450" s="507">
        <v>0</v>
      </c>
      <c r="H1450" s="503"/>
      <c r="I1450" s="503"/>
      <c r="J1450" s="503"/>
      <c r="K1450" s="503"/>
    </row>
    <row r="1451" spans="1:11" ht="12">
      <c r="A1451" s="504">
        <v>2142117139</v>
      </c>
      <c r="B1451" s="539" t="s">
        <v>1455</v>
      </c>
      <c r="C1451" s="505" t="s">
        <v>119</v>
      </c>
      <c r="D1451" s="506">
        <v>300</v>
      </c>
      <c r="E1451" s="506">
        <v>300</v>
      </c>
      <c r="F1451" s="506">
        <v>300</v>
      </c>
      <c r="G1451" s="507">
        <v>0</v>
      </c>
      <c r="H1451" s="503"/>
      <c r="I1451" s="503"/>
      <c r="J1451" s="503"/>
      <c r="K1451" s="503"/>
    </row>
    <row r="1452" spans="1:11" ht="12">
      <c r="A1452" s="504">
        <v>2142117140</v>
      </c>
      <c r="B1452" s="539" t="s">
        <v>1456</v>
      </c>
      <c r="C1452" s="505" t="s">
        <v>119</v>
      </c>
      <c r="D1452" s="506">
        <v>925</v>
      </c>
      <c r="E1452" s="506">
        <v>0</v>
      </c>
      <c r="F1452" s="506">
        <v>0</v>
      </c>
      <c r="G1452" s="507">
        <v>0</v>
      </c>
      <c r="H1452" s="503"/>
      <c r="I1452" s="503"/>
      <c r="J1452" s="503"/>
      <c r="K1452" s="503"/>
    </row>
    <row r="1453" spans="1:11" ht="12">
      <c r="A1453" s="504">
        <v>2142117141</v>
      </c>
      <c r="B1453" s="539" t="s">
        <v>1792</v>
      </c>
      <c r="C1453" s="505" t="s">
        <v>119</v>
      </c>
      <c r="D1453" s="506">
        <v>40</v>
      </c>
      <c r="E1453" s="506">
        <v>40</v>
      </c>
      <c r="F1453" s="506">
        <v>40</v>
      </c>
      <c r="G1453" s="507">
        <v>0</v>
      </c>
      <c r="H1453" s="503"/>
      <c r="I1453" s="503"/>
      <c r="J1453" s="503"/>
      <c r="K1453" s="503"/>
    </row>
    <row r="1454" spans="1:11" ht="12">
      <c r="A1454" s="504">
        <v>2142117142</v>
      </c>
      <c r="B1454" s="539" t="s">
        <v>1925</v>
      </c>
      <c r="C1454" s="505" t="s">
        <v>119</v>
      </c>
      <c r="D1454" s="506">
        <v>100</v>
      </c>
      <c r="E1454" s="506">
        <v>100</v>
      </c>
      <c r="F1454" s="506">
        <v>100</v>
      </c>
      <c r="G1454" s="507">
        <v>0</v>
      </c>
      <c r="H1454" s="503"/>
      <c r="I1454" s="503"/>
      <c r="J1454" s="503"/>
      <c r="K1454" s="503"/>
    </row>
    <row r="1455" spans="1:11" ht="12">
      <c r="A1455" s="504">
        <v>2142117143</v>
      </c>
      <c r="B1455" s="539" t="s">
        <v>684</v>
      </c>
      <c r="C1455" s="505" t="s">
        <v>119</v>
      </c>
      <c r="D1455" s="506">
        <v>2688</v>
      </c>
      <c r="E1455" s="506">
        <v>1891</v>
      </c>
      <c r="F1455" s="506">
        <v>1851</v>
      </c>
      <c r="G1455" s="507">
        <v>33</v>
      </c>
      <c r="H1455" s="503"/>
      <c r="I1455" s="503"/>
      <c r="J1455" s="503"/>
      <c r="K1455" s="503"/>
    </row>
    <row r="1456" spans="1:11" ht="12">
      <c r="A1456" s="504">
        <v>2142117144</v>
      </c>
      <c r="B1456" s="539" t="s">
        <v>1945</v>
      </c>
      <c r="C1456" s="505" t="s">
        <v>119</v>
      </c>
      <c r="D1456" s="506">
        <v>2400</v>
      </c>
      <c r="E1456" s="506">
        <v>2411</v>
      </c>
      <c r="F1456" s="506">
        <v>2516</v>
      </c>
      <c r="G1456" s="507">
        <v>40</v>
      </c>
      <c r="H1456" s="503"/>
      <c r="I1456" s="503"/>
      <c r="J1456" s="503"/>
      <c r="K1456" s="503"/>
    </row>
    <row r="1457" spans="1:11" ht="12">
      <c r="A1457" s="504">
        <v>2142117145</v>
      </c>
      <c r="B1457" s="539" t="s">
        <v>1946</v>
      </c>
      <c r="C1457" s="505" t="s">
        <v>119</v>
      </c>
      <c r="D1457" s="506">
        <v>1001</v>
      </c>
      <c r="E1457" s="506">
        <v>751</v>
      </c>
      <c r="F1457" s="506">
        <v>751</v>
      </c>
      <c r="G1457" s="507">
        <v>0</v>
      </c>
      <c r="H1457" s="503"/>
      <c r="I1457" s="503"/>
      <c r="J1457" s="503"/>
      <c r="K1457" s="503"/>
    </row>
    <row r="1458" spans="1:11" ht="12">
      <c r="A1458" s="504">
        <v>2142117146</v>
      </c>
      <c r="B1458" s="539" t="s">
        <v>1817</v>
      </c>
      <c r="C1458" s="505" t="s">
        <v>119</v>
      </c>
      <c r="D1458" s="506">
        <v>1971</v>
      </c>
      <c r="E1458" s="506">
        <v>2682</v>
      </c>
      <c r="F1458" s="506">
        <v>2680</v>
      </c>
      <c r="G1458" s="507">
        <v>2</v>
      </c>
      <c r="H1458" s="503"/>
      <c r="I1458" s="503"/>
      <c r="J1458" s="503"/>
      <c r="K1458" s="503"/>
    </row>
    <row r="1459" spans="1:11" ht="12">
      <c r="A1459" s="504">
        <v>2142117147</v>
      </c>
      <c r="B1459" s="539" t="s">
        <v>1457</v>
      </c>
      <c r="C1459" s="505" t="s">
        <v>148</v>
      </c>
      <c r="D1459" s="506">
        <v>1400</v>
      </c>
      <c r="E1459" s="506">
        <v>1381</v>
      </c>
      <c r="F1459" s="506">
        <v>1380</v>
      </c>
      <c r="G1459" s="507">
        <v>1</v>
      </c>
      <c r="H1459" s="503"/>
      <c r="I1459" s="503"/>
      <c r="J1459" s="503"/>
      <c r="K1459" s="503"/>
    </row>
    <row r="1460" spans="1:11" ht="12">
      <c r="A1460" s="504">
        <v>2142117148</v>
      </c>
      <c r="B1460" s="539" t="s">
        <v>1458</v>
      </c>
      <c r="C1460" s="505" t="s">
        <v>148</v>
      </c>
      <c r="D1460" s="506">
        <v>250</v>
      </c>
      <c r="E1460" s="506">
        <v>140</v>
      </c>
      <c r="F1460" s="506">
        <v>140</v>
      </c>
      <c r="G1460" s="507">
        <v>0</v>
      </c>
      <c r="H1460" s="503"/>
      <c r="I1460" s="503"/>
      <c r="J1460" s="503"/>
      <c r="K1460" s="503"/>
    </row>
    <row r="1461" spans="1:11" ht="12">
      <c r="A1461" s="504">
        <v>2142117149</v>
      </c>
      <c r="B1461" s="539" t="s">
        <v>1459</v>
      </c>
      <c r="C1461" s="505" t="s">
        <v>148</v>
      </c>
      <c r="D1461" s="506">
        <v>650</v>
      </c>
      <c r="E1461" s="506">
        <v>810</v>
      </c>
      <c r="F1461" s="506">
        <v>810</v>
      </c>
      <c r="G1461" s="507">
        <v>0</v>
      </c>
      <c r="H1461" s="503"/>
      <c r="I1461" s="503"/>
      <c r="J1461" s="503"/>
      <c r="K1461" s="503"/>
    </row>
    <row r="1462" spans="1:11" ht="12">
      <c r="A1462" s="504">
        <v>2142117150</v>
      </c>
      <c r="B1462" s="539" t="s">
        <v>1460</v>
      </c>
      <c r="C1462" s="505" t="s">
        <v>148</v>
      </c>
      <c r="D1462" s="506">
        <v>204</v>
      </c>
      <c r="E1462" s="506">
        <v>94</v>
      </c>
      <c r="F1462" s="506">
        <v>93</v>
      </c>
      <c r="G1462" s="507">
        <v>1</v>
      </c>
      <c r="H1462" s="503"/>
      <c r="I1462" s="503"/>
      <c r="J1462" s="503"/>
      <c r="K1462" s="503"/>
    </row>
    <row r="1463" spans="1:11" ht="12">
      <c r="A1463" s="504">
        <v>2142117151</v>
      </c>
      <c r="B1463" s="539" t="s">
        <v>1461</v>
      </c>
      <c r="C1463" s="505" t="s">
        <v>148</v>
      </c>
      <c r="D1463" s="506">
        <v>1100</v>
      </c>
      <c r="E1463" s="506">
        <v>0</v>
      </c>
      <c r="F1463" s="506">
        <v>0</v>
      </c>
      <c r="G1463" s="507">
        <v>0</v>
      </c>
      <c r="H1463" s="503"/>
      <c r="I1463" s="503"/>
      <c r="J1463" s="503"/>
      <c r="K1463" s="503"/>
    </row>
    <row r="1464" spans="1:11" ht="12">
      <c r="A1464" s="504">
        <v>2142117152</v>
      </c>
      <c r="B1464" s="539" t="s">
        <v>1945</v>
      </c>
      <c r="C1464" s="505" t="s">
        <v>148</v>
      </c>
      <c r="D1464" s="506">
        <v>2397</v>
      </c>
      <c r="E1464" s="506">
        <v>2123</v>
      </c>
      <c r="F1464" s="506">
        <v>2123</v>
      </c>
      <c r="G1464" s="507">
        <v>0</v>
      </c>
      <c r="H1464" s="503"/>
      <c r="I1464" s="503"/>
      <c r="J1464" s="503"/>
      <c r="K1464" s="503"/>
    </row>
    <row r="1465" spans="1:11" ht="12">
      <c r="A1465" s="504">
        <v>2142117153</v>
      </c>
      <c r="B1465" s="539" t="s">
        <v>684</v>
      </c>
      <c r="C1465" s="505" t="s">
        <v>148</v>
      </c>
      <c r="D1465" s="506">
        <v>2365</v>
      </c>
      <c r="E1465" s="506">
        <v>2440</v>
      </c>
      <c r="F1465" s="506">
        <v>2440</v>
      </c>
      <c r="G1465" s="507">
        <v>0</v>
      </c>
      <c r="H1465" s="503"/>
      <c r="I1465" s="503"/>
      <c r="J1465" s="503"/>
      <c r="K1465" s="503"/>
    </row>
    <row r="1466" spans="1:11" ht="12">
      <c r="A1466" s="504">
        <v>2142117154</v>
      </c>
      <c r="B1466" s="539" t="s">
        <v>1946</v>
      </c>
      <c r="C1466" s="505" t="s">
        <v>148</v>
      </c>
      <c r="D1466" s="506">
        <v>3357</v>
      </c>
      <c r="E1466" s="506">
        <v>833</v>
      </c>
      <c r="F1466" s="506">
        <v>833</v>
      </c>
      <c r="G1466" s="507">
        <v>0</v>
      </c>
      <c r="H1466" s="503"/>
      <c r="I1466" s="503"/>
      <c r="J1466" s="503"/>
      <c r="K1466" s="503"/>
    </row>
    <row r="1467" spans="1:11" ht="12">
      <c r="A1467" s="504">
        <v>2142117155</v>
      </c>
      <c r="B1467" s="539" t="s">
        <v>225</v>
      </c>
      <c r="C1467" s="505" t="s">
        <v>117</v>
      </c>
      <c r="D1467" s="506">
        <v>2350</v>
      </c>
      <c r="E1467" s="506">
        <v>2374</v>
      </c>
      <c r="F1467" s="506">
        <v>2374</v>
      </c>
      <c r="G1467" s="507">
        <v>0</v>
      </c>
      <c r="H1467" s="503"/>
      <c r="I1467" s="503"/>
      <c r="J1467" s="503"/>
      <c r="K1467" s="503"/>
    </row>
    <row r="1468" spans="1:11" ht="12">
      <c r="A1468" s="504">
        <v>2142117156</v>
      </c>
      <c r="B1468" s="539" t="s">
        <v>1462</v>
      </c>
      <c r="C1468" s="505" t="s">
        <v>117</v>
      </c>
      <c r="D1468" s="506">
        <v>1500</v>
      </c>
      <c r="E1468" s="506">
        <v>1561</v>
      </c>
      <c r="F1468" s="506">
        <v>1560</v>
      </c>
      <c r="G1468" s="507">
        <v>1</v>
      </c>
      <c r="H1468" s="503"/>
      <c r="I1468" s="503"/>
      <c r="J1468" s="503"/>
      <c r="K1468" s="503"/>
    </row>
    <row r="1469" spans="1:11" ht="12">
      <c r="A1469" s="504">
        <v>2142117157</v>
      </c>
      <c r="B1469" s="539" t="s">
        <v>1463</v>
      </c>
      <c r="C1469" s="505" t="s">
        <v>117</v>
      </c>
      <c r="D1469" s="506">
        <v>700</v>
      </c>
      <c r="E1469" s="506">
        <v>680</v>
      </c>
      <c r="F1469" s="506">
        <v>679</v>
      </c>
      <c r="G1469" s="507">
        <v>1</v>
      </c>
      <c r="H1469" s="503"/>
      <c r="I1469" s="503"/>
      <c r="J1469" s="503"/>
      <c r="K1469" s="503"/>
    </row>
    <row r="1470" spans="1:11" ht="12">
      <c r="A1470" s="504">
        <v>2142117158</v>
      </c>
      <c r="B1470" s="539" t="s">
        <v>1945</v>
      </c>
      <c r="C1470" s="505" t="s">
        <v>117</v>
      </c>
      <c r="D1470" s="506">
        <v>2661</v>
      </c>
      <c r="E1470" s="506">
        <v>2511</v>
      </c>
      <c r="F1470" s="506">
        <v>2549</v>
      </c>
      <c r="G1470" s="507">
        <v>1</v>
      </c>
      <c r="H1470" s="503"/>
      <c r="I1470" s="503"/>
      <c r="J1470" s="503"/>
      <c r="K1470" s="503"/>
    </row>
    <row r="1471" spans="1:11" ht="12">
      <c r="A1471" s="504">
        <v>2142117159</v>
      </c>
      <c r="B1471" s="539" t="s">
        <v>684</v>
      </c>
      <c r="C1471" s="505" t="s">
        <v>117</v>
      </c>
      <c r="D1471" s="506">
        <v>3126</v>
      </c>
      <c r="E1471" s="506">
        <v>2276</v>
      </c>
      <c r="F1471" s="506">
        <v>2242</v>
      </c>
      <c r="G1471" s="507">
        <v>34</v>
      </c>
      <c r="H1471" s="503"/>
      <c r="I1471" s="503"/>
      <c r="J1471" s="503"/>
      <c r="K1471" s="503"/>
    </row>
    <row r="1472" spans="1:11" ht="12">
      <c r="A1472" s="504">
        <v>2142117160</v>
      </c>
      <c r="B1472" s="539" t="s">
        <v>1946</v>
      </c>
      <c r="C1472" s="505" t="s">
        <v>117</v>
      </c>
      <c r="D1472" s="506">
        <v>1751</v>
      </c>
      <c r="E1472" s="506">
        <v>1883</v>
      </c>
      <c r="F1472" s="506">
        <v>1883</v>
      </c>
      <c r="G1472" s="507">
        <v>0</v>
      </c>
      <c r="H1472" s="503"/>
      <c r="I1472" s="503"/>
      <c r="J1472" s="503"/>
      <c r="K1472" s="503"/>
    </row>
    <row r="1473" spans="1:11" ht="12">
      <c r="A1473" s="504">
        <v>2142117161</v>
      </c>
      <c r="B1473" s="539" t="s">
        <v>1464</v>
      </c>
      <c r="C1473" s="505" t="s">
        <v>117</v>
      </c>
      <c r="D1473" s="506">
        <v>2503</v>
      </c>
      <c r="E1473" s="506">
        <v>2400</v>
      </c>
      <c r="F1473" s="506">
        <v>2400</v>
      </c>
      <c r="G1473" s="507">
        <v>0</v>
      </c>
      <c r="H1473" s="503"/>
      <c r="I1473" s="503"/>
      <c r="J1473" s="503"/>
      <c r="K1473" s="503"/>
    </row>
    <row r="1474" spans="1:11" ht="12">
      <c r="A1474" s="504">
        <v>2142117162</v>
      </c>
      <c r="B1474" s="539" t="s">
        <v>1925</v>
      </c>
      <c r="C1474" s="505" t="s">
        <v>117</v>
      </c>
      <c r="D1474" s="506">
        <v>40</v>
      </c>
      <c r="E1474" s="506">
        <v>24</v>
      </c>
      <c r="F1474" s="506">
        <v>23</v>
      </c>
      <c r="G1474" s="507">
        <v>1</v>
      </c>
      <c r="H1474" s="503"/>
      <c r="I1474" s="503"/>
      <c r="J1474" s="503"/>
      <c r="K1474" s="503"/>
    </row>
    <row r="1475" spans="1:11" ht="12">
      <c r="A1475" s="504">
        <v>2142117163</v>
      </c>
      <c r="B1475" s="539" t="s">
        <v>1432</v>
      </c>
      <c r="C1475" s="505" t="s">
        <v>113</v>
      </c>
      <c r="D1475" s="506">
        <v>200</v>
      </c>
      <c r="E1475" s="506">
        <v>0</v>
      </c>
      <c r="F1475" s="506">
        <v>1181</v>
      </c>
      <c r="G1475" s="507">
        <v>0</v>
      </c>
      <c r="H1475" s="503"/>
      <c r="I1475" s="503"/>
      <c r="J1475" s="503"/>
      <c r="K1475" s="503"/>
    </row>
    <row r="1476" spans="1:11" ht="12">
      <c r="A1476" s="504">
        <v>2142117164</v>
      </c>
      <c r="B1476" s="539" t="s">
        <v>1465</v>
      </c>
      <c r="C1476" s="505" t="s">
        <v>113</v>
      </c>
      <c r="D1476" s="506">
        <v>600</v>
      </c>
      <c r="E1476" s="506">
        <v>0</v>
      </c>
      <c r="F1476" s="506">
        <v>775</v>
      </c>
      <c r="G1476" s="507">
        <v>0</v>
      </c>
      <c r="H1476" s="503"/>
      <c r="I1476" s="503"/>
      <c r="J1476" s="503"/>
      <c r="K1476" s="503"/>
    </row>
    <row r="1477" spans="1:11" ht="12">
      <c r="A1477" s="504">
        <v>2142117165</v>
      </c>
      <c r="B1477" s="539" t="s">
        <v>1466</v>
      </c>
      <c r="C1477" s="505" t="s">
        <v>113</v>
      </c>
      <c r="D1477" s="506">
        <v>3130</v>
      </c>
      <c r="E1477" s="506">
        <v>1515</v>
      </c>
      <c r="F1477" s="506">
        <v>1515</v>
      </c>
      <c r="G1477" s="507">
        <v>0</v>
      </c>
      <c r="H1477" s="503"/>
      <c r="I1477" s="503"/>
      <c r="J1477" s="503"/>
      <c r="K1477" s="503"/>
    </row>
    <row r="1478" spans="1:11" ht="12">
      <c r="A1478" s="504">
        <v>2142117166</v>
      </c>
      <c r="B1478" s="539" t="s">
        <v>1467</v>
      </c>
      <c r="C1478" s="505" t="s">
        <v>113</v>
      </c>
      <c r="D1478" s="506">
        <v>1000</v>
      </c>
      <c r="E1478" s="506">
        <v>0</v>
      </c>
      <c r="F1478" s="506">
        <v>1003</v>
      </c>
      <c r="G1478" s="507">
        <v>0</v>
      </c>
      <c r="H1478" s="503"/>
      <c r="I1478" s="503"/>
      <c r="J1478" s="503"/>
      <c r="K1478" s="503"/>
    </row>
    <row r="1479" spans="1:11" ht="12">
      <c r="A1479" s="504">
        <v>2142117167</v>
      </c>
      <c r="B1479" s="539" t="s">
        <v>1468</v>
      </c>
      <c r="C1479" s="505" t="s">
        <v>113</v>
      </c>
      <c r="D1479" s="506">
        <v>1000</v>
      </c>
      <c r="E1479" s="506">
        <v>0</v>
      </c>
      <c r="F1479" s="506">
        <v>1120</v>
      </c>
      <c r="G1479" s="507">
        <v>0</v>
      </c>
      <c r="H1479" s="503"/>
      <c r="I1479" s="503"/>
      <c r="J1479" s="503"/>
      <c r="K1479" s="503"/>
    </row>
    <row r="1480" spans="1:11" ht="12">
      <c r="A1480" s="504">
        <v>2142117168</v>
      </c>
      <c r="B1480" s="539" t="s">
        <v>1469</v>
      </c>
      <c r="C1480" s="505" t="s">
        <v>113</v>
      </c>
      <c r="D1480" s="506">
        <v>140</v>
      </c>
      <c r="E1480" s="506">
        <v>0</v>
      </c>
      <c r="F1480" s="506">
        <v>0</v>
      </c>
      <c r="G1480" s="507">
        <v>0</v>
      </c>
      <c r="H1480" s="503"/>
      <c r="I1480" s="503"/>
      <c r="J1480" s="503"/>
      <c r="K1480" s="503"/>
    </row>
    <row r="1481" spans="1:11" ht="12">
      <c r="A1481" s="504">
        <v>2142117169</v>
      </c>
      <c r="B1481" s="539" t="s">
        <v>1945</v>
      </c>
      <c r="C1481" s="505" t="s">
        <v>113</v>
      </c>
      <c r="D1481" s="506">
        <v>4870</v>
      </c>
      <c r="E1481" s="506">
        <v>5468</v>
      </c>
      <c r="F1481" s="506">
        <v>5468</v>
      </c>
      <c r="G1481" s="507">
        <v>0</v>
      </c>
      <c r="H1481" s="503"/>
      <c r="I1481" s="503"/>
      <c r="J1481" s="503"/>
      <c r="K1481" s="503"/>
    </row>
    <row r="1482" spans="1:11" ht="12">
      <c r="A1482" s="504">
        <v>2142117170</v>
      </c>
      <c r="B1482" s="539" t="s">
        <v>684</v>
      </c>
      <c r="C1482" s="505" t="s">
        <v>113</v>
      </c>
      <c r="D1482" s="506">
        <v>9406</v>
      </c>
      <c r="E1482" s="506">
        <v>4902</v>
      </c>
      <c r="F1482" s="506">
        <v>4899</v>
      </c>
      <c r="G1482" s="507">
        <v>3</v>
      </c>
      <c r="H1482" s="503"/>
      <c r="I1482" s="503"/>
      <c r="J1482" s="503"/>
      <c r="K1482" s="503"/>
    </row>
    <row r="1483" spans="1:11" ht="12">
      <c r="A1483" s="504">
        <v>2142117171</v>
      </c>
      <c r="B1483" s="539" t="s">
        <v>1792</v>
      </c>
      <c r="C1483" s="505" t="s">
        <v>113</v>
      </c>
      <c r="D1483" s="506">
        <v>21</v>
      </c>
      <c r="E1483" s="506">
        <v>12</v>
      </c>
      <c r="F1483" s="506">
        <v>12</v>
      </c>
      <c r="G1483" s="507">
        <v>0</v>
      </c>
      <c r="H1483" s="503"/>
      <c r="I1483" s="503"/>
      <c r="J1483" s="503"/>
      <c r="K1483" s="503"/>
    </row>
    <row r="1484" spans="1:11" ht="12">
      <c r="A1484" s="504">
        <v>2142117172</v>
      </c>
      <c r="B1484" s="539" t="s">
        <v>1946</v>
      </c>
      <c r="C1484" s="505" t="s">
        <v>113</v>
      </c>
      <c r="D1484" s="506">
        <v>1253</v>
      </c>
      <c r="E1484" s="506">
        <v>1681</v>
      </c>
      <c r="F1484" s="506">
        <v>1679</v>
      </c>
      <c r="G1484" s="507">
        <v>0</v>
      </c>
      <c r="H1484" s="503"/>
      <c r="I1484" s="503"/>
      <c r="J1484" s="503"/>
      <c r="K1484" s="503"/>
    </row>
    <row r="1485" spans="1:11" ht="12">
      <c r="A1485" s="504">
        <v>2142117173</v>
      </c>
      <c r="B1485" s="539" t="s">
        <v>1925</v>
      </c>
      <c r="C1485" s="505" t="s">
        <v>113</v>
      </c>
      <c r="D1485" s="506">
        <v>250</v>
      </c>
      <c r="E1485" s="506">
        <v>100</v>
      </c>
      <c r="F1485" s="506">
        <v>100</v>
      </c>
      <c r="G1485" s="507">
        <v>0</v>
      </c>
      <c r="H1485" s="503"/>
      <c r="I1485" s="503"/>
      <c r="J1485" s="503"/>
      <c r="K1485" s="503"/>
    </row>
    <row r="1486" spans="1:11" ht="12">
      <c r="A1486" s="504">
        <v>2142117174</v>
      </c>
      <c r="B1486" s="539" t="s">
        <v>1817</v>
      </c>
      <c r="C1486" s="505" t="s">
        <v>113</v>
      </c>
      <c r="D1486" s="506">
        <v>4900</v>
      </c>
      <c r="E1486" s="506">
        <v>8009</v>
      </c>
      <c r="F1486" s="506">
        <v>8008</v>
      </c>
      <c r="G1486" s="507">
        <v>1</v>
      </c>
      <c r="H1486" s="503"/>
      <c r="I1486" s="503"/>
      <c r="J1486" s="503"/>
      <c r="K1486" s="503"/>
    </row>
    <row r="1487" spans="1:11" ht="12">
      <c r="A1487" s="504">
        <v>2142117175</v>
      </c>
      <c r="B1487" s="539" t="s">
        <v>1470</v>
      </c>
      <c r="C1487" s="505" t="s">
        <v>146</v>
      </c>
      <c r="D1487" s="506">
        <v>700</v>
      </c>
      <c r="E1487" s="506">
        <v>0</v>
      </c>
      <c r="F1487" s="506">
        <v>0</v>
      </c>
      <c r="G1487" s="507">
        <v>0</v>
      </c>
      <c r="H1487" s="503"/>
      <c r="I1487" s="503"/>
      <c r="J1487" s="503"/>
      <c r="K1487" s="503"/>
    </row>
    <row r="1488" spans="1:11" ht="12">
      <c r="A1488" s="504">
        <v>2142117176</v>
      </c>
      <c r="B1488" s="539" t="s">
        <v>1471</v>
      </c>
      <c r="C1488" s="505" t="s">
        <v>146</v>
      </c>
      <c r="D1488" s="506">
        <v>819</v>
      </c>
      <c r="E1488" s="506">
        <v>233</v>
      </c>
      <c r="F1488" s="506">
        <v>232</v>
      </c>
      <c r="G1488" s="507">
        <v>1</v>
      </c>
      <c r="H1488" s="503"/>
      <c r="I1488" s="503"/>
      <c r="J1488" s="503"/>
      <c r="K1488" s="503"/>
    </row>
    <row r="1489" spans="1:11" ht="12">
      <c r="A1489" s="504">
        <v>2142117177</v>
      </c>
      <c r="B1489" s="539" t="s">
        <v>1472</v>
      </c>
      <c r="C1489" s="505" t="s">
        <v>146</v>
      </c>
      <c r="D1489" s="506">
        <v>1800</v>
      </c>
      <c r="E1489" s="506">
        <v>3075</v>
      </c>
      <c r="F1489" s="506">
        <v>3075</v>
      </c>
      <c r="G1489" s="507">
        <v>0</v>
      </c>
      <c r="H1489" s="503"/>
      <c r="I1489" s="503"/>
      <c r="J1489" s="503"/>
      <c r="K1489" s="503"/>
    </row>
    <row r="1490" spans="1:11" ht="12">
      <c r="A1490" s="504">
        <v>2142117178</v>
      </c>
      <c r="B1490" s="539" t="s">
        <v>1945</v>
      </c>
      <c r="C1490" s="505" t="s">
        <v>146</v>
      </c>
      <c r="D1490" s="506">
        <v>2675</v>
      </c>
      <c r="E1490" s="506">
        <v>1894</v>
      </c>
      <c r="F1490" s="506">
        <v>2849</v>
      </c>
      <c r="G1490" s="507">
        <v>0</v>
      </c>
      <c r="H1490" s="503"/>
      <c r="I1490" s="503"/>
      <c r="J1490" s="503"/>
      <c r="K1490" s="503"/>
    </row>
    <row r="1491" spans="1:11" ht="12">
      <c r="A1491" s="504">
        <v>2142117179</v>
      </c>
      <c r="B1491" s="539" t="s">
        <v>684</v>
      </c>
      <c r="C1491" s="505" t="s">
        <v>146</v>
      </c>
      <c r="D1491" s="506">
        <v>3121</v>
      </c>
      <c r="E1491" s="506">
        <v>2339</v>
      </c>
      <c r="F1491" s="506">
        <v>2509</v>
      </c>
      <c r="G1491" s="507">
        <v>3</v>
      </c>
      <c r="H1491" s="503"/>
      <c r="I1491" s="503"/>
      <c r="J1491" s="503"/>
      <c r="K1491" s="503"/>
    </row>
    <row r="1492" spans="1:11" ht="12">
      <c r="A1492" s="504">
        <v>2142117180</v>
      </c>
      <c r="B1492" s="539" t="s">
        <v>1792</v>
      </c>
      <c r="C1492" s="505" t="s">
        <v>146</v>
      </c>
      <c r="D1492" s="506">
        <v>106</v>
      </c>
      <c r="E1492" s="506">
        <v>102</v>
      </c>
      <c r="F1492" s="506">
        <v>101</v>
      </c>
      <c r="G1492" s="507">
        <v>1</v>
      </c>
      <c r="H1492" s="503"/>
      <c r="I1492" s="503"/>
      <c r="J1492" s="503"/>
      <c r="K1492" s="503"/>
    </row>
    <row r="1493" spans="1:11" ht="12">
      <c r="A1493" s="504">
        <v>2142117181</v>
      </c>
      <c r="B1493" s="539" t="s">
        <v>1946</v>
      </c>
      <c r="C1493" s="505" t="s">
        <v>146</v>
      </c>
      <c r="D1493" s="506">
        <v>703</v>
      </c>
      <c r="E1493" s="506">
        <v>1401</v>
      </c>
      <c r="F1493" s="506">
        <v>1401</v>
      </c>
      <c r="G1493" s="507">
        <v>0</v>
      </c>
      <c r="H1493" s="503"/>
      <c r="I1493" s="503"/>
      <c r="J1493" s="503"/>
      <c r="K1493" s="503"/>
    </row>
    <row r="1494" spans="1:11" ht="12">
      <c r="A1494" s="504">
        <v>2142117182</v>
      </c>
      <c r="B1494" s="539" t="s">
        <v>1925</v>
      </c>
      <c r="C1494" s="505" t="s">
        <v>146</v>
      </c>
      <c r="D1494" s="506">
        <v>100</v>
      </c>
      <c r="E1494" s="506">
        <v>28</v>
      </c>
      <c r="F1494" s="506">
        <v>27</v>
      </c>
      <c r="G1494" s="507">
        <v>1</v>
      </c>
      <c r="H1494" s="503"/>
      <c r="I1494" s="503"/>
      <c r="J1494" s="503"/>
      <c r="K1494" s="503"/>
    </row>
    <row r="1495" spans="1:11" ht="12">
      <c r="A1495" s="504">
        <v>2142117183</v>
      </c>
      <c r="B1495" s="539" t="s">
        <v>1793</v>
      </c>
      <c r="C1495" s="505" t="s">
        <v>146</v>
      </c>
      <c r="D1495" s="506">
        <v>1580</v>
      </c>
      <c r="E1495" s="506">
        <v>2531</v>
      </c>
      <c r="F1495" s="506">
        <v>2999</v>
      </c>
      <c r="G1495" s="507">
        <v>0</v>
      </c>
      <c r="H1495" s="503"/>
      <c r="I1495" s="503"/>
      <c r="J1495" s="503"/>
      <c r="K1495" s="503"/>
    </row>
    <row r="1496" spans="1:11" ht="12">
      <c r="A1496" s="504">
        <v>2142117184</v>
      </c>
      <c r="B1496" s="539" t="s">
        <v>1473</v>
      </c>
      <c r="C1496" s="505" t="s">
        <v>747</v>
      </c>
      <c r="D1496" s="506">
        <v>2470</v>
      </c>
      <c r="E1496" s="506">
        <v>2470</v>
      </c>
      <c r="F1496" s="506">
        <v>2470</v>
      </c>
      <c r="G1496" s="507">
        <v>0</v>
      </c>
      <c r="H1496" s="503"/>
      <c r="I1496" s="503"/>
      <c r="J1496" s="503"/>
      <c r="K1496" s="503"/>
    </row>
    <row r="1497" spans="1:11" ht="12">
      <c r="A1497" s="504">
        <v>2142117185</v>
      </c>
      <c r="B1497" s="539" t="s">
        <v>1474</v>
      </c>
      <c r="C1497" s="505" t="s">
        <v>747</v>
      </c>
      <c r="D1497" s="506">
        <v>1440</v>
      </c>
      <c r="E1497" s="506">
        <v>0</v>
      </c>
      <c r="F1497" s="506">
        <v>0</v>
      </c>
      <c r="G1497" s="507">
        <v>0</v>
      </c>
      <c r="H1497" s="503"/>
      <c r="I1497" s="503"/>
      <c r="J1497" s="503"/>
      <c r="K1497" s="503"/>
    </row>
    <row r="1498" spans="1:11" ht="12">
      <c r="A1498" s="504">
        <v>2142117186</v>
      </c>
      <c r="B1498" s="539" t="s">
        <v>1475</v>
      </c>
      <c r="C1498" s="505" t="s">
        <v>747</v>
      </c>
      <c r="D1498" s="506">
        <v>180</v>
      </c>
      <c r="E1498" s="506">
        <v>0</v>
      </c>
      <c r="F1498" s="506">
        <v>0</v>
      </c>
      <c r="G1498" s="507">
        <v>0</v>
      </c>
      <c r="H1498" s="503"/>
      <c r="I1498" s="503"/>
      <c r="J1498" s="503"/>
      <c r="K1498" s="503"/>
    </row>
    <row r="1499" spans="1:11" ht="12">
      <c r="A1499" s="504">
        <v>2142117187</v>
      </c>
      <c r="B1499" s="539" t="s">
        <v>1476</v>
      </c>
      <c r="C1499" s="505" t="s">
        <v>747</v>
      </c>
      <c r="D1499" s="506">
        <v>937</v>
      </c>
      <c r="E1499" s="506">
        <v>0</v>
      </c>
      <c r="F1499" s="506">
        <v>0</v>
      </c>
      <c r="G1499" s="507">
        <v>0</v>
      </c>
      <c r="H1499" s="503"/>
      <c r="I1499" s="503"/>
      <c r="J1499" s="503"/>
      <c r="K1499" s="503"/>
    </row>
    <row r="1500" spans="1:11" ht="12">
      <c r="A1500" s="504">
        <v>2142117188</v>
      </c>
      <c r="B1500" s="539" t="s">
        <v>1945</v>
      </c>
      <c r="C1500" s="505" t="s">
        <v>747</v>
      </c>
      <c r="D1500" s="506">
        <v>3827</v>
      </c>
      <c r="E1500" s="506">
        <v>3955</v>
      </c>
      <c r="F1500" s="506">
        <v>3955</v>
      </c>
      <c r="G1500" s="507">
        <v>0</v>
      </c>
      <c r="H1500" s="503"/>
      <c r="I1500" s="503"/>
      <c r="J1500" s="503"/>
      <c r="K1500" s="503"/>
    </row>
    <row r="1501" spans="1:11" ht="12">
      <c r="A1501" s="504">
        <v>2142117189</v>
      </c>
      <c r="B1501" s="539" t="s">
        <v>684</v>
      </c>
      <c r="C1501" s="505" t="s">
        <v>747</v>
      </c>
      <c r="D1501" s="506">
        <v>6200</v>
      </c>
      <c r="E1501" s="506">
        <v>4820</v>
      </c>
      <c r="F1501" s="506">
        <v>4820</v>
      </c>
      <c r="G1501" s="507">
        <v>0</v>
      </c>
      <c r="H1501" s="503"/>
      <c r="I1501" s="503"/>
      <c r="J1501" s="503"/>
      <c r="K1501" s="503"/>
    </row>
    <row r="1502" spans="1:11" ht="12">
      <c r="A1502" s="504">
        <v>2142117190</v>
      </c>
      <c r="B1502" s="539" t="s">
        <v>1792</v>
      </c>
      <c r="C1502" s="505" t="s">
        <v>747</v>
      </c>
      <c r="D1502" s="506">
        <v>70</v>
      </c>
      <c r="E1502" s="506">
        <v>34</v>
      </c>
      <c r="F1502" s="506">
        <v>32</v>
      </c>
      <c r="G1502" s="507">
        <v>0</v>
      </c>
      <c r="H1502" s="503"/>
      <c r="I1502" s="503"/>
      <c r="J1502" s="503"/>
      <c r="K1502" s="503"/>
    </row>
    <row r="1503" spans="1:11" ht="12">
      <c r="A1503" s="504">
        <v>2142117191</v>
      </c>
      <c r="B1503" s="539" t="s">
        <v>1946</v>
      </c>
      <c r="C1503" s="505" t="s">
        <v>747</v>
      </c>
      <c r="D1503" s="506">
        <v>400</v>
      </c>
      <c r="E1503" s="506">
        <v>400</v>
      </c>
      <c r="F1503" s="506">
        <v>399</v>
      </c>
      <c r="G1503" s="507">
        <v>0</v>
      </c>
      <c r="H1503" s="503"/>
      <c r="I1503" s="503"/>
      <c r="J1503" s="503"/>
      <c r="K1503" s="503"/>
    </row>
    <row r="1504" spans="1:11" ht="12">
      <c r="A1504" s="504">
        <v>2142117192</v>
      </c>
      <c r="B1504" s="539" t="s">
        <v>1817</v>
      </c>
      <c r="C1504" s="505" t="s">
        <v>747</v>
      </c>
      <c r="D1504" s="506">
        <v>1480</v>
      </c>
      <c r="E1504" s="506">
        <v>2080</v>
      </c>
      <c r="F1504" s="506">
        <v>2079</v>
      </c>
      <c r="G1504" s="507">
        <v>0</v>
      </c>
      <c r="H1504" s="503"/>
      <c r="I1504" s="503"/>
      <c r="J1504" s="503"/>
      <c r="K1504" s="503"/>
    </row>
    <row r="1505" spans="1:11" ht="12">
      <c r="A1505" s="504">
        <v>2142117193</v>
      </c>
      <c r="B1505" s="539" t="s">
        <v>1477</v>
      </c>
      <c r="C1505" s="505" t="s">
        <v>156</v>
      </c>
      <c r="D1505" s="506">
        <v>1080</v>
      </c>
      <c r="E1505" s="506">
        <v>1081</v>
      </c>
      <c r="F1505" s="506">
        <v>1080</v>
      </c>
      <c r="G1505" s="507">
        <v>1</v>
      </c>
      <c r="H1505" s="503"/>
      <c r="I1505" s="503"/>
      <c r="J1505" s="503"/>
      <c r="K1505" s="503"/>
    </row>
    <row r="1506" spans="1:11" ht="12">
      <c r="A1506" s="504">
        <v>2142117194</v>
      </c>
      <c r="B1506" s="539" t="s">
        <v>1478</v>
      </c>
      <c r="C1506" s="505" t="s">
        <v>156</v>
      </c>
      <c r="D1506" s="506">
        <v>500</v>
      </c>
      <c r="E1506" s="506">
        <v>500</v>
      </c>
      <c r="F1506" s="506">
        <v>500</v>
      </c>
      <c r="G1506" s="507">
        <v>0</v>
      </c>
      <c r="H1506" s="503"/>
      <c r="I1506" s="503"/>
      <c r="J1506" s="503"/>
      <c r="K1506" s="503"/>
    </row>
    <row r="1507" spans="1:11" ht="12">
      <c r="A1507" s="504">
        <v>2142117195</v>
      </c>
      <c r="B1507" s="539" t="s">
        <v>1479</v>
      </c>
      <c r="C1507" s="505" t="s">
        <v>156</v>
      </c>
      <c r="D1507" s="506">
        <v>800</v>
      </c>
      <c r="E1507" s="506">
        <v>800</v>
      </c>
      <c r="F1507" s="506">
        <v>798</v>
      </c>
      <c r="G1507" s="507">
        <v>2</v>
      </c>
      <c r="H1507" s="503"/>
      <c r="I1507" s="503"/>
      <c r="J1507" s="503"/>
      <c r="K1507" s="503"/>
    </row>
    <row r="1508" spans="1:11" ht="12">
      <c r="A1508" s="504">
        <v>2142117196</v>
      </c>
      <c r="B1508" s="539" t="s">
        <v>1480</v>
      </c>
      <c r="C1508" s="505" t="s">
        <v>156</v>
      </c>
      <c r="D1508" s="506">
        <v>400</v>
      </c>
      <c r="E1508" s="506">
        <v>400</v>
      </c>
      <c r="F1508" s="506">
        <v>400</v>
      </c>
      <c r="G1508" s="507">
        <v>0</v>
      </c>
      <c r="H1508" s="503"/>
      <c r="I1508" s="503"/>
      <c r="J1508" s="503"/>
      <c r="K1508" s="503"/>
    </row>
    <row r="1509" spans="1:11" ht="12">
      <c r="A1509" s="504">
        <v>2142117197</v>
      </c>
      <c r="B1509" s="539" t="s">
        <v>1481</v>
      </c>
      <c r="C1509" s="505" t="s">
        <v>156</v>
      </c>
      <c r="D1509" s="506">
        <v>180</v>
      </c>
      <c r="E1509" s="506">
        <v>180</v>
      </c>
      <c r="F1509" s="506">
        <v>180</v>
      </c>
      <c r="G1509" s="507">
        <v>0</v>
      </c>
      <c r="H1509" s="503"/>
      <c r="I1509" s="503"/>
      <c r="J1509" s="503"/>
      <c r="K1509" s="503"/>
    </row>
    <row r="1510" spans="1:11" ht="12">
      <c r="A1510" s="504">
        <v>2142117198</v>
      </c>
      <c r="B1510" s="539" t="s">
        <v>1482</v>
      </c>
      <c r="C1510" s="505" t="s">
        <v>156</v>
      </c>
      <c r="D1510" s="506">
        <v>170</v>
      </c>
      <c r="E1510" s="506">
        <v>170</v>
      </c>
      <c r="F1510" s="506">
        <v>170</v>
      </c>
      <c r="G1510" s="507">
        <v>0</v>
      </c>
      <c r="H1510" s="503"/>
      <c r="I1510" s="503"/>
      <c r="J1510" s="503"/>
      <c r="K1510" s="503"/>
    </row>
    <row r="1511" spans="1:11" ht="12">
      <c r="A1511" s="504">
        <v>2142117199</v>
      </c>
      <c r="B1511" s="539" t="s">
        <v>1945</v>
      </c>
      <c r="C1511" s="505" t="s">
        <v>156</v>
      </c>
      <c r="D1511" s="506">
        <v>2082</v>
      </c>
      <c r="E1511" s="506">
        <v>2470</v>
      </c>
      <c r="F1511" s="506">
        <v>2464</v>
      </c>
      <c r="G1511" s="507">
        <v>5</v>
      </c>
      <c r="H1511" s="503"/>
      <c r="I1511" s="503"/>
      <c r="J1511" s="503"/>
      <c r="K1511" s="503"/>
    </row>
    <row r="1512" spans="1:11" ht="12">
      <c r="A1512" s="504">
        <v>2142117200</v>
      </c>
      <c r="B1512" s="539" t="s">
        <v>684</v>
      </c>
      <c r="C1512" s="505" t="s">
        <v>156</v>
      </c>
      <c r="D1512" s="506">
        <v>2008</v>
      </c>
      <c r="E1512" s="506">
        <v>2358</v>
      </c>
      <c r="F1512" s="506">
        <v>2358</v>
      </c>
      <c r="G1512" s="507">
        <v>0</v>
      </c>
      <c r="H1512" s="503"/>
      <c r="I1512" s="503"/>
      <c r="J1512" s="503"/>
      <c r="K1512" s="503"/>
    </row>
    <row r="1513" spans="1:11" ht="12">
      <c r="A1513" s="504">
        <v>2142117201</v>
      </c>
      <c r="B1513" s="539" t="s">
        <v>1792</v>
      </c>
      <c r="C1513" s="505" t="s">
        <v>156</v>
      </c>
      <c r="D1513" s="506">
        <v>25</v>
      </c>
      <c r="E1513" s="506">
        <v>23</v>
      </c>
      <c r="F1513" s="506">
        <v>23</v>
      </c>
      <c r="G1513" s="507">
        <v>0</v>
      </c>
      <c r="H1513" s="503"/>
      <c r="I1513" s="503"/>
      <c r="J1513" s="503"/>
      <c r="K1513" s="503"/>
    </row>
    <row r="1514" spans="1:11" ht="12">
      <c r="A1514" s="504">
        <v>2142117202</v>
      </c>
      <c r="B1514" s="539" t="s">
        <v>1793</v>
      </c>
      <c r="C1514" s="505" t="s">
        <v>156</v>
      </c>
      <c r="D1514" s="506">
        <v>970</v>
      </c>
      <c r="E1514" s="506">
        <v>1080</v>
      </c>
      <c r="F1514" s="506">
        <v>1075</v>
      </c>
      <c r="G1514" s="507">
        <v>5</v>
      </c>
      <c r="H1514" s="503"/>
      <c r="I1514" s="503"/>
      <c r="J1514" s="503"/>
      <c r="K1514" s="503"/>
    </row>
    <row r="1515" spans="1:11" ht="12">
      <c r="A1515" s="504">
        <v>2142117203</v>
      </c>
      <c r="B1515" s="539" t="s">
        <v>1946</v>
      </c>
      <c r="C1515" s="505" t="s">
        <v>156</v>
      </c>
      <c r="D1515" s="506">
        <v>595</v>
      </c>
      <c r="E1515" s="506">
        <v>672</v>
      </c>
      <c r="F1515" s="506">
        <v>671</v>
      </c>
      <c r="G1515" s="507">
        <v>1</v>
      </c>
      <c r="H1515" s="503"/>
      <c r="I1515" s="503"/>
      <c r="J1515" s="503"/>
      <c r="K1515" s="503"/>
    </row>
    <row r="1516" spans="1:11" ht="12">
      <c r="A1516" s="504">
        <v>2142117204</v>
      </c>
      <c r="B1516" s="539" t="s">
        <v>1925</v>
      </c>
      <c r="C1516" s="505" t="s">
        <v>156</v>
      </c>
      <c r="D1516" s="506">
        <v>270</v>
      </c>
      <c r="E1516" s="506">
        <v>44</v>
      </c>
      <c r="F1516" s="506">
        <v>43</v>
      </c>
      <c r="G1516" s="507">
        <v>1</v>
      </c>
      <c r="H1516" s="503"/>
      <c r="I1516" s="503"/>
      <c r="J1516" s="503"/>
      <c r="K1516" s="503"/>
    </row>
    <row r="1517" spans="1:11" ht="12">
      <c r="A1517" s="504">
        <v>2142117205</v>
      </c>
      <c r="B1517" s="539" t="s">
        <v>1945</v>
      </c>
      <c r="C1517" s="505" t="s">
        <v>1483</v>
      </c>
      <c r="D1517" s="506">
        <v>70</v>
      </c>
      <c r="E1517" s="506">
        <v>70</v>
      </c>
      <c r="F1517" s="506">
        <v>70</v>
      </c>
      <c r="G1517" s="507">
        <v>0</v>
      </c>
      <c r="H1517" s="503"/>
      <c r="I1517" s="503"/>
      <c r="J1517" s="503"/>
      <c r="K1517" s="503"/>
    </row>
    <row r="1518" spans="1:11" ht="12">
      <c r="A1518" s="504">
        <v>2142117206</v>
      </c>
      <c r="B1518" s="539" t="s">
        <v>1925</v>
      </c>
      <c r="C1518" s="505" t="s">
        <v>1483</v>
      </c>
      <c r="D1518" s="506">
        <v>10</v>
      </c>
      <c r="E1518" s="506">
        <v>10</v>
      </c>
      <c r="F1518" s="506">
        <v>3</v>
      </c>
      <c r="G1518" s="507">
        <v>7</v>
      </c>
      <c r="H1518" s="503"/>
      <c r="I1518" s="503"/>
      <c r="J1518" s="503"/>
      <c r="K1518" s="503"/>
    </row>
    <row r="1519" spans="1:11" ht="12">
      <c r="A1519" s="504">
        <v>2142117207</v>
      </c>
      <c r="B1519" s="539" t="s">
        <v>1484</v>
      </c>
      <c r="C1519" s="505" t="s">
        <v>1483</v>
      </c>
      <c r="D1519" s="506">
        <v>100</v>
      </c>
      <c r="E1519" s="506">
        <v>100</v>
      </c>
      <c r="F1519" s="506">
        <v>100</v>
      </c>
      <c r="G1519" s="507">
        <v>0</v>
      </c>
      <c r="H1519" s="503"/>
      <c r="I1519" s="503"/>
      <c r="J1519" s="503"/>
      <c r="K1519" s="503"/>
    </row>
    <row r="1520" spans="1:11" ht="12">
      <c r="A1520" s="504">
        <v>2142117208</v>
      </c>
      <c r="B1520" s="539" t="s">
        <v>1817</v>
      </c>
      <c r="C1520" s="505" t="s">
        <v>1483</v>
      </c>
      <c r="D1520" s="506">
        <v>160</v>
      </c>
      <c r="E1520" s="506">
        <v>160</v>
      </c>
      <c r="F1520" s="506">
        <v>159</v>
      </c>
      <c r="G1520" s="507">
        <v>1</v>
      </c>
      <c r="H1520" s="503"/>
      <c r="I1520" s="503"/>
      <c r="J1520" s="503"/>
      <c r="K1520" s="503"/>
    </row>
    <row r="1521" spans="1:11" ht="12">
      <c r="A1521" s="504">
        <v>2142117209</v>
      </c>
      <c r="B1521" s="539" t="s">
        <v>684</v>
      </c>
      <c r="C1521" s="505" t="s">
        <v>1483</v>
      </c>
      <c r="D1521" s="506">
        <v>220</v>
      </c>
      <c r="E1521" s="506">
        <v>220</v>
      </c>
      <c r="F1521" s="506">
        <v>156</v>
      </c>
      <c r="G1521" s="507">
        <v>64</v>
      </c>
      <c r="H1521" s="503"/>
      <c r="I1521" s="503"/>
      <c r="J1521" s="503"/>
      <c r="K1521" s="503"/>
    </row>
    <row r="1522" spans="1:11" ht="12">
      <c r="A1522" s="504">
        <v>2142117210</v>
      </c>
      <c r="B1522" s="539" t="s">
        <v>1485</v>
      </c>
      <c r="C1522" s="505" t="s">
        <v>150</v>
      </c>
      <c r="D1522" s="506">
        <v>187</v>
      </c>
      <c r="E1522" s="506">
        <v>187</v>
      </c>
      <c r="F1522" s="506">
        <v>187</v>
      </c>
      <c r="G1522" s="507">
        <v>0</v>
      </c>
      <c r="H1522" s="503"/>
      <c r="I1522" s="503"/>
      <c r="J1522" s="503"/>
      <c r="K1522" s="503"/>
    </row>
    <row r="1523" spans="1:11" ht="12">
      <c r="A1523" s="504">
        <v>2142117211</v>
      </c>
      <c r="B1523" s="539" t="s">
        <v>1486</v>
      </c>
      <c r="C1523" s="505" t="s">
        <v>150</v>
      </c>
      <c r="D1523" s="506">
        <v>518</v>
      </c>
      <c r="E1523" s="506">
        <v>518</v>
      </c>
      <c r="F1523" s="506">
        <v>518</v>
      </c>
      <c r="G1523" s="507">
        <v>0</v>
      </c>
      <c r="H1523" s="503"/>
      <c r="I1523" s="503"/>
      <c r="J1523" s="503"/>
      <c r="K1523" s="503"/>
    </row>
    <row r="1524" spans="1:11" ht="12">
      <c r="A1524" s="504">
        <v>2142117212</v>
      </c>
      <c r="B1524" s="539" t="s">
        <v>1487</v>
      </c>
      <c r="C1524" s="505" t="s">
        <v>109</v>
      </c>
      <c r="D1524" s="506">
        <v>0</v>
      </c>
      <c r="E1524" s="506">
        <v>1370</v>
      </c>
      <c r="F1524" s="506">
        <v>1369</v>
      </c>
      <c r="G1524" s="507">
        <v>1</v>
      </c>
      <c r="H1524" s="503"/>
      <c r="I1524" s="503"/>
      <c r="J1524" s="503"/>
      <c r="K1524" s="503"/>
    </row>
    <row r="1525" spans="1:11" ht="12">
      <c r="A1525" s="504">
        <v>2142117213</v>
      </c>
      <c r="B1525" s="539" t="s">
        <v>1488</v>
      </c>
      <c r="C1525" s="505" t="s">
        <v>390</v>
      </c>
      <c r="D1525" s="506">
        <v>0</v>
      </c>
      <c r="E1525" s="506">
        <v>901</v>
      </c>
      <c r="F1525" s="506">
        <v>889</v>
      </c>
      <c r="G1525" s="507">
        <v>12</v>
      </c>
      <c r="H1525" s="503"/>
      <c r="I1525" s="503"/>
      <c r="J1525" s="503"/>
      <c r="K1525" s="503"/>
    </row>
    <row r="1526" spans="1:11" ht="12">
      <c r="A1526" s="504">
        <v>2142117214</v>
      </c>
      <c r="B1526" s="539" t="s">
        <v>1487</v>
      </c>
      <c r="C1526" s="505" t="s">
        <v>390</v>
      </c>
      <c r="D1526" s="506">
        <v>0</v>
      </c>
      <c r="E1526" s="506">
        <v>200</v>
      </c>
      <c r="F1526" s="506">
        <v>200</v>
      </c>
      <c r="G1526" s="507">
        <v>0</v>
      </c>
      <c r="H1526" s="503"/>
      <c r="I1526" s="503"/>
      <c r="J1526" s="503"/>
      <c r="K1526" s="503"/>
    </row>
    <row r="1527" spans="1:11" ht="12">
      <c r="A1527" s="504">
        <v>2142117215</v>
      </c>
      <c r="B1527" s="539" t="s">
        <v>1489</v>
      </c>
      <c r="C1527" s="505" t="s">
        <v>390</v>
      </c>
      <c r="D1527" s="506">
        <v>0</v>
      </c>
      <c r="E1527" s="506">
        <v>1800</v>
      </c>
      <c r="F1527" s="506">
        <v>1799</v>
      </c>
      <c r="G1527" s="507">
        <v>1</v>
      </c>
      <c r="H1527" s="503"/>
      <c r="I1527" s="503"/>
      <c r="J1527" s="503"/>
      <c r="K1527" s="503"/>
    </row>
    <row r="1528" spans="1:11" ht="12">
      <c r="A1528" s="504">
        <v>2142117216</v>
      </c>
      <c r="B1528" s="539" t="s">
        <v>1487</v>
      </c>
      <c r="C1528" s="505" t="s">
        <v>148</v>
      </c>
      <c r="D1528" s="506">
        <v>0</v>
      </c>
      <c r="E1528" s="506">
        <v>3303</v>
      </c>
      <c r="F1528" s="506">
        <v>3303</v>
      </c>
      <c r="G1528" s="507">
        <v>0</v>
      </c>
      <c r="H1528" s="503"/>
      <c r="I1528" s="503"/>
      <c r="J1528" s="503"/>
      <c r="K1528" s="503"/>
    </row>
    <row r="1529" spans="1:11" ht="12">
      <c r="A1529" s="504">
        <v>2142117217</v>
      </c>
      <c r="B1529" s="539" t="s">
        <v>1490</v>
      </c>
      <c r="C1529" s="505" t="s">
        <v>390</v>
      </c>
      <c r="D1529" s="506">
        <v>0</v>
      </c>
      <c r="E1529" s="506">
        <v>670</v>
      </c>
      <c r="F1529" s="506">
        <v>670</v>
      </c>
      <c r="G1529" s="507">
        <v>0</v>
      </c>
      <c r="H1529" s="503"/>
      <c r="I1529" s="503"/>
      <c r="J1529" s="503"/>
      <c r="K1529" s="503"/>
    </row>
    <row r="1530" spans="1:11" ht="12">
      <c r="A1530" s="504">
        <v>2142117218</v>
      </c>
      <c r="B1530" s="539" t="s">
        <v>1790</v>
      </c>
      <c r="C1530" s="505" t="s">
        <v>148</v>
      </c>
      <c r="D1530" s="506">
        <v>0</v>
      </c>
      <c r="E1530" s="506">
        <v>117</v>
      </c>
      <c r="F1530" s="506">
        <v>116</v>
      </c>
      <c r="G1530" s="507">
        <v>1</v>
      </c>
      <c r="H1530" s="503"/>
      <c r="I1530" s="503"/>
      <c r="J1530" s="503"/>
      <c r="K1530" s="503"/>
    </row>
    <row r="1531" spans="1:11" ht="12">
      <c r="A1531" s="504">
        <v>2142117219</v>
      </c>
      <c r="B1531" s="539" t="s">
        <v>1491</v>
      </c>
      <c r="C1531" s="505" t="s">
        <v>148</v>
      </c>
      <c r="D1531" s="506">
        <v>0</v>
      </c>
      <c r="E1531" s="506">
        <v>379</v>
      </c>
      <c r="F1531" s="506">
        <v>379</v>
      </c>
      <c r="G1531" s="507">
        <v>0</v>
      </c>
      <c r="H1531" s="503"/>
      <c r="I1531" s="503"/>
      <c r="J1531" s="503"/>
      <c r="K1531" s="503"/>
    </row>
    <row r="1532" spans="1:11" ht="12">
      <c r="A1532" s="504">
        <v>2142117220</v>
      </c>
      <c r="B1532" s="539" t="s">
        <v>1492</v>
      </c>
      <c r="C1532" s="505" t="s">
        <v>148</v>
      </c>
      <c r="D1532" s="506">
        <v>0</v>
      </c>
      <c r="E1532" s="506">
        <v>450</v>
      </c>
      <c r="F1532" s="506">
        <v>450</v>
      </c>
      <c r="G1532" s="507">
        <v>0</v>
      </c>
      <c r="H1532" s="503"/>
      <c r="I1532" s="503"/>
      <c r="J1532" s="503"/>
      <c r="K1532" s="503"/>
    </row>
    <row r="1533" spans="1:11" ht="12">
      <c r="A1533" s="504">
        <v>2142117221</v>
      </c>
      <c r="B1533" s="539" t="s">
        <v>1493</v>
      </c>
      <c r="C1533" s="505" t="s">
        <v>148</v>
      </c>
      <c r="D1533" s="506">
        <v>0</v>
      </c>
      <c r="E1533" s="506">
        <v>232</v>
      </c>
      <c r="F1533" s="506">
        <v>231</v>
      </c>
      <c r="G1533" s="507">
        <v>1</v>
      </c>
      <c r="H1533" s="503"/>
      <c r="I1533" s="503"/>
      <c r="J1533" s="503"/>
      <c r="K1533" s="503"/>
    </row>
    <row r="1534" spans="1:11" ht="12">
      <c r="A1534" s="504">
        <v>2142117222</v>
      </c>
      <c r="B1534" s="539" t="s">
        <v>1817</v>
      </c>
      <c r="C1534" s="505" t="s">
        <v>150</v>
      </c>
      <c r="D1534" s="506">
        <v>0</v>
      </c>
      <c r="E1534" s="506">
        <v>2458</v>
      </c>
      <c r="F1534" s="506">
        <v>2458</v>
      </c>
      <c r="G1534" s="507">
        <v>0</v>
      </c>
      <c r="H1534" s="503"/>
      <c r="I1534" s="503"/>
      <c r="J1534" s="503"/>
      <c r="K1534" s="503"/>
    </row>
    <row r="1535" spans="1:11" ht="12">
      <c r="A1535" s="504">
        <v>2142117223</v>
      </c>
      <c r="B1535" s="539" t="s">
        <v>1494</v>
      </c>
      <c r="C1535" s="505" t="s">
        <v>115</v>
      </c>
      <c r="D1535" s="506">
        <v>0</v>
      </c>
      <c r="E1535" s="506">
        <v>3700</v>
      </c>
      <c r="F1535" s="506">
        <v>3694</v>
      </c>
      <c r="G1535" s="507">
        <v>6</v>
      </c>
      <c r="H1535" s="503"/>
      <c r="I1535" s="503"/>
      <c r="J1535" s="503"/>
      <c r="K1535" s="503"/>
    </row>
    <row r="1536" spans="1:11" ht="12">
      <c r="A1536" s="504">
        <v>2142117224</v>
      </c>
      <c r="B1536" s="539" t="s">
        <v>1495</v>
      </c>
      <c r="C1536" s="505" t="s">
        <v>745</v>
      </c>
      <c r="D1536" s="506">
        <v>0</v>
      </c>
      <c r="E1536" s="506">
        <v>1796</v>
      </c>
      <c r="F1536" s="506">
        <v>1766</v>
      </c>
      <c r="G1536" s="507">
        <v>30</v>
      </c>
      <c r="H1536" s="503"/>
      <c r="I1536" s="503"/>
      <c r="J1536" s="503"/>
      <c r="K1536" s="503"/>
    </row>
    <row r="1537" spans="1:11" ht="12">
      <c r="A1537" s="504">
        <v>2142117225</v>
      </c>
      <c r="B1537" s="539" t="s">
        <v>1496</v>
      </c>
      <c r="C1537" s="505" t="s">
        <v>747</v>
      </c>
      <c r="D1537" s="506">
        <v>0</v>
      </c>
      <c r="E1537" s="506">
        <v>1709</v>
      </c>
      <c r="F1537" s="506">
        <v>1709</v>
      </c>
      <c r="G1537" s="507">
        <v>0</v>
      </c>
      <c r="H1537" s="503"/>
      <c r="I1537" s="503"/>
      <c r="J1537" s="503"/>
      <c r="K1537" s="503"/>
    </row>
    <row r="1538" spans="1:11" ht="12">
      <c r="A1538" s="504">
        <v>2142117226</v>
      </c>
      <c r="B1538" s="539" t="s">
        <v>1497</v>
      </c>
      <c r="C1538" s="505" t="s">
        <v>390</v>
      </c>
      <c r="D1538" s="506">
        <v>0</v>
      </c>
      <c r="E1538" s="506">
        <v>50</v>
      </c>
      <c r="F1538" s="506">
        <v>49</v>
      </c>
      <c r="G1538" s="507">
        <v>1</v>
      </c>
      <c r="H1538" s="503"/>
      <c r="I1538" s="503"/>
      <c r="J1538" s="503"/>
      <c r="K1538" s="503"/>
    </row>
    <row r="1539" spans="1:11" ht="12">
      <c r="A1539" s="504">
        <v>2142117227</v>
      </c>
      <c r="B1539" s="539" t="s">
        <v>1498</v>
      </c>
      <c r="C1539" s="505" t="s">
        <v>390</v>
      </c>
      <c r="D1539" s="506">
        <v>0</v>
      </c>
      <c r="E1539" s="506">
        <v>37345</v>
      </c>
      <c r="F1539" s="506">
        <v>37219</v>
      </c>
      <c r="G1539" s="507">
        <v>126</v>
      </c>
      <c r="H1539" s="503"/>
      <c r="I1539" s="503"/>
      <c r="J1539" s="503"/>
      <c r="K1539" s="503"/>
    </row>
    <row r="1540" spans="1:11" ht="12">
      <c r="A1540" s="504">
        <v>2142117228</v>
      </c>
      <c r="B1540" s="539" t="s">
        <v>1499</v>
      </c>
      <c r="C1540" s="505" t="s">
        <v>390</v>
      </c>
      <c r="D1540" s="506">
        <v>0</v>
      </c>
      <c r="E1540" s="506">
        <v>356</v>
      </c>
      <c r="F1540" s="506">
        <v>355</v>
      </c>
      <c r="G1540" s="507">
        <v>1</v>
      </c>
      <c r="H1540" s="503"/>
      <c r="I1540" s="503"/>
      <c r="J1540" s="503"/>
      <c r="K1540" s="503"/>
    </row>
    <row r="1541" spans="1:11" ht="12">
      <c r="A1541" s="504">
        <v>2142117229</v>
      </c>
      <c r="B1541" s="539" t="s">
        <v>1500</v>
      </c>
      <c r="C1541" s="505" t="s">
        <v>390</v>
      </c>
      <c r="D1541" s="506">
        <v>0</v>
      </c>
      <c r="E1541" s="506">
        <v>617</v>
      </c>
      <c r="F1541" s="506">
        <v>616</v>
      </c>
      <c r="G1541" s="507">
        <v>1</v>
      </c>
      <c r="H1541" s="503"/>
      <c r="I1541" s="503"/>
      <c r="J1541" s="503"/>
      <c r="K1541" s="503"/>
    </row>
    <row r="1542" spans="1:11" ht="12">
      <c r="A1542" s="504">
        <v>2142117230</v>
      </c>
      <c r="B1542" s="539" t="s">
        <v>1501</v>
      </c>
      <c r="C1542" s="505" t="s">
        <v>148</v>
      </c>
      <c r="D1542" s="506">
        <v>0</v>
      </c>
      <c r="E1542" s="506">
        <v>1</v>
      </c>
      <c r="F1542" s="506">
        <v>1</v>
      </c>
      <c r="G1542" s="507">
        <v>0</v>
      </c>
      <c r="H1542" s="503"/>
      <c r="I1542" s="503"/>
      <c r="J1542" s="503"/>
      <c r="K1542" s="503"/>
    </row>
    <row r="1543" spans="1:11" ht="12">
      <c r="A1543" s="504">
        <v>2142117231</v>
      </c>
      <c r="B1543" s="539" t="s">
        <v>2426</v>
      </c>
      <c r="C1543" s="505" t="s">
        <v>390</v>
      </c>
      <c r="D1543" s="506">
        <v>0</v>
      </c>
      <c r="E1543" s="506">
        <v>1917</v>
      </c>
      <c r="F1543" s="506">
        <v>1915</v>
      </c>
      <c r="G1543" s="507">
        <v>2</v>
      </c>
      <c r="H1543" s="503"/>
      <c r="I1543" s="503"/>
      <c r="J1543" s="503"/>
      <c r="K1543" s="503"/>
    </row>
    <row r="1544" spans="1:11" ht="12">
      <c r="A1544" s="504">
        <v>2142117232</v>
      </c>
      <c r="B1544" s="539" t="s">
        <v>2427</v>
      </c>
      <c r="C1544" s="505" t="s">
        <v>152</v>
      </c>
      <c r="D1544" s="506">
        <v>0</v>
      </c>
      <c r="E1544" s="506">
        <v>1800</v>
      </c>
      <c r="F1544" s="506">
        <v>1800</v>
      </c>
      <c r="G1544" s="507">
        <v>0</v>
      </c>
      <c r="H1544" s="503"/>
      <c r="I1544" s="503"/>
      <c r="J1544" s="503"/>
      <c r="K1544" s="503"/>
    </row>
    <row r="1545" spans="1:11" ht="12">
      <c r="A1545" s="504">
        <v>2142117233</v>
      </c>
      <c r="B1545" s="539" t="s">
        <v>2428</v>
      </c>
      <c r="C1545" s="505" t="s">
        <v>152</v>
      </c>
      <c r="D1545" s="506">
        <v>0</v>
      </c>
      <c r="E1545" s="506">
        <v>500</v>
      </c>
      <c r="F1545" s="506">
        <v>498</v>
      </c>
      <c r="G1545" s="507">
        <v>0</v>
      </c>
      <c r="H1545" s="503"/>
      <c r="I1545" s="503"/>
      <c r="J1545" s="503"/>
      <c r="K1545" s="503"/>
    </row>
    <row r="1546" spans="1:11" ht="12">
      <c r="A1546" s="504">
        <v>2142117234</v>
      </c>
      <c r="B1546" s="539" t="s">
        <v>2429</v>
      </c>
      <c r="C1546" s="505" t="s">
        <v>119</v>
      </c>
      <c r="D1546" s="506">
        <v>0</v>
      </c>
      <c r="E1546" s="506">
        <v>1251</v>
      </c>
      <c r="F1546" s="506">
        <v>1250</v>
      </c>
      <c r="G1546" s="507">
        <v>1</v>
      </c>
      <c r="H1546" s="503"/>
      <c r="I1546" s="503"/>
      <c r="J1546" s="503"/>
      <c r="K1546" s="503"/>
    </row>
    <row r="1547" spans="1:11" ht="12">
      <c r="A1547" s="504">
        <v>2142117235</v>
      </c>
      <c r="B1547" s="539" t="s">
        <v>2430</v>
      </c>
      <c r="C1547" s="505" t="s">
        <v>119</v>
      </c>
      <c r="D1547" s="506">
        <v>0</v>
      </c>
      <c r="E1547" s="506">
        <v>124</v>
      </c>
      <c r="F1547" s="506">
        <v>123</v>
      </c>
      <c r="G1547" s="507">
        <v>1</v>
      </c>
      <c r="H1547" s="503"/>
      <c r="I1547" s="503"/>
      <c r="J1547" s="503"/>
      <c r="K1547" s="503"/>
    </row>
    <row r="1548" spans="1:11" ht="12">
      <c r="A1548" s="504">
        <v>2142117236</v>
      </c>
      <c r="B1548" s="539" t="s">
        <v>2431</v>
      </c>
      <c r="C1548" s="505" t="s">
        <v>152</v>
      </c>
      <c r="D1548" s="506">
        <v>0</v>
      </c>
      <c r="E1548" s="506">
        <v>300</v>
      </c>
      <c r="F1548" s="506">
        <v>299</v>
      </c>
      <c r="G1548" s="507">
        <v>0</v>
      </c>
      <c r="H1548" s="503"/>
      <c r="I1548" s="503"/>
      <c r="J1548" s="503"/>
      <c r="K1548" s="503"/>
    </row>
    <row r="1549" spans="1:11" ht="12">
      <c r="A1549" s="504">
        <v>2142117237</v>
      </c>
      <c r="B1549" s="539" t="s">
        <v>2432</v>
      </c>
      <c r="C1549" s="505" t="s">
        <v>152</v>
      </c>
      <c r="D1549" s="506">
        <v>0</v>
      </c>
      <c r="E1549" s="506">
        <v>410</v>
      </c>
      <c r="F1549" s="506">
        <v>410</v>
      </c>
      <c r="G1549" s="507">
        <v>0</v>
      </c>
      <c r="H1549" s="503"/>
      <c r="I1549" s="503"/>
      <c r="J1549" s="503"/>
      <c r="K1549" s="503"/>
    </row>
    <row r="1550" spans="1:11" ht="12">
      <c r="A1550" s="504">
        <v>2142117238</v>
      </c>
      <c r="B1550" s="539" t="s">
        <v>2433</v>
      </c>
      <c r="C1550" s="505" t="s">
        <v>152</v>
      </c>
      <c r="D1550" s="506">
        <v>0</v>
      </c>
      <c r="E1550" s="506">
        <v>300</v>
      </c>
      <c r="F1550" s="506">
        <v>300</v>
      </c>
      <c r="G1550" s="507">
        <v>0</v>
      </c>
      <c r="H1550" s="503"/>
      <c r="I1550" s="503"/>
      <c r="J1550" s="503"/>
      <c r="K1550" s="503"/>
    </row>
    <row r="1551" spans="1:11" ht="12">
      <c r="A1551" s="504">
        <v>2142117239</v>
      </c>
      <c r="B1551" s="539" t="s">
        <v>2434</v>
      </c>
      <c r="C1551" s="505" t="s">
        <v>148</v>
      </c>
      <c r="D1551" s="506">
        <v>0</v>
      </c>
      <c r="E1551" s="506">
        <v>0</v>
      </c>
      <c r="F1551" s="506">
        <v>174</v>
      </c>
      <c r="G1551" s="507">
        <v>0</v>
      </c>
      <c r="H1551" s="503"/>
      <c r="I1551" s="503"/>
      <c r="J1551" s="503"/>
      <c r="K1551" s="503"/>
    </row>
    <row r="1552" spans="1:11" ht="12">
      <c r="A1552" s="504">
        <v>2142117240</v>
      </c>
      <c r="B1552" s="539" t="s">
        <v>2435</v>
      </c>
      <c r="C1552" s="505" t="s">
        <v>148</v>
      </c>
      <c r="D1552" s="506">
        <v>0</v>
      </c>
      <c r="E1552" s="506">
        <v>0</v>
      </c>
      <c r="F1552" s="506">
        <v>13</v>
      </c>
      <c r="G1552" s="507">
        <v>0</v>
      </c>
      <c r="H1552" s="503"/>
      <c r="I1552" s="503"/>
      <c r="J1552" s="503"/>
      <c r="K1552" s="503"/>
    </row>
    <row r="1553" spans="1:11" ht="12">
      <c r="A1553" s="504">
        <v>2142117241</v>
      </c>
      <c r="B1553" s="539" t="s">
        <v>2436</v>
      </c>
      <c r="C1553" s="505" t="s">
        <v>148</v>
      </c>
      <c r="D1553" s="506">
        <v>0</v>
      </c>
      <c r="E1553" s="506">
        <v>1</v>
      </c>
      <c r="F1553" s="506">
        <v>400</v>
      </c>
      <c r="G1553" s="507">
        <v>1</v>
      </c>
      <c r="H1553" s="503"/>
      <c r="I1553" s="503"/>
      <c r="J1553" s="503"/>
      <c r="K1553" s="503"/>
    </row>
    <row r="1554" spans="1:11" ht="12">
      <c r="A1554" s="504">
        <v>2142117242</v>
      </c>
      <c r="B1554" s="539" t="s">
        <v>2437</v>
      </c>
      <c r="C1554" s="505" t="s">
        <v>747</v>
      </c>
      <c r="D1554" s="506">
        <v>0</v>
      </c>
      <c r="E1554" s="506">
        <v>316</v>
      </c>
      <c r="F1554" s="506">
        <v>316</v>
      </c>
      <c r="G1554" s="507">
        <v>0</v>
      </c>
      <c r="H1554" s="503"/>
      <c r="I1554" s="503"/>
      <c r="J1554" s="503"/>
      <c r="K1554" s="503"/>
    </row>
    <row r="1555" spans="1:11" ht="12">
      <c r="A1555" s="504">
        <v>2142117243</v>
      </c>
      <c r="B1555" s="539" t="s">
        <v>2438</v>
      </c>
      <c r="C1555" s="505" t="s">
        <v>152</v>
      </c>
      <c r="D1555" s="506">
        <v>0</v>
      </c>
      <c r="E1555" s="506">
        <v>680</v>
      </c>
      <c r="F1555" s="506">
        <v>680</v>
      </c>
      <c r="G1555" s="507">
        <v>0</v>
      </c>
      <c r="H1555" s="503"/>
      <c r="I1555" s="503"/>
      <c r="J1555" s="503"/>
      <c r="K1555" s="503"/>
    </row>
    <row r="1556" spans="1:11" ht="12">
      <c r="A1556" s="504">
        <v>2142117245</v>
      </c>
      <c r="B1556" s="539" t="s">
        <v>2439</v>
      </c>
      <c r="C1556" s="505" t="s">
        <v>154</v>
      </c>
      <c r="D1556" s="506">
        <v>0</v>
      </c>
      <c r="E1556" s="506">
        <v>0</v>
      </c>
      <c r="F1556" s="506">
        <v>127</v>
      </c>
      <c r="G1556" s="507">
        <v>0</v>
      </c>
      <c r="H1556" s="503"/>
      <c r="I1556" s="503"/>
      <c r="J1556" s="503"/>
      <c r="K1556" s="503"/>
    </row>
    <row r="1557" spans="1:11" ht="12">
      <c r="A1557" s="504">
        <v>2142117246</v>
      </c>
      <c r="B1557" s="539" t="s">
        <v>2440</v>
      </c>
      <c r="C1557" s="505" t="s">
        <v>745</v>
      </c>
      <c r="D1557" s="506">
        <v>0</v>
      </c>
      <c r="E1557" s="506">
        <v>0</v>
      </c>
      <c r="F1557" s="506">
        <v>40</v>
      </c>
      <c r="G1557" s="507">
        <v>0</v>
      </c>
      <c r="H1557" s="503"/>
      <c r="I1557" s="503"/>
      <c r="J1557" s="503"/>
      <c r="K1557" s="503"/>
    </row>
    <row r="1558" spans="1:11" ht="12">
      <c r="A1558" s="504">
        <v>2142117247</v>
      </c>
      <c r="B1558" s="539" t="s">
        <v>2441</v>
      </c>
      <c r="C1558" s="505" t="s">
        <v>113</v>
      </c>
      <c r="D1558" s="506">
        <v>0</v>
      </c>
      <c r="E1558" s="506">
        <v>250</v>
      </c>
      <c r="F1558" s="506">
        <v>249</v>
      </c>
      <c r="G1558" s="507">
        <v>1</v>
      </c>
      <c r="H1558" s="503"/>
      <c r="I1558" s="503"/>
      <c r="J1558" s="503"/>
      <c r="K1558" s="503"/>
    </row>
    <row r="1559" spans="1:11" ht="12">
      <c r="A1559" s="504">
        <v>2142117248</v>
      </c>
      <c r="B1559" s="539" t="s">
        <v>2442</v>
      </c>
      <c r="C1559" s="505" t="s">
        <v>119</v>
      </c>
      <c r="D1559" s="506">
        <v>0</v>
      </c>
      <c r="E1559" s="506">
        <v>0</v>
      </c>
      <c r="F1559" s="506">
        <v>60</v>
      </c>
      <c r="G1559" s="507">
        <v>0</v>
      </c>
      <c r="H1559" s="503"/>
      <c r="I1559" s="503"/>
      <c r="J1559" s="503"/>
      <c r="K1559" s="503"/>
    </row>
    <row r="1560" spans="1:11" ht="12">
      <c r="A1560" s="504">
        <v>2142117249</v>
      </c>
      <c r="B1560" s="539" t="s">
        <v>2443</v>
      </c>
      <c r="C1560" s="505" t="s">
        <v>119</v>
      </c>
      <c r="D1560" s="506">
        <v>0</v>
      </c>
      <c r="E1560" s="506">
        <v>0</v>
      </c>
      <c r="F1560" s="506">
        <v>994</v>
      </c>
      <c r="G1560" s="507">
        <v>0</v>
      </c>
      <c r="H1560" s="503"/>
      <c r="I1560" s="503"/>
      <c r="J1560" s="503"/>
      <c r="K1560" s="503"/>
    </row>
    <row r="1561" spans="1:11" ht="12">
      <c r="A1561" s="504">
        <v>2142117251</v>
      </c>
      <c r="B1561" s="539" t="s">
        <v>2439</v>
      </c>
      <c r="C1561" s="505" t="s">
        <v>113</v>
      </c>
      <c r="D1561" s="506">
        <v>0</v>
      </c>
      <c r="E1561" s="506">
        <v>0</v>
      </c>
      <c r="F1561" s="506">
        <v>18</v>
      </c>
      <c r="G1561" s="507">
        <v>0</v>
      </c>
      <c r="H1561" s="503"/>
      <c r="I1561" s="503"/>
      <c r="J1561" s="503"/>
      <c r="K1561" s="503"/>
    </row>
    <row r="1562" spans="1:11" ht="12">
      <c r="A1562" s="504">
        <v>2142117252</v>
      </c>
      <c r="B1562" s="539" t="s">
        <v>2444</v>
      </c>
      <c r="C1562" s="505" t="s">
        <v>747</v>
      </c>
      <c r="D1562" s="506">
        <v>0</v>
      </c>
      <c r="E1562" s="506">
        <v>0</v>
      </c>
      <c r="F1562" s="506">
        <v>25</v>
      </c>
      <c r="G1562" s="507">
        <v>0</v>
      </c>
      <c r="H1562" s="503"/>
      <c r="I1562" s="503"/>
      <c r="J1562" s="503"/>
      <c r="K1562" s="503"/>
    </row>
    <row r="1563" spans="1:11" ht="12">
      <c r="A1563" s="504">
        <v>2142117253</v>
      </c>
      <c r="B1563" s="539" t="s">
        <v>2445</v>
      </c>
      <c r="C1563" s="505" t="s">
        <v>745</v>
      </c>
      <c r="D1563" s="506">
        <v>0</v>
      </c>
      <c r="E1563" s="506">
        <v>53</v>
      </c>
      <c r="F1563" s="506">
        <v>53</v>
      </c>
      <c r="G1563" s="507">
        <v>0</v>
      </c>
      <c r="H1563" s="503"/>
      <c r="I1563" s="503"/>
      <c r="J1563" s="503"/>
      <c r="K1563" s="503"/>
    </row>
    <row r="1564" spans="1:11" ht="12">
      <c r="A1564" s="504">
        <v>2142117254</v>
      </c>
      <c r="B1564" s="539" t="s">
        <v>2446</v>
      </c>
      <c r="C1564" s="505" t="s">
        <v>119</v>
      </c>
      <c r="D1564" s="506">
        <v>0</v>
      </c>
      <c r="E1564" s="506">
        <v>390</v>
      </c>
      <c r="F1564" s="506">
        <v>389</v>
      </c>
      <c r="G1564" s="507">
        <v>1</v>
      </c>
      <c r="H1564" s="503"/>
      <c r="I1564" s="503"/>
      <c r="J1564" s="503"/>
      <c r="K1564" s="503"/>
    </row>
    <row r="1565" spans="1:11" ht="12">
      <c r="A1565" s="504">
        <v>2142117255</v>
      </c>
      <c r="B1565" s="539" t="s">
        <v>2447</v>
      </c>
      <c r="C1565" s="505" t="s">
        <v>390</v>
      </c>
      <c r="D1565" s="506">
        <v>0</v>
      </c>
      <c r="E1565" s="506">
        <v>1500</v>
      </c>
      <c r="F1565" s="506">
        <v>1479</v>
      </c>
      <c r="G1565" s="507">
        <v>21</v>
      </c>
      <c r="H1565" s="503"/>
      <c r="I1565" s="503"/>
      <c r="J1565" s="503"/>
      <c r="K1565" s="503"/>
    </row>
    <row r="1566" spans="1:11" ht="12">
      <c r="A1566" s="504">
        <v>2142117256</v>
      </c>
      <c r="B1566" s="539" t="s">
        <v>2448</v>
      </c>
      <c r="C1566" s="505" t="s">
        <v>390</v>
      </c>
      <c r="D1566" s="506">
        <v>0</v>
      </c>
      <c r="E1566" s="506">
        <v>540</v>
      </c>
      <c r="F1566" s="506">
        <v>538</v>
      </c>
      <c r="G1566" s="507">
        <v>2</v>
      </c>
      <c r="H1566" s="503"/>
      <c r="I1566" s="503"/>
      <c r="J1566" s="503"/>
      <c r="K1566" s="503"/>
    </row>
    <row r="1567" spans="1:11" ht="12">
      <c r="A1567" s="504">
        <v>2142117257</v>
      </c>
      <c r="B1567" s="539" t="s">
        <v>2449</v>
      </c>
      <c r="C1567" s="505" t="s">
        <v>390</v>
      </c>
      <c r="D1567" s="506">
        <v>0</v>
      </c>
      <c r="E1567" s="506">
        <v>5500</v>
      </c>
      <c r="F1567" s="506">
        <v>5499</v>
      </c>
      <c r="G1567" s="507">
        <v>1</v>
      </c>
      <c r="H1567" s="503"/>
      <c r="I1567" s="503"/>
      <c r="J1567" s="503"/>
      <c r="K1567" s="503"/>
    </row>
    <row r="1568" spans="1:11" ht="12">
      <c r="A1568" s="504">
        <v>2142117258</v>
      </c>
      <c r="B1568" s="539" t="s">
        <v>2450</v>
      </c>
      <c r="C1568" s="505" t="s">
        <v>390</v>
      </c>
      <c r="D1568" s="506">
        <v>0</v>
      </c>
      <c r="E1568" s="506">
        <v>300</v>
      </c>
      <c r="F1568" s="506">
        <v>268</v>
      </c>
      <c r="G1568" s="507">
        <v>32</v>
      </c>
      <c r="H1568" s="503"/>
      <c r="I1568" s="503"/>
      <c r="J1568" s="503"/>
      <c r="K1568" s="503"/>
    </row>
    <row r="1569" spans="1:11" ht="12">
      <c r="A1569" s="504">
        <v>2142117259</v>
      </c>
      <c r="B1569" s="539" t="s">
        <v>2451</v>
      </c>
      <c r="C1569" s="505" t="s">
        <v>390</v>
      </c>
      <c r="D1569" s="506">
        <v>0</v>
      </c>
      <c r="E1569" s="506">
        <v>150</v>
      </c>
      <c r="F1569" s="506">
        <v>150</v>
      </c>
      <c r="G1569" s="507">
        <v>0</v>
      </c>
      <c r="H1569" s="503"/>
      <c r="I1569" s="503"/>
      <c r="J1569" s="503"/>
      <c r="K1569" s="503"/>
    </row>
    <row r="1570" spans="1:11" ht="12">
      <c r="A1570" s="504">
        <v>2142117260</v>
      </c>
      <c r="B1570" s="539" t="s">
        <v>2452</v>
      </c>
      <c r="C1570" s="505" t="s">
        <v>390</v>
      </c>
      <c r="D1570" s="506">
        <v>0</v>
      </c>
      <c r="E1570" s="506">
        <v>1750</v>
      </c>
      <c r="F1570" s="506">
        <v>1747</v>
      </c>
      <c r="G1570" s="507">
        <v>3</v>
      </c>
      <c r="H1570" s="503"/>
      <c r="I1570" s="503"/>
      <c r="J1570" s="503"/>
      <c r="K1570" s="503"/>
    </row>
    <row r="1571" spans="1:11" ht="12">
      <c r="A1571" s="504">
        <v>2142117261</v>
      </c>
      <c r="B1571" s="539" t="s">
        <v>2453</v>
      </c>
      <c r="C1571" s="505" t="s">
        <v>152</v>
      </c>
      <c r="D1571" s="506">
        <v>0</v>
      </c>
      <c r="E1571" s="506">
        <v>425</v>
      </c>
      <c r="F1571" s="506">
        <v>425</v>
      </c>
      <c r="G1571" s="507">
        <v>0</v>
      </c>
      <c r="H1571" s="503"/>
      <c r="I1571" s="503"/>
      <c r="J1571" s="503"/>
      <c r="K1571" s="503"/>
    </row>
    <row r="1572" spans="1:11" ht="12">
      <c r="A1572" s="504">
        <v>2142117262</v>
      </c>
      <c r="B1572" s="539" t="s">
        <v>2454</v>
      </c>
      <c r="C1572" s="505" t="s">
        <v>111</v>
      </c>
      <c r="D1572" s="506">
        <v>0</v>
      </c>
      <c r="E1572" s="506">
        <v>540</v>
      </c>
      <c r="F1572" s="506">
        <v>538</v>
      </c>
      <c r="G1572" s="507">
        <v>2</v>
      </c>
      <c r="H1572" s="503"/>
      <c r="I1572" s="503"/>
      <c r="J1572" s="503"/>
      <c r="K1572" s="503"/>
    </row>
    <row r="1573" spans="1:11" ht="12">
      <c r="A1573" s="504">
        <v>2142117263</v>
      </c>
      <c r="B1573" s="539" t="s">
        <v>2455</v>
      </c>
      <c r="C1573" s="505" t="s">
        <v>115</v>
      </c>
      <c r="D1573" s="506">
        <v>0</v>
      </c>
      <c r="E1573" s="506">
        <v>275</v>
      </c>
      <c r="F1573" s="506">
        <v>274</v>
      </c>
      <c r="G1573" s="507">
        <v>1</v>
      </c>
      <c r="H1573" s="503"/>
      <c r="I1573" s="503"/>
      <c r="J1573" s="503"/>
      <c r="K1573" s="503"/>
    </row>
    <row r="1574" spans="1:11" ht="12">
      <c r="A1574" s="504">
        <v>2142117264</v>
      </c>
      <c r="B1574" s="539" t="s">
        <v>2456</v>
      </c>
      <c r="C1574" s="505" t="s">
        <v>154</v>
      </c>
      <c r="D1574" s="506">
        <v>0</v>
      </c>
      <c r="E1574" s="506">
        <v>539</v>
      </c>
      <c r="F1574" s="506">
        <v>538</v>
      </c>
      <c r="G1574" s="507">
        <v>1</v>
      </c>
      <c r="H1574" s="503"/>
      <c r="I1574" s="503"/>
      <c r="J1574" s="503"/>
      <c r="K1574" s="503"/>
    </row>
    <row r="1575" spans="1:11" ht="12">
      <c r="A1575" s="504">
        <v>2142117265</v>
      </c>
      <c r="B1575" s="539" t="s">
        <v>2448</v>
      </c>
      <c r="C1575" s="505" t="s">
        <v>745</v>
      </c>
      <c r="D1575" s="506">
        <v>0</v>
      </c>
      <c r="E1575" s="506">
        <v>540</v>
      </c>
      <c r="F1575" s="506">
        <v>538</v>
      </c>
      <c r="G1575" s="507">
        <v>2</v>
      </c>
      <c r="H1575" s="503"/>
      <c r="I1575" s="503"/>
      <c r="J1575" s="503"/>
      <c r="K1575" s="503"/>
    </row>
    <row r="1576" spans="1:11" ht="12">
      <c r="A1576" s="504">
        <v>2142117266</v>
      </c>
      <c r="B1576" s="539" t="s">
        <v>2457</v>
      </c>
      <c r="C1576" s="505" t="s">
        <v>745</v>
      </c>
      <c r="D1576" s="506">
        <v>0</v>
      </c>
      <c r="E1576" s="506">
        <v>293</v>
      </c>
      <c r="F1576" s="506">
        <v>292</v>
      </c>
      <c r="G1576" s="507">
        <v>1</v>
      </c>
      <c r="H1576" s="503"/>
      <c r="I1576" s="503"/>
      <c r="J1576" s="503"/>
      <c r="K1576" s="503"/>
    </row>
    <row r="1577" spans="1:11" ht="12">
      <c r="A1577" s="504">
        <v>2142117267</v>
      </c>
      <c r="B1577" s="539" t="s">
        <v>2458</v>
      </c>
      <c r="C1577" s="505" t="s">
        <v>148</v>
      </c>
      <c r="D1577" s="506">
        <v>0</v>
      </c>
      <c r="E1577" s="506">
        <v>215</v>
      </c>
      <c r="F1577" s="506">
        <v>215</v>
      </c>
      <c r="G1577" s="507">
        <v>0</v>
      </c>
      <c r="H1577" s="503"/>
      <c r="I1577" s="503"/>
      <c r="J1577" s="503"/>
      <c r="K1577" s="503"/>
    </row>
    <row r="1578" spans="1:11" ht="12">
      <c r="A1578" s="504">
        <v>2142117268</v>
      </c>
      <c r="B1578" s="539" t="s">
        <v>2459</v>
      </c>
      <c r="C1578" s="505" t="s">
        <v>148</v>
      </c>
      <c r="D1578" s="506">
        <v>0</v>
      </c>
      <c r="E1578" s="506">
        <v>220</v>
      </c>
      <c r="F1578" s="506">
        <v>220</v>
      </c>
      <c r="G1578" s="507">
        <v>0</v>
      </c>
      <c r="H1578" s="503"/>
      <c r="I1578" s="503"/>
      <c r="J1578" s="503"/>
      <c r="K1578" s="503"/>
    </row>
    <row r="1579" spans="1:11" ht="12">
      <c r="A1579" s="504">
        <v>2142117269</v>
      </c>
      <c r="B1579" s="539" t="s">
        <v>2460</v>
      </c>
      <c r="C1579" s="505" t="s">
        <v>117</v>
      </c>
      <c r="D1579" s="506">
        <v>0</v>
      </c>
      <c r="E1579" s="506">
        <v>540</v>
      </c>
      <c r="F1579" s="506">
        <v>538</v>
      </c>
      <c r="G1579" s="507">
        <v>1</v>
      </c>
      <c r="H1579" s="503"/>
      <c r="I1579" s="503"/>
      <c r="J1579" s="503"/>
      <c r="K1579" s="503"/>
    </row>
    <row r="1580" spans="1:11" ht="12">
      <c r="A1580" s="504">
        <v>2142117270</v>
      </c>
      <c r="B1580" s="539" t="s">
        <v>2461</v>
      </c>
      <c r="C1580" s="505" t="s">
        <v>117</v>
      </c>
      <c r="D1580" s="506">
        <v>0</v>
      </c>
      <c r="E1580" s="506">
        <v>2001</v>
      </c>
      <c r="F1580" s="506">
        <v>2000</v>
      </c>
      <c r="G1580" s="507">
        <v>1</v>
      </c>
      <c r="H1580" s="503"/>
      <c r="I1580" s="503"/>
      <c r="J1580" s="503"/>
      <c r="K1580" s="503"/>
    </row>
    <row r="1581" spans="1:11" ht="12">
      <c r="A1581" s="504">
        <v>2142117271</v>
      </c>
      <c r="B1581" s="539" t="s">
        <v>2456</v>
      </c>
      <c r="C1581" s="505" t="s">
        <v>113</v>
      </c>
      <c r="D1581" s="506">
        <v>0</v>
      </c>
      <c r="E1581" s="506">
        <v>540</v>
      </c>
      <c r="F1581" s="506">
        <v>538</v>
      </c>
      <c r="G1581" s="507">
        <v>2</v>
      </c>
      <c r="H1581" s="503"/>
      <c r="I1581" s="503"/>
      <c r="J1581" s="503"/>
      <c r="K1581" s="503"/>
    </row>
    <row r="1582" spans="1:11" ht="12">
      <c r="A1582" s="504">
        <v>2142117272</v>
      </c>
      <c r="B1582" s="539" t="s">
        <v>2448</v>
      </c>
      <c r="C1582" s="505" t="s">
        <v>146</v>
      </c>
      <c r="D1582" s="506">
        <v>0</v>
      </c>
      <c r="E1582" s="506">
        <v>540</v>
      </c>
      <c r="F1582" s="506">
        <v>539</v>
      </c>
      <c r="G1582" s="507">
        <v>1</v>
      </c>
      <c r="H1582" s="503"/>
      <c r="I1582" s="503"/>
      <c r="J1582" s="503"/>
      <c r="K1582" s="503"/>
    </row>
    <row r="1583" spans="1:11" ht="12">
      <c r="A1583" s="504">
        <v>2142117273</v>
      </c>
      <c r="B1583" s="539" t="s">
        <v>2456</v>
      </c>
      <c r="C1583" s="505" t="s">
        <v>747</v>
      </c>
      <c r="D1583" s="506">
        <v>0</v>
      </c>
      <c r="E1583" s="506">
        <v>539</v>
      </c>
      <c r="F1583" s="506">
        <v>538</v>
      </c>
      <c r="G1583" s="507">
        <v>0</v>
      </c>
      <c r="H1583" s="503"/>
      <c r="I1583" s="503"/>
      <c r="J1583" s="503"/>
      <c r="K1583" s="503"/>
    </row>
    <row r="1584" spans="1:11" ht="12">
      <c r="A1584" s="504">
        <v>2142117274</v>
      </c>
      <c r="B1584" s="539" t="s">
        <v>2456</v>
      </c>
      <c r="C1584" s="505" t="s">
        <v>156</v>
      </c>
      <c r="D1584" s="506">
        <v>0</v>
      </c>
      <c r="E1584" s="506">
        <v>540</v>
      </c>
      <c r="F1584" s="506">
        <v>538</v>
      </c>
      <c r="G1584" s="507">
        <v>2</v>
      </c>
      <c r="H1584" s="503"/>
      <c r="I1584" s="503"/>
      <c r="J1584" s="503"/>
      <c r="K1584" s="503"/>
    </row>
    <row r="1585" spans="1:11" ht="12">
      <c r="A1585" s="504">
        <v>2142117275</v>
      </c>
      <c r="B1585" s="539" t="s">
        <v>2462</v>
      </c>
      <c r="C1585" s="505" t="s">
        <v>115</v>
      </c>
      <c r="D1585" s="506">
        <v>0</v>
      </c>
      <c r="E1585" s="506">
        <v>0</v>
      </c>
      <c r="F1585" s="506">
        <v>64</v>
      </c>
      <c r="G1585" s="507">
        <v>0</v>
      </c>
      <c r="H1585" s="503"/>
      <c r="I1585" s="503"/>
      <c r="J1585" s="503"/>
      <c r="K1585" s="503"/>
    </row>
    <row r="1586" spans="1:11" ht="12">
      <c r="A1586" s="504">
        <v>2142117276</v>
      </c>
      <c r="B1586" s="539" t="s">
        <v>2463</v>
      </c>
      <c r="C1586" s="505" t="s">
        <v>115</v>
      </c>
      <c r="D1586" s="506">
        <v>0</v>
      </c>
      <c r="E1586" s="506">
        <v>0</v>
      </c>
      <c r="F1586" s="506">
        <v>82</v>
      </c>
      <c r="G1586" s="507">
        <v>0</v>
      </c>
      <c r="H1586" s="503"/>
      <c r="I1586" s="503"/>
      <c r="J1586" s="503"/>
      <c r="K1586" s="503"/>
    </row>
    <row r="1587" spans="1:11" ht="12">
      <c r="A1587" s="504">
        <v>2142117277</v>
      </c>
      <c r="B1587" s="539" t="s">
        <v>2464</v>
      </c>
      <c r="C1587" s="505" t="s">
        <v>745</v>
      </c>
      <c r="D1587" s="506">
        <v>0</v>
      </c>
      <c r="E1587" s="506">
        <v>68</v>
      </c>
      <c r="F1587" s="506">
        <v>67</v>
      </c>
      <c r="G1587" s="507">
        <v>1</v>
      </c>
      <c r="H1587" s="503"/>
      <c r="I1587" s="503"/>
      <c r="J1587" s="503"/>
      <c r="K1587" s="503"/>
    </row>
    <row r="1588" spans="1:11" ht="12">
      <c r="A1588" s="504">
        <v>2142117278</v>
      </c>
      <c r="B1588" s="539" t="s">
        <v>2465</v>
      </c>
      <c r="C1588" s="505" t="s">
        <v>119</v>
      </c>
      <c r="D1588" s="506">
        <v>0</v>
      </c>
      <c r="E1588" s="506">
        <v>75</v>
      </c>
      <c r="F1588" s="506">
        <v>74</v>
      </c>
      <c r="G1588" s="507">
        <v>1</v>
      </c>
      <c r="H1588" s="503"/>
      <c r="I1588" s="503"/>
      <c r="J1588" s="503"/>
      <c r="K1588" s="503"/>
    </row>
    <row r="1589" spans="1:11" ht="12">
      <c r="A1589" s="504">
        <v>2142117279</v>
      </c>
      <c r="B1589" s="539" t="s">
        <v>2466</v>
      </c>
      <c r="C1589" s="505" t="s">
        <v>111</v>
      </c>
      <c r="D1589" s="506">
        <v>0</v>
      </c>
      <c r="E1589" s="506">
        <v>0</v>
      </c>
      <c r="F1589" s="506">
        <v>30</v>
      </c>
      <c r="G1589" s="507">
        <v>0</v>
      </c>
      <c r="H1589" s="503"/>
      <c r="I1589" s="503"/>
      <c r="J1589" s="503"/>
      <c r="K1589" s="503"/>
    </row>
    <row r="1590" spans="1:11" ht="12">
      <c r="A1590" s="504">
        <v>2142117280</v>
      </c>
      <c r="B1590" s="539" t="s">
        <v>2467</v>
      </c>
      <c r="C1590" s="505" t="s">
        <v>117</v>
      </c>
      <c r="D1590" s="506">
        <v>0</v>
      </c>
      <c r="E1590" s="506">
        <v>0</v>
      </c>
      <c r="F1590" s="506">
        <v>1</v>
      </c>
      <c r="G1590" s="507">
        <v>0</v>
      </c>
      <c r="H1590" s="503"/>
      <c r="I1590" s="503"/>
      <c r="J1590" s="503"/>
      <c r="K1590" s="503"/>
    </row>
    <row r="1591" spans="1:11" ht="12">
      <c r="A1591" s="504">
        <v>2142117282</v>
      </c>
      <c r="B1591" s="539" t="s">
        <v>21</v>
      </c>
      <c r="C1591" s="505" t="s">
        <v>117</v>
      </c>
      <c r="D1591" s="506">
        <v>0</v>
      </c>
      <c r="E1591" s="506">
        <v>218</v>
      </c>
      <c r="F1591" s="506">
        <v>218</v>
      </c>
      <c r="G1591" s="507">
        <v>0</v>
      </c>
      <c r="H1591" s="503"/>
      <c r="I1591" s="503"/>
      <c r="J1591" s="503"/>
      <c r="K1591" s="503"/>
    </row>
    <row r="1592" spans="1:11" ht="12">
      <c r="A1592" s="504">
        <v>2142117283</v>
      </c>
      <c r="B1592" s="539" t="s">
        <v>2468</v>
      </c>
      <c r="C1592" s="505" t="s">
        <v>152</v>
      </c>
      <c r="D1592" s="506">
        <v>0</v>
      </c>
      <c r="E1592" s="506">
        <v>0</v>
      </c>
      <c r="F1592" s="506">
        <v>999</v>
      </c>
      <c r="G1592" s="507">
        <v>0</v>
      </c>
      <c r="H1592" s="503"/>
      <c r="I1592" s="503"/>
      <c r="J1592" s="503"/>
      <c r="K1592" s="503"/>
    </row>
    <row r="1593" spans="1:11" ht="12">
      <c r="A1593" s="504">
        <v>2142117284</v>
      </c>
      <c r="B1593" s="539" t="s">
        <v>2469</v>
      </c>
      <c r="C1593" s="505" t="s">
        <v>747</v>
      </c>
      <c r="D1593" s="506">
        <v>0</v>
      </c>
      <c r="E1593" s="506">
        <v>0</v>
      </c>
      <c r="F1593" s="506">
        <v>50</v>
      </c>
      <c r="G1593" s="507">
        <v>0</v>
      </c>
      <c r="H1593" s="503"/>
      <c r="I1593" s="503"/>
      <c r="J1593" s="503"/>
      <c r="K1593" s="503"/>
    </row>
    <row r="1594" spans="1:11" ht="12">
      <c r="A1594" s="504">
        <v>2142117285</v>
      </c>
      <c r="B1594" s="539" t="s">
        <v>2470</v>
      </c>
      <c r="C1594" s="505" t="s">
        <v>390</v>
      </c>
      <c r="D1594" s="506">
        <v>0</v>
      </c>
      <c r="E1594" s="506">
        <v>2887</v>
      </c>
      <c r="F1594" s="506">
        <v>2885</v>
      </c>
      <c r="G1594" s="507">
        <v>2</v>
      </c>
      <c r="H1594" s="503"/>
      <c r="I1594" s="503"/>
      <c r="J1594" s="503"/>
      <c r="K1594" s="503"/>
    </row>
    <row r="1595" spans="1:11" ht="12">
      <c r="A1595" s="504">
        <v>2142117286</v>
      </c>
      <c r="B1595" s="539" t="s">
        <v>2471</v>
      </c>
      <c r="C1595" s="505" t="s">
        <v>119</v>
      </c>
      <c r="D1595" s="506">
        <v>0</v>
      </c>
      <c r="E1595" s="506">
        <v>47</v>
      </c>
      <c r="F1595" s="506">
        <v>47</v>
      </c>
      <c r="G1595" s="507">
        <v>0</v>
      </c>
      <c r="H1595" s="503"/>
      <c r="I1595" s="503"/>
      <c r="J1595" s="503"/>
      <c r="K1595" s="503"/>
    </row>
    <row r="1596" spans="1:11" ht="12">
      <c r="A1596" s="504">
        <v>2142117287</v>
      </c>
      <c r="B1596" s="539" t="s">
        <v>2472</v>
      </c>
      <c r="C1596" s="505" t="s">
        <v>111</v>
      </c>
      <c r="D1596" s="506">
        <v>0</v>
      </c>
      <c r="E1596" s="506">
        <v>0</v>
      </c>
      <c r="F1596" s="506">
        <v>36</v>
      </c>
      <c r="G1596" s="507">
        <v>0</v>
      </c>
      <c r="H1596" s="503"/>
      <c r="I1596" s="503"/>
      <c r="J1596" s="503"/>
      <c r="K1596" s="503"/>
    </row>
    <row r="1597" spans="1:11" ht="12">
      <c r="A1597" s="504">
        <v>2142117288</v>
      </c>
      <c r="B1597" s="539" t="s">
        <v>2473</v>
      </c>
      <c r="C1597" s="505" t="s">
        <v>390</v>
      </c>
      <c r="D1597" s="506">
        <v>0</v>
      </c>
      <c r="E1597" s="506">
        <v>778</v>
      </c>
      <c r="F1597" s="506">
        <v>772</v>
      </c>
      <c r="G1597" s="507">
        <v>6</v>
      </c>
      <c r="H1597" s="503"/>
      <c r="I1597" s="503"/>
      <c r="J1597" s="503"/>
      <c r="K1597" s="503"/>
    </row>
    <row r="1598" spans="1:11" ht="12">
      <c r="A1598" s="504">
        <v>2142117289</v>
      </c>
      <c r="B1598" s="539" t="s">
        <v>2474</v>
      </c>
      <c r="C1598" s="505" t="s">
        <v>390</v>
      </c>
      <c r="D1598" s="506">
        <v>0</v>
      </c>
      <c r="E1598" s="506">
        <v>400</v>
      </c>
      <c r="F1598" s="506">
        <v>380</v>
      </c>
      <c r="G1598" s="507">
        <v>20</v>
      </c>
      <c r="H1598" s="503"/>
      <c r="I1598" s="503"/>
      <c r="J1598" s="503"/>
      <c r="K1598" s="503"/>
    </row>
    <row r="1599" spans="1:11" ht="12">
      <c r="A1599" s="504">
        <v>2142117290</v>
      </c>
      <c r="B1599" s="539" t="s">
        <v>2475</v>
      </c>
      <c r="C1599" s="505" t="s">
        <v>390</v>
      </c>
      <c r="D1599" s="506">
        <v>0</v>
      </c>
      <c r="E1599" s="506">
        <v>595</v>
      </c>
      <c r="F1599" s="506">
        <v>595</v>
      </c>
      <c r="G1599" s="507">
        <v>0</v>
      </c>
      <c r="H1599" s="503"/>
      <c r="I1599" s="503"/>
      <c r="J1599" s="503"/>
      <c r="K1599" s="503"/>
    </row>
    <row r="1600" spans="1:11" ht="12">
      <c r="A1600" s="504">
        <v>2142117291</v>
      </c>
      <c r="B1600" s="539" t="s">
        <v>346</v>
      </c>
      <c r="C1600" s="505" t="s">
        <v>390</v>
      </c>
      <c r="D1600" s="506">
        <v>0</v>
      </c>
      <c r="E1600" s="506">
        <v>180</v>
      </c>
      <c r="F1600" s="506">
        <v>180</v>
      </c>
      <c r="G1600" s="507">
        <v>0</v>
      </c>
      <c r="H1600" s="503"/>
      <c r="I1600" s="503"/>
      <c r="J1600" s="503"/>
      <c r="K1600" s="503"/>
    </row>
    <row r="1601" spans="1:11" ht="12">
      <c r="A1601" s="504">
        <v>2142117292</v>
      </c>
      <c r="B1601" s="539" t="s">
        <v>347</v>
      </c>
      <c r="C1601" s="505" t="s">
        <v>390</v>
      </c>
      <c r="D1601" s="506">
        <v>0</v>
      </c>
      <c r="E1601" s="506">
        <v>1250</v>
      </c>
      <c r="F1601" s="506">
        <v>1250</v>
      </c>
      <c r="G1601" s="507">
        <v>0</v>
      </c>
      <c r="H1601" s="503"/>
      <c r="I1601" s="503"/>
      <c r="J1601" s="503"/>
      <c r="K1601" s="503"/>
    </row>
    <row r="1602" spans="1:11" ht="12">
      <c r="A1602" s="504">
        <v>2142117293</v>
      </c>
      <c r="B1602" s="539" t="s">
        <v>348</v>
      </c>
      <c r="C1602" s="505" t="s">
        <v>745</v>
      </c>
      <c r="D1602" s="506">
        <v>0</v>
      </c>
      <c r="E1602" s="506">
        <v>235</v>
      </c>
      <c r="F1602" s="506">
        <v>231</v>
      </c>
      <c r="G1602" s="507">
        <v>4</v>
      </c>
      <c r="H1602" s="503"/>
      <c r="I1602" s="503"/>
      <c r="J1602" s="503"/>
      <c r="K1602" s="503"/>
    </row>
    <row r="1603" spans="1:11" ht="12">
      <c r="A1603" s="504">
        <v>2142117294</v>
      </c>
      <c r="B1603" s="539" t="s">
        <v>349</v>
      </c>
      <c r="C1603" s="505" t="s">
        <v>747</v>
      </c>
      <c r="D1603" s="506">
        <v>0</v>
      </c>
      <c r="E1603" s="506">
        <v>814</v>
      </c>
      <c r="F1603" s="506">
        <v>813</v>
      </c>
      <c r="G1603" s="507">
        <v>0</v>
      </c>
      <c r="H1603" s="503"/>
      <c r="I1603" s="503"/>
      <c r="J1603" s="503"/>
      <c r="K1603" s="503"/>
    </row>
    <row r="1604" spans="1:11" ht="12">
      <c r="A1604" s="504">
        <v>2142117295</v>
      </c>
      <c r="B1604" s="539" t="s">
        <v>350</v>
      </c>
      <c r="C1604" s="505" t="s">
        <v>117</v>
      </c>
      <c r="D1604" s="506">
        <v>0</v>
      </c>
      <c r="E1604" s="506">
        <v>221</v>
      </c>
      <c r="F1604" s="506">
        <v>220</v>
      </c>
      <c r="G1604" s="507">
        <v>1</v>
      </c>
      <c r="H1604" s="503"/>
      <c r="I1604" s="503"/>
      <c r="J1604" s="503"/>
      <c r="K1604" s="503"/>
    </row>
    <row r="1605" spans="1:11" ht="12">
      <c r="A1605" s="504">
        <v>2142117296</v>
      </c>
      <c r="B1605" s="539" t="s">
        <v>351</v>
      </c>
      <c r="C1605" s="505" t="s">
        <v>113</v>
      </c>
      <c r="D1605" s="506">
        <v>0</v>
      </c>
      <c r="E1605" s="506">
        <v>230</v>
      </c>
      <c r="F1605" s="506">
        <v>230</v>
      </c>
      <c r="G1605" s="507">
        <v>0</v>
      </c>
      <c r="H1605" s="503"/>
      <c r="I1605" s="503"/>
      <c r="J1605" s="503"/>
      <c r="K1605" s="503"/>
    </row>
    <row r="1606" spans="1:11" ht="12">
      <c r="A1606" s="504">
        <v>2142117297</v>
      </c>
      <c r="B1606" s="539" t="s">
        <v>352</v>
      </c>
      <c r="C1606" s="505" t="s">
        <v>747</v>
      </c>
      <c r="D1606" s="506">
        <v>0</v>
      </c>
      <c r="E1606" s="506">
        <v>221</v>
      </c>
      <c r="F1606" s="506">
        <v>220</v>
      </c>
      <c r="G1606" s="507">
        <v>0</v>
      </c>
      <c r="H1606" s="503"/>
      <c r="I1606" s="503"/>
      <c r="J1606" s="503"/>
      <c r="K1606" s="503"/>
    </row>
    <row r="1607" spans="1:11" ht="12">
      <c r="A1607" s="504">
        <v>2142117298</v>
      </c>
      <c r="B1607" s="539" t="s">
        <v>353</v>
      </c>
      <c r="C1607" s="505" t="s">
        <v>747</v>
      </c>
      <c r="D1607" s="506">
        <v>0</v>
      </c>
      <c r="E1607" s="506">
        <v>180</v>
      </c>
      <c r="F1607" s="506">
        <v>180</v>
      </c>
      <c r="G1607" s="507">
        <v>0</v>
      </c>
      <c r="H1607" s="503"/>
      <c r="I1607" s="503"/>
      <c r="J1607" s="503"/>
      <c r="K1607" s="503"/>
    </row>
    <row r="1608" spans="1:11" ht="12">
      <c r="A1608" s="504">
        <v>2142117299</v>
      </c>
      <c r="B1608" s="539" t="s">
        <v>354</v>
      </c>
      <c r="C1608" s="505" t="s">
        <v>148</v>
      </c>
      <c r="D1608" s="506">
        <v>0</v>
      </c>
      <c r="E1608" s="506">
        <v>42</v>
      </c>
      <c r="F1608" s="506">
        <v>42</v>
      </c>
      <c r="G1608" s="507">
        <v>0</v>
      </c>
      <c r="H1608" s="503"/>
      <c r="I1608" s="503"/>
      <c r="J1608" s="503"/>
      <c r="K1608" s="503"/>
    </row>
    <row r="1609" spans="1:11" ht="12">
      <c r="A1609" s="504">
        <v>2142117300</v>
      </c>
      <c r="B1609" s="539" t="s">
        <v>355</v>
      </c>
      <c r="C1609" s="505" t="s">
        <v>148</v>
      </c>
      <c r="D1609" s="506">
        <v>0</v>
      </c>
      <c r="E1609" s="506">
        <v>24</v>
      </c>
      <c r="F1609" s="506">
        <v>24</v>
      </c>
      <c r="G1609" s="507">
        <v>0</v>
      </c>
      <c r="H1609" s="503"/>
      <c r="I1609" s="503"/>
      <c r="J1609" s="503"/>
      <c r="K1609" s="503"/>
    </row>
    <row r="1610" spans="1:11" ht="12">
      <c r="A1610" s="504">
        <v>2142117301</v>
      </c>
      <c r="B1610" s="539" t="s">
        <v>2439</v>
      </c>
      <c r="C1610" s="505" t="s">
        <v>119</v>
      </c>
      <c r="D1610" s="506">
        <v>0</v>
      </c>
      <c r="E1610" s="506">
        <v>0</v>
      </c>
      <c r="F1610" s="506">
        <v>42</v>
      </c>
      <c r="G1610" s="507">
        <v>0</v>
      </c>
      <c r="H1610" s="503"/>
      <c r="I1610" s="503"/>
      <c r="J1610" s="503"/>
      <c r="K1610" s="503"/>
    </row>
    <row r="1611" spans="1:11" ht="12">
      <c r="A1611" s="504">
        <v>2142117302</v>
      </c>
      <c r="B1611" s="539" t="s">
        <v>999</v>
      </c>
      <c r="C1611" s="505" t="s">
        <v>747</v>
      </c>
      <c r="D1611" s="506">
        <v>0</v>
      </c>
      <c r="E1611" s="506">
        <v>160</v>
      </c>
      <c r="F1611" s="506">
        <v>160</v>
      </c>
      <c r="G1611" s="507">
        <v>0</v>
      </c>
      <c r="H1611" s="503"/>
      <c r="I1611" s="503"/>
      <c r="J1611" s="503"/>
      <c r="K1611" s="503"/>
    </row>
    <row r="1612" spans="1:11" ht="12">
      <c r="A1612" s="504">
        <v>2142117303</v>
      </c>
      <c r="B1612" s="539" t="s">
        <v>1000</v>
      </c>
      <c r="C1612" s="505" t="s">
        <v>747</v>
      </c>
      <c r="D1612" s="506">
        <v>0</v>
      </c>
      <c r="E1612" s="506">
        <v>69</v>
      </c>
      <c r="F1612" s="506">
        <v>69</v>
      </c>
      <c r="G1612" s="507">
        <v>0</v>
      </c>
      <c r="H1612" s="503"/>
      <c r="I1612" s="503"/>
      <c r="J1612" s="503"/>
      <c r="K1612" s="503"/>
    </row>
    <row r="1613" spans="1:11" ht="12">
      <c r="A1613" s="504">
        <v>2142120025</v>
      </c>
      <c r="B1613" s="539" t="s">
        <v>1001</v>
      </c>
      <c r="C1613" s="505" t="s">
        <v>154</v>
      </c>
      <c r="D1613" s="506">
        <v>14332</v>
      </c>
      <c r="E1613" s="506">
        <v>26979</v>
      </c>
      <c r="F1613" s="506">
        <v>26976</v>
      </c>
      <c r="G1613" s="507">
        <v>3</v>
      </c>
      <c r="H1613" s="503"/>
      <c r="I1613" s="503"/>
      <c r="J1613" s="503"/>
      <c r="K1613" s="503"/>
    </row>
    <row r="1614" spans="1:11" ht="12">
      <c r="A1614" s="504">
        <v>2142124011</v>
      </c>
      <c r="B1614" s="539" t="s">
        <v>1002</v>
      </c>
      <c r="C1614" s="505" t="s">
        <v>154</v>
      </c>
      <c r="D1614" s="506">
        <v>8030</v>
      </c>
      <c r="E1614" s="506">
        <v>286</v>
      </c>
      <c r="F1614" s="506">
        <v>286</v>
      </c>
      <c r="G1614" s="507">
        <v>0</v>
      </c>
      <c r="H1614" s="503"/>
      <c r="I1614" s="503"/>
      <c r="J1614" s="503"/>
      <c r="K1614" s="503"/>
    </row>
    <row r="1615" spans="1:11" ht="12">
      <c r="A1615" s="504">
        <v>2142125003</v>
      </c>
      <c r="B1615" s="539" t="s">
        <v>1003</v>
      </c>
      <c r="C1615" s="505" t="s">
        <v>152</v>
      </c>
      <c r="D1615" s="506">
        <v>0</v>
      </c>
      <c r="E1615" s="506">
        <v>393</v>
      </c>
      <c r="F1615" s="506">
        <v>393</v>
      </c>
      <c r="G1615" s="507">
        <v>0</v>
      </c>
      <c r="H1615" s="503"/>
      <c r="I1615" s="503"/>
      <c r="J1615" s="503"/>
      <c r="K1615" s="503"/>
    </row>
    <row r="1616" spans="1:11" ht="12">
      <c r="A1616" s="504">
        <v>2142125038</v>
      </c>
      <c r="B1616" s="539" t="s">
        <v>1004</v>
      </c>
      <c r="C1616" s="505" t="s">
        <v>152</v>
      </c>
      <c r="D1616" s="506">
        <v>0</v>
      </c>
      <c r="E1616" s="506">
        <v>5393</v>
      </c>
      <c r="F1616" s="506">
        <v>5393</v>
      </c>
      <c r="G1616" s="507">
        <v>0</v>
      </c>
      <c r="H1616" s="503"/>
      <c r="I1616" s="503"/>
      <c r="J1616" s="503"/>
      <c r="K1616" s="503"/>
    </row>
    <row r="1617" spans="1:11" ht="12">
      <c r="A1617" s="504">
        <v>2142125079</v>
      </c>
      <c r="B1617" s="539" t="s">
        <v>1005</v>
      </c>
      <c r="C1617" s="505" t="s">
        <v>117</v>
      </c>
      <c r="D1617" s="506">
        <v>0</v>
      </c>
      <c r="E1617" s="506">
        <v>0</v>
      </c>
      <c r="F1617" s="506">
        <v>574</v>
      </c>
      <c r="G1617" s="507">
        <v>0</v>
      </c>
      <c r="H1617" s="503"/>
      <c r="I1617" s="503"/>
      <c r="J1617" s="503"/>
      <c r="K1617" s="503"/>
    </row>
    <row r="1618" spans="1:11" ht="12">
      <c r="A1618" s="504">
        <v>2142126001</v>
      </c>
      <c r="B1618" s="539" t="s">
        <v>1006</v>
      </c>
      <c r="C1618" s="505" t="s">
        <v>390</v>
      </c>
      <c r="D1618" s="506">
        <v>0</v>
      </c>
      <c r="E1618" s="506">
        <v>21771</v>
      </c>
      <c r="F1618" s="506">
        <v>21768</v>
      </c>
      <c r="G1618" s="507">
        <v>3</v>
      </c>
      <c r="H1618" s="503"/>
      <c r="I1618" s="503"/>
      <c r="J1618" s="503"/>
      <c r="K1618" s="503"/>
    </row>
    <row r="1619" spans="1:11" ht="12">
      <c r="A1619" s="504">
        <v>2142126010</v>
      </c>
      <c r="B1619" s="539" t="s">
        <v>2278</v>
      </c>
      <c r="C1619" s="505" t="s">
        <v>111</v>
      </c>
      <c r="D1619" s="506">
        <v>0</v>
      </c>
      <c r="E1619" s="506">
        <v>42</v>
      </c>
      <c r="F1619" s="506">
        <v>40</v>
      </c>
      <c r="G1619" s="507">
        <v>2</v>
      </c>
      <c r="H1619" s="503"/>
      <c r="I1619" s="503"/>
      <c r="J1619" s="503"/>
      <c r="K1619" s="503"/>
    </row>
    <row r="1620" spans="1:11" ht="12">
      <c r="A1620" s="504">
        <v>2142126033</v>
      </c>
      <c r="B1620" s="539" t="s">
        <v>1007</v>
      </c>
      <c r="C1620" s="505" t="s">
        <v>150</v>
      </c>
      <c r="D1620" s="506">
        <v>23295</v>
      </c>
      <c r="E1620" s="506">
        <v>17655</v>
      </c>
      <c r="F1620" s="506">
        <v>25654</v>
      </c>
      <c r="G1620" s="507">
        <v>1</v>
      </c>
      <c r="H1620" s="503"/>
      <c r="I1620" s="503"/>
      <c r="J1620" s="503"/>
      <c r="K1620" s="503"/>
    </row>
    <row r="1621" spans="1:11" ht="12">
      <c r="A1621" s="504">
        <v>2142126034</v>
      </c>
      <c r="B1621" s="539" t="s">
        <v>1008</v>
      </c>
      <c r="C1621" s="505" t="s">
        <v>390</v>
      </c>
      <c r="D1621" s="506">
        <v>35000</v>
      </c>
      <c r="E1621" s="506">
        <v>3</v>
      </c>
      <c r="F1621" s="506">
        <v>2</v>
      </c>
      <c r="G1621" s="507">
        <v>1</v>
      </c>
      <c r="H1621" s="503"/>
      <c r="I1621" s="503"/>
      <c r="J1621" s="503"/>
      <c r="K1621" s="503"/>
    </row>
    <row r="1622" spans="1:11" ht="12">
      <c r="A1622" s="504">
        <v>2142126035</v>
      </c>
      <c r="B1622" s="539" t="s">
        <v>1009</v>
      </c>
      <c r="C1622" s="505" t="s">
        <v>111</v>
      </c>
      <c r="D1622" s="506">
        <v>36310</v>
      </c>
      <c r="E1622" s="506">
        <v>36827</v>
      </c>
      <c r="F1622" s="506">
        <v>36826</v>
      </c>
      <c r="G1622" s="507">
        <v>1</v>
      </c>
      <c r="H1622" s="503"/>
      <c r="I1622" s="503"/>
      <c r="J1622" s="503"/>
      <c r="K1622" s="503"/>
    </row>
    <row r="1623" spans="1:11" ht="12">
      <c r="A1623" s="504">
        <v>2142126048</v>
      </c>
      <c r="B1623" s="539" t="s">
        <v>1010</v>
      </c>
      <c r="C1623" s="505" t="s">
        <v>152</v>
      </c>
      <c r="D1623" s="506">
        <v>0</v>
      </c>
      <c r="E1623" s="506">
        <v>3565</v>
      </c>
      <c r="F1623" s="506">
        <v>3564</v>
      </c>
      <c r="G1623" s="507">
        <v>0</v>
      </c>
      <c r="H1623" s="503"/>
      <c r="I1623" s="503"/>
      <c r="J1623" s="503"/>
      <c r="K1623" s="503"/>
    </row>
    <row r="1624" spans="1:11" ht="12">
      <c r="A1624" s="504">
        <v>2142126070</v>
      </c>
      <c r="B1624" s="539" t="s">
        <v>1011</v>
      </c>
      <c r="C1624" s="505" t="s">
        <v>156</v>
      </c>
      <c r="D1624" s="506">
        <v>0</v>
      </c>
      <c r="E1624" s="506">
        <v>3147</v>
      </c>
      <c r="F1624" s="506">
        <v>6772</v>
      </c>
      <c r="G1624" s="507">
        <v>1</v>
      </c>
      <c r="H1624" s="503"/>
      <c r="I1624" s="503"/>
      <c r="J1624" s="503"/>
      <c r="K1624" s="503"/>
    </row>
    <row r="1625" spans="1:11" ht="12">
      <c r="A1625" s="504">
        <v>2142126071</v>
      </c>
      <c r="B1625" s="539" t="s">
        <v>1012</v>
      </c>
      <c r="C1625" s="505" t="s">
        <v>117</v>
      </c>
      <c r="D1625" s="506">
        <v>0</v>
      </c>
      <c r="E1625" s="506">
        <v>0</v>
      </c>
      <c r="F1625" s="506">
        <v>173</v>
      </c>
      <c r="G1625" s="507">
        <v>0</v>
      </c>
      <c r="H1625" s="503"/>
      <c r="I1625" s="503"/>
      <c r="J1625" s="503"/>
      <c r="K1625" s="503"/>
    </row>
    <row r="1626" spans="1:11" ht="12">
      <c r="A1626" s="504">
        <v>2142126083</v>
      </c>
      <c r="B1626" s="539" t="s">
        <v>1013</v>
      </c>
      <c r="C1626" s="505" t="s">
        <v>111</v>
      </c>
      <c r="D1626" s="506">
        <v>0</v>
      </c>
      <c r="E1626" s="506">
        <v>0</v>
      </c>
      <c r="F1626" s="506">
        <v>120</v>
      </c>
      <c r="G1626" s="507">
        <v>0</v>
      </c>
      <c r="H1626" s="503"/>
      <c r="I1626" s="503"/>
      <c r="J1626" s="503"/>
      <c r="K1626" s="503"/>
    </row>
    <row r="1627" spans="1:11" ht="12">
      <c r="A1627" s="504">
        <v>2142126090</v>
      </c>
      <c r="B1627" s="539" t="s">
        <v>1014</v>
      </c>
      <c r="C1627" s="505" t="s">
        <v>156</v>
      </c>
      <c r="D1627" s="506">
        <v>7700</v>
      </c>
      <c r="E1627" s="506">
        <v>19613</v>
      </c>
      <c r="F1627" s="506">
        <v>23613</v>
      </c>
      <c r="G1627" s="507">
        <v>0</v>
      </c>
      <c r="H1627" s="503"/>
      <c r="I1627" s="503"/>
      <c r="J1627" s="503"/>
      <c r="K1627" s="503"/>
    </row>
    <row r="1628" spans="1:11" ht="12">
      <c r="A1628" s="504">
        <v>2142126091</v>
      </c>
      <c r="B1628" s="539" t="s">
        <v>1015</v>
      </c>
      <c r="C1628" s="505" t="s">
        <v>117</v>
      </c>
      <c r="D1628" s="506">
        <v>0</v>
      </c>
      <c r="E1628" s="506">
        <v>350</v>
      </c>
      <c r="F1628" s="506">
        <v>350</v>
      </c>
      <c r="G1628" s="507">
        <v>0</v>
      </c>
      <c r="H1628" s="503"/>
      <c r="I1628" s="503"/>
      <c r="J1628" s="503"/>
      <c r="K1628" s="503"/>
    </row>
    <row r="1629" spans="1:11" ht="12">
      <c r="A1629" s="504">
        <v>2142127001</v>
      </c>
      <c r="B1629" s="539" t="s">
        <v>1016</v>
      </c>
      <c r="C1629" s="505" t="s">
        <v>390</v>
      </c>
      <c r="D1629" s="506">
        <v>1700</v>
      </c>
      <c r="E1629" s="506">
        <v>0</v>
      </c>
      <c r="F1629" s="506">
        <v>0</v>
      </c>
      <c r="G1629" s="507">
        <v>0</v>
      </c>
      <c r="H1629" s="503"/>
      <c r="I1629" s="503"/>
      <c r="J1629" s="503"/>
      <c r="K1629" s="503"/>
    </row>
    <row r="1630" spans="1:11" ht="12">
      <c r="A1630" s="504">
        <v>2142127002</v>
      </c>
      <c r="B1630" s="539" t="s">
        <v>2278</v>
      </c>
      <c r="C1630" s="505" t="s">
        <v>390</v>
      </c>
      <c r="D1630" s="506">
        <v>3100</v>
      </c>
      <c r="E1630" s="506">
        <v>198</v>
      </c>
      <c r="F1630" s="506">
        <v>197</v>
      </c>
      <c r="G1630" s="507">
        <v>1</v>
      </c>
      <c r="H1630" s="503"/>
      <c r="I1630" s="503"/>
      <c r="J1630" s="503"/>
      <c r="K1630" s="503"/>
    </row>
    <row r="1631" spans="1:11" ht="12">
      <c r="A1631" s="504">
        <v>2142127003</v>
      </c>
      <c r="B1631" s="539" t="s">
        <v>1017</v>
      </c>
      <c r="C1631" s="505" t="s">
        <v>390</v>
      </c>
      <c r="D1631" s="506">
        <v>2200</v>
      </c>
      <c r="E1631" s="506">
        <v>2200</v>
      </c>
      <c r="F1631" s="506">
        <v>2194</v>
      </c>
      <c r="G1631" s="507">
        <v>6</v>
      </c>
      <c r="H1631" s="503"/>
      <c r="I1631" s="503"/>
      <c r="J1631" s="503"/>
      <c r="K1631" s="503"/>
    </row>
    <row r="1632" spans="1:11" ht="12">
      <c r="A1632" s="504">
        <v>2142127004</v>
      </c>
      <c r="B1632" s="539" t="s">
        <v>2278</v>
      </c>
      <c r="C1632" s="505" t="s">
        <v>390</v>
      </c>
      <c r="D1632" s="506">
        <v>1400</v>
      </c>
      <c r="E1632" s="506">
        <v>1400</v>
      </c>
      <c r="F1632" s="506">
        <v>1399</v>
      </c>
      <c r="G1632" s="507">
        <v>1</v>
      </c>
      <c r="H1632" s="503"/>
      <c r="I1632" s="503"/>
      <c r="J1632" s="503"/>
      <c r="K1632" s="503"/>
    </row>
    <row r="1633" spans="1:11" ht="12">
      <c r="A1633" s="504">
        <v>2142127005</v>
      </c>
      <c r="B1633" s="539" t="s">
        <v>1018</v>
      </c>
      <c r="C1633" s="505" t="s">
        <v>390</v>
      </c>
      <c r="D1633" s="506">
        <v>500</v>
      </c>
      <c r="E1633" s="506">
        <v>500</v>
      </c>
      <c r="F1633" s="506">
        <v>500</v>
      </c>
      <c r="G1633" s="507">
        <v>0</v>
      </c>
      <c r="H1633" s="503"/>
      <c r="I1633" s="503"/>
      <c r="J1633" s="503"/>
      <c r="K1633" s="503"/>
    </row>
    <row r="1634" spans="1:11" ht="12">
      <c r="A1634" s="504">
        <v>2142127006</v>
      </c>
      <c r="B1634" s="539" t="s">
        <v>1019</v>
      </c>
      <c r="C1634" s="505" t="s">
        <v>390</v>
      </c>
      <c r="D1634" s="506">
        <v>150</v>
      </c>
      <c r="E1634" s="506">
        <v>150</v>
      </c>
      <c r="F1634" s="506">
        <v>136</v>
      </c>
      <c r="G1634" s="507">
        <v>14</v>
      </c>
      <c r="H1634" s="503"/>
      <c r="I1634" s="503"/>
      <c r="J1634" s="503"/>
      <c r="K1634" s="503"/>
    </row>
    <row r="1635" spans="1:11" ht="12">
      <c r="A1635" s="504">
        <v>2142127007</v>
      </c>
      <c r="B1635" s="539" t="s">
        <v>1020</v>
      </c>
      <c r="C1635" s="505" t="s">
        <v>390</v>
      </c>
      <c r="D1635" s="506">
        <v>1100</v>
      </c>
      <c r="E1635" s="506">
        <v>1545</v>
      </c>
      <c r="F1635" s="506">
        <v>1545</v>
      </c>
      <c r="G1635" s="507">
        <v>0</v>
      </c>
      <c r="H1635" s="503"/>
      <c r="I1635" s="503"/>
      <c r="J1635" s="503"/>
      <c r="K1635" s="503"/>
    </row>
    <row r="1636" spans="1:11" ht="12">
      <c r="A1636" s="504">
        <v>2142127008</v>
      </c>
      <c r="B1636" s="539" t="s">
        <v>2278</v>
      </c>
      <c r="C1636" s="505" t="s">
        <v>390</v>
      </c>
      <c r="D1636" s="506">
        <v>850</v>
      </c>
      <c r="E1636" s="506">
        <v>850</v>
      </c>
      <c r="F1636" s="506">
        <v>850</v>
      </c>
      <c r="G1636" s="507">
        <v>0</v>
      </c>
      <c r="H1636" s="503"/>
      <c r="I1636" s="503"/>
      <c r="J1636" s="503"/>
      <c r="K1636" s="503"/>
    </row>
    <row r="1637" spans="1:11" ht="12">
      <c r="A1637" s="504">
        <v>2142127009</v>
      </c>
      <c r="B1637" s="539" t="s">
        <v>1021</v>
      </c>
      <c r="C1637" s="505" t="s">
        <v>390</v>
      </c>
      <c r="D1637" s="506">
        <v>700</v>
      </c>
      <c r="E1637" s="506">
        <v>700</v>
      </c>
      <c r="F1637" s="506">
        <v>700</v>
      </c>
      <c r="G1637" s="507">
        <v>0</v>
      </c>
      <c r="H1637" s="503"/>
      <c r="I1637" s="503"/>
      <c r="J1637" s="503"/>
      <c r="K1637" s="503"/>
    </row>
    <row r="1638" spans="1:11" ht="12">
      <c r="A1638" s="504">
        <v>2142127010</v>
      </c>
      <c r="B1638" s="539" t="s">
        <v>1022</v>
      </c>
      <c r="C1638" s="505" t="s">
        <v>390</v>
      </c>
      <c r="D1638" s="506">
        <v>9500</v>
      </c>
      <c r="E1638" s="506">
        <v>14107</v>
      </c>
      <c r="F1638" s="506">
        <v>14107</v>
      </c>
      <c r="G1638" s="507">
        <v>0</v>
      </c>
      <c r="H1638" s="503"/>
      <c r="I1638" s="503"/>
      <c r="J1638" s="503"/>
      <c r="K1638" s="503"/>
    </row>
    <row r="1639" spans="1:11" ht="12">
      <c r="A1639" s="504">
        <v>2142127011</v>
      </c>
      <c r="B1639" s="539" t="s">
        <v>1023</v>
      </c>
      <c r="C1639" s="505" t="s">
        <v>109</v>
      </c>
      <c r="D1639" s="506">
        <v>4611</v>
      </c>
      <c r="E1639" s="506">
        <v>7385</v>
      </c>
      <c r="F1639" s="506">
        <v>7385</v>
      </c>
      <c r="G1639" s="507">
        <v>0</v>
      </c>
      <c r="H1639" s="503"/>
      <c r="I1639" s="503"/>
      <c r="J1639" s="503"/>
      <c r="K1639" s="503"/>
    </row>
    <row r="1640" spans="1:11" ht="12">
      <c r="A1640" s="504">
        <v>2142127012</v>
      </c>
      <c r="B1640" s="539" t="s">
        <v>2278</v>
      </c>
      <c r="C1640" s="505" t="s">
        <v>109</v>
      </c>
      <c r="D1640" s="506">
        <v>11750</v>
      </c>
      <c r="E1640" s="506">
        <v>13865</v>
      </c>
      <c r="F1640" s="506">
        <v>13865</v>
      </c>
      <c r="G1640" s="507">
        <v>0</v>
      </c>
      <c r="H1640" s="503"/>
      <c r="I1640" s="503"/>
      <c r="J1640" s="503"/>
      <c r="K1640" s="503"/>
    </row>
    <row r="1641" spans="1:11" ht="12">
      <c r="A1641" s="504">
        <v>2142127013</v>
      </c>
      <c r="B1641" s="539" t="s">
        <v>2622</v>
      </c>
      <c r="C1641" s="505" t="s">
        <v>152</v>
      </c>
      <c r="D1641" s="506">
        <v>500</v>
      </c>
      <c r="E1641" s="506">
        <v>0</v>
      </c>
      <c r="F1641" s="506">
        <v>0</v>
      </c>
      <c r="G1641" s="507">
        <v>0</v>
      </c>
      <c r="H1641" s="503"/>
      <c r="I1641" s="503"/>
      <c r="J1641" s="503"/>
      <c r="K1641" s="503"/>
    </row>
    <row r="1642" spans="1:11" ht="12">
      <c r="A1642" s="504">
        <v>2142127014</v>
      </c>
      <c r="B1642" s="539" t="s">
        <v>2623</v>
      </c>
      <c r="C1642" s="505" t="s">
        <v>152</v>
      </c>
      <c r="D1642" s="506">
        <v>2500</v>
      </c>
      <c r="E1642" s="506">
        <v>2379</v>
      </c>
      <c r="F1642" s="506">
        <v>2378</v>
      </c>
      <c r="G1642" s="507">
        <v>0</v>
      </c>
      <c r="H1642" s="503"/>
      <c r="I1642" s="503"/>
      <c r="J1642" s="503"/>
      <c r="K1642" s="503"/>
    </row>
    <row r="1643" spans="1:11" ht="12">
      <c r="A1643" s="504">
        <v>2142127015</v>
      </c>
      <c r="B1643" s="539" t="s">
        <v>2624</v>
      </c>
      <c r="C1643" s="505" t="s">
        <v>152</v>
      </c>
      <c r="D1643" s="506">
        <v>1200</v>
      </c>
      <c r="E1643" s="506">
        <v>1137</v>
      </c>
      <c r="F1643" s="506">
        <v>1136</v>
      </c>
      <c r="G1643" s="507">
        <v>0</v>
      </c>
      <c r="H1643" s="503"/>
      <c r="I1643" s="503"/>
      <c r="J1643" s="503"/>
      <c r="K1643" s="503"/>
    </row>
    <row r="1644" spans="1:11" ht="12">
      <c r="A1644" s="504">
        <v>2142127016</v>
      </c>
      <c r="B1644" s="539" t="s">
        <v>2278</v>
      </c>
      <c r="C1644" s="505" t="s">
        <v>152</v>
      </c>
      <c r="D1644" s="506">
        <v>3350</v>
      </c>
      <c r="E1644" s="506">
        <v>5704</v>
      </c>
      <c r="F1644" s="506">
        <v>5704</v>
      </c>
      <c r="G1644" s="507">
        <v>0</v>
      </c>
      <c r="H1644" s="503"/>
      <c r="I1644" s="503"/>
      <c r="J1644" s="503"/>
      <c r="K1644" s="503"/>
    </row>
    <row r="1645" spans="1:11" ht="12">
      <c r="A1645" s="504">
        <v>2142127017</v>
      </c>
      <c r="B1645" s="539" t="s">
        <v>2278</v>
      </c>
      <c r="C1645" s="505" t="s">
        <v>111</v>
      </c>
      <c r="D1645" s="506">
        <v>5000</v>
      </c>
      <c r="E1645" s="506">
        <v>6400</v>
      </c>
      <c r="F1645" s="506">
        <v>6399</v>
      </c>
      <c r="G1645" s="507">
        <v>1</v>
      </c>
      <c r="H1645" s="503"/>
      <c r="I1645" s="503"/>
      <c r="J1645" s="503"/>
      <c r="K1645" s="503"/>
    </row>
    <row r="1646" spans="1:11" ht="12">
      <c r="A1646" s="504">
        <v>2142127018</v>
      </c>
      <c r="B1646" s="539" t="s">
        <v>2278</v>
      </c>
      <c r="C1646" s="505" t="s">
        <v>150</v>
      </c>
      <c r="D1646" s="506">
        <v>2500</v>
      </c>
      <c r="E1646" s="506">
        <v>2900</v>
      </c>
      <c r="F1646" s="506">
        <v>2900</v>
      </c>
      <c r="G1646" s="507">
        <v>0</v>
      </c>
      <c r="H1646" s="503"/>
      <c r="I1646" s="503"/>
      <c r="J1646" s="503"/>
      <c r="K1646" s="503"/>
    </row>
    <row r="1647" spans="1:11" ht="12">
      <c r="A1647" s="504">
        <v>2142127019</v>
      </c>
      <c r="B1647" s="539" t="s">
        <v>2278</v>
      </c>
      <c r="C1647" s="505" t="s">
        <v>115</v>
      </c>
      <c r="D1647" s="506">
        <v>1040</v>
      </c>
      <c r="E1647" s="506">
        <v>1040</v>
      </c>
      <c r="F1647" s="506">
        <v>1040</v>
      </c>
      <c r="G1647" s="507">
        <v>0</v>
      </c>
      <c r="H1647" s="503"/>
      <c r="I1647" s="503"/>
      <c r="J1647" s="503"/>
      <c r="K1647" s="503"/>
    </row>
    <row r="1648" spans="1:11" ht="12">
      <c r="A1648" s="504">
        <v>2142127020</v>
      </c>
      <c r="B1648" s="539" t="s">
        <v>2625</v>
      </c>
      <c r="C1648" s="505" t="s">
        <v>154</v>
      </c>
      <c r="D1648" s="506">
        <v>200</v>
      </c>
      <c r="E1648" s="506">
        <v>197</v>
      </c>
      <c r="F1648" s="506">
        <v>196</v>
      </c>
      <c r="G1648" s="507">
        <v>1</v>
      </c>
      <c r="H1648" s="503"/>
      <c r="I1648" s="503"/>
      <c r="J1648" s="503"/>
      <c r="K1648" s="503"/>
    </row>
    <row r="1649" spans="1:11" ht="12">
      <c r="A1649" s="504">
        <v>2142127021</v>
      </c>
      <c r="B1649" s="539" t="s">
        <v>2626</v>
      </c>
      <c r="C1649" s="505" t="s">
        <v>154</v>
      </c>
      <c r="D1649" s="506">
        <v>215</v>
      </c>
      <c r="E1649" s="506">
        <v>0</v>
      </c>
      <c r="F1649" s="506">
        <v>196</v>
      </c>
      <c r="G1649" s="507">
        <v>0</v>
      </c>
      <c r="H1649" s="503"/>
      <c r="I1649" s="503"/>
      <c r="J1649" s="503"/>
      <c r="K1649" s="503"/>
    </row>
    <row r="1650" spans="1:11" ht="12">
      <c r="A1650" s="504">
        <v>2142127022</v>
      </c>
      <c r="B1650" s="539" t="s">
        <v>2627</v>
      </c>
      <c r="C1650" s="505" t="s">
        <v>154</v>
      </c>
      <c r="D1650" s="506">
        <v>4000</v>
      </c>
      <c r="E1650" s="506">
        <v>0</v>
      </c>
      <c r="F1650" s="506">
        <v>0</v>
      </c>
      <c r="G1650" s="507">
        <v>0</v>
      </c>
      <c r="H1650" s="503"/>
      <c r="I1650" s="503"/>
      <c r="J1650" s="503"/>
      <c r="K1650" s="503"/>
    </row>
    <row r="1651" spans="1:11" ht="12">
      <c r="A1651" s="504">
        <v>2142127023</v>
      </c>
      <c r="B1651" s="539" t="s">
        <v>2278</v>
      </c>
      <c r="C1651" s="505" t="s">
        <v>154</v>
      </c>
      <c r="D1651" s="506">
        <v>3800</v>
      </c>
      <c r="E1651" s="506">
        <v>3185</v>
      </c>
      <c r="F1651" s="506">
        <v>3184</v>
      </c>
      <c r="G1651" s="507">
        <v>1</v>
      </c>
      <c r="H1651" s="503"/>
      <c r="I1651" s="503"/>
      <c r="J1651" s="503"/>
      <c r="K1651" s="503"/>
    </row>
    <row r="1652" spans="1:11" ht="12">
      <c r="A1652" s="504">
        <v>2142127024</v>
      </c>
      <c r="B1652" s="539" t="s">
        <v>2278</v>
      </c>
      <c r="C1652" s="505" t="s">
        <v>745</v>
      </c>
      <c r="D1652" s="506">
        <v>3590</v>
      </c>
      <c r="E1652" s="506">
        <v>2340</v>
      </c>
      <c r="F1652" s="506">
        <v>2340</v>
      </c>
      <c r="G1652" s="507">
        <v>0</v>
      </c>
      <c r="H1652" s="503"/>
      <c r="I1652" s="503"/>
      <c r="J1652" s="503"/>
      <c r="K1652" s="503"/>
    </row>
    <row r="1653" spans="1:11" ht="12">
      <c r="A1653" s="504">
        <v>2142127025</v>
      </c>
      <c r="B1653" s="539" t="s">
        <v>2278</v>
      </c>
      <c r="C1653" s="179" t="s">
        <v>119</v>
      </c>
      <c r="D1653" s="506">
        <v>2000</v>
      </c>
      <c r="E1653" s="506">
        <v>2890</v>
      </c>
      <c r="F1653" s="506">
        <v>3812</v>
      </c>
      <c r="G1653" s="507">
        <v>14</v>
      </c>
      <c r="H1653" s="503"/>
      <c r="I1653" s="503"/>
      <c r="J1653" s="503"/>
      <c r="K1653" s="503"/>
    </row>
    <row r="1654" spans="1:11" ht="12">
      <c r="A1654" s="504">
        <v>2142127026</v>
      </c>
      <c r="B1654" s="539" t="s">
        <v>2628</v>
      </c>
      <c r="C1654" s="505" t="s">
        <v>148</v>
      </c>
      <c r="D1654" s="506">
        <v>750</v>
      </c>
      <c r="E1654" s="506">
        <v>1334</v>
      </c>
      <c r="F1654" s="506">
        <v>1333</v>
      </c>
      <c r="G1654" s="507">
        <v>1</v>
      </c>
      <c r="H1654" s="503"/>
      <c r="I1654" s="503"/>
      <c r="J1654" s="503"/>
      <c r="K1654" s="503"/>
    </row>
    <row r="1655" spans="1:11" ht="12">
      <c r="A1655" s="504">
        <v>2142127027</v>
      </c>
      <c r="B1655" s="539" t="s">
        <v>2629</v>
      </c>
      <c r="C1655" s="505" t="s">
        <v>148</v>
      </c>
      <c r="D1655" s="506">
        <v>450</v>
      </c>
      <c r="E1655" s="506">
        <v>0</v>
      </c>
      <c r="F1655" s="506">
        <v>0</v>
      </c>
      <c r="G1655" s="507">
        <v>0</v>
      </c>
      <c r="H1655" s="503"/>
      <c r="I1655" s="503"/>
      <c r="J1655" s="503"/>
      <c r="K1655" s="503"/>
    </row>
    <row r="1656" spans="1:11" ht="12">
      <c r="A1656" s="504">
        <v>2142127028</v>
      </c>
      <c r="B1656" s="539" t="s">
        <v>2630</v>
      </c>
      <c r="C1656" s="505" t="s">
        <v>148</v>
      </c>
      <c r="D1656" s="506">
        <v>1500</v>
      </c>
      <c r="E1656" s="506">
        <v>1645</v>
      </c>
      <c r="F1656" s="506">
        <v>1645</v>
      </c>
      <c r="G1656" s="507">
        <v>0</v>
      </c>
      <c r="H1656" s="503"/>
      <c r="I1656" s="503"/>
      <c r="J1656" s="503"/>
      <c r="K1656" s="503"/>
    </row>
    <row r="1657" spans="1:11" ht="12">
      <c r="A1657" s="504">
        <v>2142127029</v>
      </c>
      <c r="B1657" s="539" t="s">
        <v>2631</v>
      </c>
      <c r="C1657" s="505" t="s">
        <v>148</v>
      </c>
      <c r="D1657" s="506">
        <v>600</v>
      </c>
      <c r="E1657" s="506">
        <v>600</v>
      </c>
      <c r="F1657" s="506">
        <v>600</v>
      </c>
      <c r="G1657" s="507">
        <v>0</v>
      </c>
      <c r="H1657" s="503"/>
      <c r="I1657" s="503"/>
      <c r="J1657" s="503"/>
      <c r="K1657" s="503"/>
    </row>
    <row r="1658" spans="1:11" ht="12">
      <c r="A1658" s="504">
        <v>2142127030</v>
      </c>
      <c r="B1658" s="539" t="s">
        <v>2278</v>
      </c>
      <c r="C1658" s="505" t="s">
        <v>148</v>
      </c>
      <c r="D1658" s="506">
        <v>1403</v>
      </c>
      <c r="E1658" s="506">
        <v>2632</v>
      </c>
      <c r="F1658" s="506">
        <v>2632</v>
      </c>
      <c r="G1658" s="507">
        <v>0</v>
      </c>
      <c r="H1658" s="503"/>
      <c r="I1658" s="503"/>
      <c r="J1658" s="503"/>
      <c r="K1658" s="503"/>
    </row>
    <row r="1659" spans="1:11" ht="12">
      <c r="A1659" s="504">
        <v>2142127031</v>
      </c>
      <c r="B1659" s="539" t="s">
        <v>2632</v>
      </c>
      <c r="C1659" s="505" t="s">
        <v>117</v>
      </c>
      <c r="D1659" s="506">
        <v>200</v>
      </c>
      <c r="E1659" s="506">
        <v>0</v>
      </c>
      <c r="F1659" s="506">
        <v>0</v>
      </c>
      <c r="G1659" s="507">
        <v>0</v>
      </c>
      <c r="H1659" s="503"/>
      <c r="I1659" s="503"/>
      <c r="J1659" s="503"/>
      <c r="K1659" s="503"/>
    </row>
    <row r="1660" spans="1:11" ht="12">
      <c r="A1660" s="504">
        <v>2142127032</v>
      </c>
      <c r="B1660" s="539" t="s">
        <v>2633</v>
      </c>
      <c r="C1660" s="505" t="s">
        <v>117</v>
      </c>
      <c r="D1660" s="506">
        <v>300</v>
      </c>
      <c r="E1660" s="506">
        <v>0</v>
      </c>
      <c r="F1660" s="506">
        <v>0</v>
      </c>
      <c r="G1660" s="507">
        <v>0</v>
      </c>
      <c r="H1660" s="503"/>
      <c r="I1660" s="503"/>
      <c r="J1660" s="503"/>
      <c r="K1660" s="503"/>
    </row>
    <row r="1661" spans="1:11" ht="12">
      <c r="A1661" s="504">
        <v>2142127033</v>
      </c>
      <c r="B1661" s="539" t="s">
        <v>2634</v>
      </c>
      <c r="C1661" s="505" t="s">
        <v>117</v>
      </c>
      <c r="D1661" s="506">
        <v>700</v>
      </c>
      <c r="E1661" s="506">
        <v>1080</v>
      </c>
      <c r="F1661" s="506">
        <v>1080</v>
      </c>
      <c r="G1661" s="507">
        <v>0</v>
      </c>
      <c r="H1661" s="503"/>
      <c r="I1661" s="503"/>
      <c r="J1661" s="503"/>
      <c r="K1661" s="503"/>
    </row>
    <row r="1662" spans="1:11" ht="12">
      <c r="A1662" s="504">
        <v>2142127034</v>
      </c>
      <c r="B1662" s="539" t="s">
        <v>2635</v>
      </c>
      <c r="C1662" s="505" t="s">
        <v>117</v>
      </c>
      <c r="D1662" s="506">
        <v>1200</v>
      </c>
      <c r="E1662" s="506">
        <v>697</v>
      </c>
      <c r="F1662" s="506">
        <v>1414</v>
      </c>
      <c r="G1662" s="507">
        <v>0</v>
      </c>
      <c r="H1662" s="503"/>
      <c r="I1662" s="503"/>
      <c r="J1662" s="503"/>
      <c r="K1662" s="503"/>
    </row>
    <row r="1663" spans="1:11" ht="12">
      <c r="A1663" s="504">
        <v>2142127035</v>
      </c>
      <c r="B1663" s="539" t="s">
        <v>2636</v>
      </c>
      <c r="C1663" s="505" t="s">
        <v>117</v>
      </c>
      <c r="D1663" s="506">
        <v>600</v>
      </c>
      <c r="E1663" s="506">
        <v>851</v>
      </c>
      <c r="F1663" s="506">
        <v>1001</v>
      </c>
      <c r="G1663" s="507">
        <v>0</v>
      </c>
      <c r="H1663" s="503"/>
      <c r="I1663" s="503"/>
      <c r="J1663" s="503"/>
      <c r="K1663" s="503"/>
    </row>
    <row r="1664" spans="1:11" ht="12">
      <c r="A1664" s="504">
        <v>2142127036</v>
      </c>
      <c r="B1664" s="539" t="s">
        <v>2637</v>
      </c>
      <c r="C1664" s="505" t="s">
        <v>117</v>
      </c>
      <c r="D1664" s="506">
        <v>500</v>
      </c>
      <c r="E1664" s="506">
        <v>0</v>
      </c>
      <c r="F1664" s="506">
        <v>0</v>
      </c>
      <c r="G1664" s="507">
        <v>0</v>
      </c>
      <c r="H1664" s="503"/>
      <c r="I1664" s="503"/>
      <c r="J1664" s="503"/>
      <c r="K1664" s="503"/>
    </row>
    <row r="1665" spans="1:11" ht="12">
      <c r="A1665" s="504">
        <v>2142127037</v>
      </c>
      <c r="B1665" s="539" t="s">
        <v>2278</v>
      </c>
      <c r="C1665" s="505" t="s">
        <v>117</v>
      </c>
      <c r="D1665" s="506">
        <v>1596</v>
      </c>
      <c r="E1665" s="506">
        <v>2246</v>
      </c>
      <c r="F1665" s="506">
        <v>2659</v>
      </c>
      <c r="G1665" s="507">
        <v>0</v>
      </c>
      <c r="H1665" s="503"/>
      <c r="I1665" s="503"/>
      <c r="J1665" s="503"/>
      <c r="K1665" s="503"/>
    </row>
    <row r="1666" spans="1:11" ht="12">
      <c r="A1666" s="504">
        <v>2142127038</v>
      </c>
      <c r="B1666" s="539" t="s">
        <v>2638</v>
      </c>
      <c r="C1666" s="505" t="s">
        <v>113</v>
      </c>
      <c r="D1666" s="506">
        <v>1500</v>
      </c>
      <c r="E1666" s="506">
        <v>0</v>
      </c>
      <c r="F1666" s="506">
        <v>2270</v>
      </c>
      <c r="G1666" s="507">
        <v>0</v>
      </c>
      <c r="H1666" s="503"/>
      <c r="I1666" s="503"/>
      <c r="J1666" s="503"/>
      <c r="K1666" s="503"/>
    </row>
    <row r="1667" spans="1:11" ht="12">
      <c r="A1667" s="504">
        <v>2142127039</v>
      </c>
      <c r="B1667" s="539" t="s">
        <v>2639</v>
      </c>
      <c r="C1667" s="505" t="s">
        <v>113</v>
      </c>
      <c r="D1667" s="506">
        <v>2000</v>
      </c>
      <c r="E1667" s="506">
        <v>0</v>
      </c>
      <c r="F1667" s="506">
        <v>4600</v>
      </c>
      <c r="G1667" s="507">
        <v>0</v>
      </c>
      <c r="H1667" s="503"/>
      <c r="I1667" s="503"/>
      <c r="J1667" s="503"/>
      <c r="K1667" s="503"/>
    </row>
    <row r="1668" spans="1:11" ht="12">
      <c r="A1668" s="504">
        <v>2142127040</v>
      </c>
      <c r="B1668" s="539" t="s">
        <v>2640</v>
      </c>
      <c r="C1668" s="505" t="s">
        <v>113</v>
      </c>
      <c r="D1668" s="506">
        <v>1000</v>
      </c>
      <c r="E1668" s="506">
        <v>0</v>
      </c>
      <c r="F1668" s="506">
        <v>0</v>
      </c>
      <c r="G1668" s="507">
        <v>0</v>
      </c>
      <c r="H1668" s="503"/>
      <c r="I1668" s="503"/>
      <c r="J1668" s="503"/>
      <c r="K1668" s="503"/>
    </row>
    <row r="1669" spans="1:11" ht="12">
      <c r="A1669" s="504">
        <v>2142127041</v>
      </c>
      <c r="B1669" s="539" t="s">
        <v>2641</v>
      </c>
      <c r="C1669" s="505" t="s">
        <v>113</v>
      </c>
      <c r="D1669" s="506">
        <v>250</v>
      </c>
      <c r="E1669" s="506">
        <v>250</v>
      </c>
      <c r="F1669" s="506">
        <v>250</v>
      </c>
      <c r="G1669" s="507">
        <v>0</v>
      </c>
      <c r="H1669" s="503"/>
      <c r="I1669" s="503"/>
      <c r="J1669" s="503"/>
      <c r="K1669" s="503"/>
    </row>
    <row r="1670" spans="1:11" ht="12">
      <c r="A1670" s="504">
        <v>2142127042</v>
      </c>
      <c r="B1670" s="539" t="s">
        <v>1104</v>
      </c>
      <c r="C1670" s="505" t="s">
        <v>113</v>
      </c>
      <c r="D1670" s="506">
        <v>100</v>
      </c>
      <c r="E1670" s="506">
        <v>0</v>
      </c>
      <c r="F1670" s="506">
        <v>97</v>
      </c>
      <c r="G1670" s="507">
        <v>0</v>
      </c>
      <c r="H1670" s="503"/>
      <c r="I1670" s="503"/>
      <c r="J1670" s="503"/>
      <c r="K1670" s="503"/>
    </row>
    <row r="1671" spans="1:11" ht="12">
      <c r="A1671" s="504">
        <v>2142127043</v>
      </c>
      <c r="B1671" s="539" t="s">
        <v>2278</v>
      </c>
      <c r="C1671" s="505" t="s">
        <v>113</v>
      </c>
      <c r="D1671" s="506">
        <v>2600</v>
      </c>
      <c r="E1671" s="506">
        <v>3645</v>
      </c>
      <c r="F1671" s="506">
        <v>3835</v>
      </c>
      <c r="G1671" s="507">
        <v>0</v>
      </c>
      <c r="H1671" s="503"/>
      <c r="I1671" s="503"/>
      <c r="J1671" s="503"/>
      <c r="K1671" s="503"/>
    </row>
    <row r="1672" spans="1:11" ht="12">
      <c r="A1672" s="504">
        <v>2142127044</v>
      </c>
      <c r="B1672" s="539" t="s">
        <v>1105</v>
      </c>
      <c r="C1672" s="505" t="s">
        <v>146</v>
      </c>
      <c r="D1672" s="506">
        <v>70</v>
      </c>
      <c r="E1672" s="506">
        <v>0</v>
      </c>
      <c r="F1672" s="506">
        <v>0</v>
      </c>
      <c r="G1672" s="507">
        <v>0</v>
      </c>
      <c r="H1672" s="503"/>
      <c r="I1672" s="503"/>
      <c r="J1672" s="503"/>
      <c r="K1672" s="503"/>
    </row>
    <row r="1673" spans="1:11" ht="12">
      <c r="A1673" s="504">
        <v>2142127045</v>
      </c>
      <c r="B1673" s="539" t="s">
        <v>1106</v>
      </c>
      <c r="C1673" s="505" t="s">
        <v>146</v>
      </c>
      <c r="D1673" s="506">
        <v>40</v>
      </c>
      <c r="E1673" s="506">
        <v>0</v>
      </c>
      <c r="F1673" s="506">
        <v>0</v>
      </c>
      <c r="G1673" s="507">
        <v>0</v>
      </c>
      <c r="H1673" s="503"/>
      <c r="I1673" s="503"/>
      <c r="J1673" s="503"/>
      <c r="K1673" s="503"/>
    </row>
    <row r="1674" spans="1:11" ht="12">
      <c r="A1674" s="504">
        <v>2142127046</v>
      </c>
      <c r="B1674" s="539" t="s">
        <v>2278</v>
      </c>
      <c r="C1674" s="505" t="s">
        <v>146</v>
      </c>
      <c r="D1674" s="506">
        <v>2588</v>
      </c>
      <c r="E1674" s="506">
        <v>2588</v>
      </c>
      <c r="F1674" s="506">
        <v>2588</v>
      </c>
      <c r="G1674" s="507">
        <v>0</v>
      </c>
      <c r="H1674" s="503"/>
      <c r="I1674" s="503"/>
      <c r="J1674" s="503"/>
      <c r="K1674" s="503"/>
    </row>
    <row r="1675" spans="1:11" ht="12">
      <c r="A1675" s="504">
        <v>2142127047</v>
      </c>
      <c r="B1675" s="539" t="s">
        <v>2278</v>
      </c>
      <c r="C1675" s="505" t="s">
        <v>747</v>
      </c>
      <c r="D1675" s="506">
        <v>1650</v>
      </c>
      <c r="E1675" s="506">
        <v>2116</v>
      </c>
      <c r="F1675" s="506">
        <v>2115</v>
      </c>
      <c r="G1675" s="507">
        <v>0</v>
      </c>
      <c r="H1675" s="503"/>
      <c r="I1675" s="503"/>
      <c r="J1675" s="503"/>
      <c r="K1675" s="503"/>
    </row>
    <row r="1676" spans="1:11" ht="12">
      <c r="A1676" s="504">
        <v>2142127048</v>
      </c>
      <c r="B1676" s="539" t="s">
        <v>1107</v>
      </c>
      <c r="C1676" s="505" t="s">
        <v>156</v>
      </c>
      <c r="D1676" s="506">
        <v>800</v>
      </c>
      <c r="E1676" s="506">
        <v>0</v>
      </c>
      <c r="F1676" s="506">
        <v>0</v>
      </c>
      <c r="G1676" s="507">
        <v>0</v>
      </c>
      <c r="H1676" s="503"/>
      <c r="I1676" s="503"/>
      <c r="J1676" s="503"/>
      <c r="K1676" s="503"/>
    </row>
    <row r="1677" spans="1:11" ht="12">
      <c r="A1677" s="504">
        <v>2142127049</v>
      </c>
      <c r="B1677" s="539" t="s">
        <v>1108</v>
      </c>
      <c r="C1677" s="505" t="s">
        <v>156</v>
      </c>
      <c r="D1677" s="506">
        <v>1000</v>
      </c>
      <c r="E1677" s="506">
        <v>0</v>
      </c>
      <c r="F1677" s="506">
        <v>0</v>
      </c>
      <c r="G1677" s="507">
        <v>0</v>
      </c>
      <c r="H1677" s="503"/>
      <c r="I1677" s="503"/>
      <c r="J1677" s="503"/>
      <c r="K1677" s="503"/>
    </row>
    <row r="1678" spans="1:11" ht="12">
      <c r="A1678" s="504">
        <v>2142127050</v>
      </c>
      <c r="B1678" s="539" t="s">
        <v>2278</v>
      </c>
      <c r="C1678" s="505" t="s">
        <v>156</v>
      </c>
      <c r="D1678" s="506">
        <v>1385</v>
      </c>
      <c r="E1678" s="506">
        <v>4014</v>
      </c>
      <c r="F1678" s="506">
        <v>4014</v>
      </c>
      <c r="G1678" s="507">
        <v>0</v>
      </c>
      <c r="H1678" s="503"/>
      <c r="I1678" s="503"/>
      <c r="J1678" s="503"/>
      <c r="K1678" s="503"/>
    </row>
    <row r="1679" spans="1:11" ht="12">
      <c r="A1679" s="504">
        <v>2142127051</v>
      </c>
      <c r="B1679" s="539" t="s">
        <v>1109</v>
      </c>
      <c r="C1679" s="505" t="s">
        <v>1483</v>
      </c>
      <c r="D1679" s="506">
        <v>1120</v>
      </c>
      <c r="E1679" s="506">
        <v>1493</v>
      </c>
      <c r="F1679" s="506">
        <v>1492</v>
      </c>
      <c r="G1679" s="507">
        <v>1</v>
      </c>
      <c r="H1679" s="503"/>
      <c r="I1679" s="503"/>
      <c r="J1679" s="503"/>
      <c r="K1679" s="503"/>
    </row>
    <row r="1680" spans="1:11" ht="12">
      <c r="A1680" s="504">
        <v>2142127052</v>
      </c>
      <c r="B1680" s="539" t="s">
        <v>2278</v>
      </c>
      <c r="C1680" s="505" t="s">
        <v>1483</v>
      </c>
      <c r="D1680" s="506">
        <v>700</v>
      </c>
      <c r="E1680" s="506">
        <v>700</v>
      </c>
      <c r="F1680" s="506">
        <v>699</v>
      </c>
      <c r="G1680" s="507">
        <v>1</v>
      </c>
      <c r="H1680" s="503"/>
      <c r="I1680" s="503"/>
      <c r="J1680" s="503"/>
      <c r="K1680" s="503"/>
    </row>
    <row r="1681" spans="1:11" ht="12">
      <c r="A1681" s="504">
        <v>2142127053</v>
      </c>
      <c r="B1681" s="539" t="s">
        <v>1110</v>
      </c>
      <c r="C1681" s="505" t="s">
        <v>390</v>
      </c>
      <c r="D1681" s="506">
        <v>100000</v>
      </c>
      <c r="E1681" s="506">
        <v>100000</v>
      </c>
      <c r="F1681" s="506">
        <v>0</v>
      </c>
      <c r="G1681" s="507">
        <v>100000</v>
      </c>
      <c r="H1681" s="503"/>
      <c r="I1681" s="503"/>
      <c r="J1681" s="503"/>
      <c r="K1681" s="503"/>
    </row>
    <row r="1682" spans="1:11" ht="12">
      <c r="A1682" s="504">
        <v>2142127054</v>
      </c>
      <c r="B1682" s="539" t="s">
        <v>1111</v>
      </c>
      <c r="C1682" s="505" t="s">
        <v>390</v>
      </c>
      <c r="D1682" s="506">
        <v>0</v>
      </c>
      <c r="E1682" s="506">
        <v>41</v>
      </c>
      <c r="F1682" s="506">
        <v>40</v>
      </c>
      <c r="G1682" s="507">
        <v>1</v>
      </c>
      <c r="H1682" s="503"/>
      <c r="I1682" s="503"/>
      <c r="J1682" s="503"/>
      <c r="K1682" s="503"/>
    </row>
    <row r="1683" spans="1:11" ht="12">
      <c r="A1683" s="504">
        <v>2142127055</v>
      </c>
      <c r="B1683" s="539" t="s">
        <v>1112</v>
      </c>
      <c r="C1683" s="505" t="s">
        <v>111</v>
      </c>
      <c r="D1683" s="506">
        <v>0</v>
      </c>
      <c r="E1683" s="506">
        <v>0</v>
      </c>
      <c r="F1683" s="506">
        <v>623</v>
      </c>
      <c r="G1683" s="507">
        <v>0</v>
      </c>
      <c r="H1683" s="503"/>
      <c r="I1683" s="503"/>
      <c r="J1683" s="503"/>
      <c r="K1683" s="503"/>
    </row>
    <row r="1684" spans="1:11" ht="12">
      <c r="A1684" s="504">
        <v>2142127056</v>
      </c>
      <c r="B1684" s="539" t="s">
        <v>1113</v>
      </c>
      <c r="C1684" s="505" t="s">
        <v>152</v>
      </c>
      <c r="D1684" s="506">
        <v>0</v>
      </c>
      <c r="E1684" s="506">
        <v>0</v>
      </c>
      <c r="F1684" s="506">
        <v>212</v>
      </c>
      <c r="G1684" s="507">
        <v>0</v>
      </c>
      <c r="H1684" s="503"/>
      <c r="I1684" s="503"/>
      <c r="J1684" s="503"/>
      <c r="K1684" s="503"/>
    </row>
    <row r="1685" spans="1:11" ht="12">
      <c r="A1685" s="504">
        <v>2142127057</v>
      </c>
      <c r="B1685" s="539" t="s">
        <v>1114</v>
      </c>
      <c r="C1685" s="505" t="s">
        <v>152</v>
      </c>
      <c r="D1685" s="506">
        <v>0</v>
      </c>
      <c r="E1685" s="506">
        <v>268</v>
      </c>
      <c r="F1685" s="506">
        <v>265</v>
      </c>
      <c r="G1685" s="507">
        <v>3</v>
      </c>
      <c r="H1685" s="503"/>
      <c r="I1685" s="503"/>
      <c r="J1685" s="503"/>
      <c r="K1685" s="503"/>
    </row>
    <row r="1686" spans="1:11" ht="12">
      <c r="A1686" s="504">
        <v>2142127058</v>
      </c>
      <c r="B1686" s="539" t="s">
        <v>1114</v>
      </c>
      <c r="C1686" s="505" t="s">
        <v>111</v>
      </c>
      <c r="D1686" s="506">
        <v>0</v>
      </c>
      <c r="E1686" s="506">
        <v>195</v>
      </c>
      <c r="F1686" s="506">
        <v>195</v>
      </c>
      <c r="G1686" s="507">
        <v>0</v>
      </c>
      <c r="H1686" s="503"/>
      <c r="I1686" s="503"/>
      <c r="J1686" s="503"/>
      <c r="K1686" s="503"/>
    </row>
    <row r="1687" spans="1:11" ht="12">
      <c r="A1687" s="504">
        <v>2142127059</v>
      </c>
      <c r="B1687" s="539" t="s">
        <v>1114</v>
      </c>
      <c r="C1687" s="505" t="s">
        <v>150</v>
      </c>
      <c r="D1687" s="506">
        <v>0</v>
      </c>
      <c r="E1687" s="506">
        <v>62</v>
      </c>
      <c r="F1687" s="506">
        <v>62</v>
      </c>
      <c r="G1687" s="507">
        <v>0</v>
      </c>
      <c r="H1687" s="503"/>
      <c r="I1687" s="503"/>
      <c r="J1687" s="503"/>
      <c r="K1687" s="503"/>
    </row>
    <row r="1688" spans="1:11" ht="12">
      <c r="A1688" s="504">
        <v>2142127060</v>
      </c>
      <c r="B1688" s="539" t="s">
        <v>1114</v>
      </c>
      <c r="C1688" s="505" t="s">
        <v>115</v>
      </c>
      <c r="D1688" s="506">
        <v>0</v>
      </c>
      <c r="E1688" s="506">
        <v>150</v>
      </c>
      <c r="F1688" s="506">
        <v>150</v>
      </c>
      <c r="G1688" s="507">
        <v>0</v>
      </c>
      <c r="H1688" s="503"/>
      <c r="I1688" s="503"/>
      <c r="J1688" s="503"/>
      <c r="K1688" s="503"/>
    </row>
    <row r="1689" spans="1:11" ht="12">
      <c r="A1689" s="504">
        <v>2142127061</v>
      </c>
      <c r="B1689" s="539" t="s">
        <v>1114</v>
      </c>
      <c r="C1689" s="505" t="s">
        <v>154</v>
      </c>
      <c r="D1689" s="506">
        <v>0</v>
      </c>
      <c r="E1689" s="506">
        <v>602</v>
      </c>
      <c r="F1689" s="506">
        <v>602</v>
      </c>
      <c r="G1689" s="507">
        <v>0</v>
      </c>
      <c r="H1689" s="503"/>
      <c r="I1689" s="503"/>
      <c r="J1689" s="503"/>
      <c r="K1689" s="503"/>
    </row>
    <row r="1690" spans="1:11" ht="12">
      <c r="A1690" s="504">
        <v>2142127062</v>
      </c>
      <c r="B1690" s="539" t="s">
        <v>1114</v>
      </c>
      <c r="C1690" s="505" t="s">
        <v>745</v>
      </c>
      <c r="D1690" s="506">
        <v>0</v>
      </c>
      <c r="E1690" s="506">
        <v>58</v>
      </c>
      <c r="F1690" s="506">
        <v>58</v>
      </c>
      <c r="G1690" s="507">
        <v>0</v>
      </c>
      <c r="H1690" s="503"/>
      <c r="I1690" s="503"/>
      <c r="J1690" s="503"/>
      <c r="K1690" s="503"/>
    </row>
    <row r="1691" spans="1:11" ht="12">
      <c r="A1691" s="504">
        <v>2142127063</v>
      </c>
      <c r="B1691" s="539" t="s">
        <v>1114</v>
      </c>
      <c r="C1691" s="505" t="s">
        <v>119</v>
      </c>
      <c r="D1691" s="506">
        <v>0</v>
      </c>
      <c r="E1691" s="506">
        <v>158</v>
      </c>
      <c r="F1691" s="506">
        <v>158</v>
      </c>
      <c r="G1691" s="507">
        <v>0</v>
      </c>
      <c r="H1691" s="503"/>
      <c r="I1691" s="503"/>
      <c r="J1691" s="503"/>
      <c r="K1691" s="503"/>
    </row>
    <row r="1692" spans="1:11" ht="12">
      <c r="A1692" s="504">
        <v>2142127065</v>
      </c>
      <c r="B1692" s="539" t="s">
        <v>1114</v>
      </c>
      <c r="C1692" s="505" t="s">
        <v>117</v>
      </c>
      <c r="D1692" s="506">
        <v>0</v>
      </c>
      <c r="E1692" s="506">
        <v>1371</v>
      </c>
      <c r="F1692" s="506">
        <v>1371</v>
      </c>
      <c r="G1692" s="507">
        <v>0</v>
      </c>
      <c r="H1692" s="503"/>
      <c r="I1692" s="503"/>
      <c r="J1692" s="503"/>
      <c r="K1692" s="503"/>
    </row>
    <row r="1693" spans="1:11" ht="12">
      <c r="A1693" s="504">
        <v>2142127066</v>
      </c>
      <c r="B1693" s="539" t="s">
        <v>1114</v>
      </c>
      <c r="C1693" s="505" t="s">
        <v>113</v>
      </c>
      <c r="D1693" s="506">
        <v>0</v>
      </c>
      <c r="E1693" s="506">
        <v>6</v>
      </c>
      <c r="F1693" s="506">
        <v>6</v>
      </c>
      <c r="G1693" s="507">
        <v>0</v>
      </c>
      <c r="H1693" s="503"/>
      <c r="I1693" s="503"/>
      <c r="J1693" s="503"/>
      <c r="K1693" s="503"/>
    </row>
    <row r="1694" spans="1:11" ht="12">
      <c r="A1694" s="504">
        <v>2142127067</v>
      </c>
      <c r="B1694" s="539" t="s">
        <v>1114</v>
      </c>
      <c r="C1694" s="505" t="s">
        <v>747</v>
      </c>
      <c r="D1694" s="506">
        <v>0</v>
      </c>
      <c r="E1694" s="506">
        <v>25</v>
      </c>
      <c r="F1694" s="506">
        <v>25</v>
      </c>
      <c r="G1694" s="507">
        <v>0</v>
      </c>
      <c r="H1694" s="503"/>
      <c r="I1694" s="503"/>
      <c r="J1694" s="503"/>
      <c r="K1694" s="503"/>
    </row>
    <row r="1695" spans="1:11" ht="12">
      <c r="A1695" s="504">
        <v>2142127068</v>
      </c>
      <c r="B1695" s="539" t="s">
        <v>1115</v>
      </c>
      <c r="C1695" s="505" t="s">
        <v>747</v>
      </c>
      <c r="D1695" s="506">
        <v>0</v>
      </c>
      <c r="E1695" s="506">
        <v>0</v>
      </c>
      <c r="F1695" s="506">
        <v>195</v>
      </c>
      <c r="G1695" s="507">
        <v>0</v>
      </c>
      <c r="H1695" s="503"/>
      <c r="I1695" s="503"/>
      <c r="J1695" s="503"/>
      <c r="K1695" s="503"/>
    </row>
    <row r="1696" spans="1:11" ht="12">
      <c r="A1696" s="504">
        <v>2142127069</v>
      </c>
      <c r="B1696" s="539" t="s">
        <v>1116</v>
      </c>
      <c r="C1696" s="505" t="s">
        <v>146</v>
      </c>
      <c r="D1696" s="506">
        <v>0</v>
      </c>
      <c r="E1696" s="506">
        <v>0</v>
      </c>
      <c r="F1696" s="506">
        <v>580</v>
      </c>
      <c r="G1696" s="507">
        <v>0</v>
      </c>
      <c r="H1696" s="503"/>
      <c r="I1696" s="503"/>
      <c r="J1696" s="503"/>
      <c r="K1696" s="503"/>
    </row>
    <row r="1697" spans="1:11" ht="12">
      <c r="A1697" s="504">
        <v>2142127070</v>
      </c>
      <c r="B1697" s="539" t="s">
        <v>1117</v>
      </c>
      <c r="C1697" s="505" t="s">
        <v>747</v>
      </c>
      <c r="D1697" s="506">
        <v>0</v>
      </c>
      <c r="E1697" s="506">
        <v>1200</v>
      </c>
      <c r="F1697" s="506">
        <v>1199</v>
      </c>
      <c r="G1697" s="507">
        <v>0</v>
      </c>
      <c r="H1697" s="503"/>
      <c r="I1697" s="503"/>
      <c r="J1697" s="503"/>
      <c r="K1697" s="503"/>
    </row>
    <row r="1698" spans="1:11" ht="12">
      <c r="A1698" s="504">
        <v>2142127071</v>
      </c>
      <c r="B1698" s="539" t="s">
        <v>1118</v>
      </c>
      <c r="C1698" s="505" t="s">
        <v>390</v>
      </c>
      <c r="D1698" s="506">
        <v>0</v>
      </c>
      <c r="E1698" s="506">
        <v>3780</v>
      </c>
      <c r="F1698" s="506">
        <v>3780</v>
      </c>
      <c r="G1698" s="507">
        <v>0</v>
      </c>
      <c r="H1698" s="503"/>
      <c r="I1698" s="503"/>
      <c r="J1698" s="503"/>
      <c r="K1698" s="503"/>
    </row>
    <row r="1699" spans="1:11" ht="12">
      <c r="A1699" s="504">
        <v>2142127072</v>
      </c>
      <c r="B1699" s="539" t="s">
        <v>1119</v>
      </c>
      <c r="C1699" s="505" t="s">
        <v>117</v>
      </c>
      <c r="D1699" s="506">
        <v>0</v>
      </c>
      <c r="E1699" s="506">
        <v>0</v>
      </c>
      <c r="F1699" s="506">
        <v>399</v>
      </c>
      <c r="G1699" s="507">
        <v>0</v>
      </c>
      <c r="H1699" s="503"/>
      <c r="I1699" s="503"/>
      <c r="J1699" s="503"/>
      <c r="K1699" s="503"/>
    </row>
    <row r="1700" spans="1:11" ht="12">
      <c r="A1700" s="504">
        <v>2142127073</v>
      </c>
      <c r="B1700" s="539" t="s">
        <v>1120</v>
      </c>
      <c r="C1700" s="505" t="s">
        <v>146</v>
      </c>
      <c r="D1700" s="506">
        <v>0</v>
      </c>
      <c r="E1700" s="506">
        <v>2798</v>
      </c>
      <c r="F1700" s="506">
        <v>2797</v>
      </c>
      <c r="G1700" s="507">
        <v>1</v>
      </c>
      <c r="H1700" s="503"/>
      <c r="I1700" s="503"/>
      <c r="J1700" s="503"/>
      <c r="K1700" s="503"/>
    </row>
    <row r="1701" spans="1:11" ht="12">
      <c r="A1701" s="504">
        <v>2142127074</v>
      </c>
      <c r="B1701" s="539" t="s">
        <v>1121</v>
      </c>
      <c r="C1701" s="505" t="s">
        <v>146</v>
      </c>
      <c r="D1701" s="506">
        <v>0</v>
      </c>
      <c r="E1701" s="506">
        <v>0</v>
      </c>
      <c r="F1701" s="506">
        <v>320</v>
      </c>
      <c r="G1701" s="507">
        <v>0</v>
      </c>
      <c r="H1701" s="503"/>
      <c r="I1701" s="503"/>
      <c r="J1701" s="503"/>
      <c r="K1701" s="503"/>
    </row>
    <row r="1702" spans="1:11" ht="12">
      <c r="A1702" s="504">
        <v>2142127075</v>
      </c>
      <c r="B1702" s="539" t="s">
        <v>2175</v>
      </c>
      <c r="C1702" s="505" t="s">
        <v>119</v>
      </c>
      <c r="D1702" s="506">
        <v>0</v>
      </c>
      <c r="E1702" s="506">
        <v>0</v>
      </c>
      <c r="F1702" s="506">
        <v>87</v>
      </c>
      <c r="G1702" s="507">
        <v>0</v>
      </c>
      <c r="H1702" s="503"/>
      <c r="I1702" s="503"/>
      <c r="J1702" s="503"/>
      <c r="K1702" s="503"/>
    </row>
    <row r="1703" spans="1:11" ht="12">
      <c r="A1703" s="504">
        <v>2142127076</v>
      </c>
      <c r="B1703" s="539" t="s">
        <v>2176</v>
      </c>
      <c r="C1703" s="505" t="s">
        <v>146</v>
      </c>
      <c r="D1703" s="506">
        <v>0</v>
      </c>
      <c r="E1703" s="506">
        <v>0</v>
      </c>
      <c r="F1703" s="506">
        <v>474</v>
      </c>
      <c r="G1703" s="507">
        <v>0</v>
      </c>
      <c r="H1703" s="503"/>
      <c r="I1703" s="503"/>
      <c r="J1703" s="503"/>
      <c r="K1703" s="503"/>
    </row>
    <row r="1704" spans="1:11" ht="12">
      <c r="A1704" s="504">
        <v>2142127077</v>
      </c>
      <c r="B1704" s="539" t="s">
        <v>2177</v>
      </c>
      <c r="C1704" s="505" t="s">
        <v>745</v>
      </c>
      <c r="D1704" s="506">
        <v>0</v>
      </c>
      <c r="E1704" s="506">
        <v>0</v>
      </c>
      <c r="F1704" s="506">
        <v>40</v>
      </c>
      <c r="G1704" s="507">
        <v>0</v>
      </c>
      <c r="H1704" s="503"/>
      <c r="I1704" s="503"/>
      <c r="J1704" s="503"/>
      <c r="K1704" s="503"/>
    </row>
    <row r="1705" spans="1:11" ht="12">
      <c r="A1705" s="504">
        <v>2142127078</v>
      </c>
      <c r="B1705" s="539" t="s">
        <v>2178</v>
      </c>
      <c r="C1705" s="505" t="s">
        <v>390</v>
      </c>
      <c r="D1705" s="506">
        <v>0</v>
      </c>
      <c r="E1705" s="506">
        <v>675</v>
      </c>
      <c r="F1705" s="506">
        <v>674</v>
      </c>
      <c r="G1705" s="507">
        <v>1</v>
      </c>
      <c r="H1705" s="503"/>
      <c r="I1705" s="503"/>
      <c r="J1705" s="503"/>
      <c r="K1705" s="503"/>
    </row>
    <row r="1706" spans="1:11" ht="12">
      <c r="A1706" s="504">
        <v>2142127079</v>
      </c>
      <c r="B1706" s="539" t="s">
        <v>2179</v>
      </c>
      <c r="C1706" s="505" t="s">
        <v>747</v>
      </c>
      <c r="D1706" s="506">
        <v>0</v>
      </c>
      <c r="E1706" s="506">
        <v>0</v>
      </c>
      <c r="F1706" s="506">
        <v>1490</v>
      </c>
      <c r="G1706" s="507">
        <v>0</v>
      </c>
      <c r="H1706" s="503"/>
      <c r="I1706" s="503"/>
      <c r="J1706" s="503"/>
      <c r="K1706" s="503"/>
    </row>
    <row r="1707" spans="1:11" ht="12">
      <c r="A1707" s="504">
        <v>2142127080</v>
      </c>
      <c r="B1707" s="539" t="s">
        <v>2180</v>
      </c>
      <c r="C1707" s="505" t="s">
        <v>747</v>
      </c>
      <c r="D1707" s="506">
        <v>0</v>
      </c>
      <c r="E1707" s="506">
        <v>0</v>
      </c>
      <c r="F1707" s="506">
        <v>600</v>
      </c>
      <c r="G1707" s="507">
        <v>0</v>
      </c>
      <c r="H1707" s="503"/>
      <c r="I1707" s="503"/>
      <c r="J1707" s="503"/>
      <c r="K1707" s="503"/>
    </row>
    <row r="1708" spans="1:11" ht="12">
      <c r="A1708" s="504">
        <v>2142127081</v>
      </c>
      <c r="B1708" s="539" t="s">
        <v>2181</v>
      </c>
      <c r="C1708" s="505" t="s">
        <v>115</v>
      </c>
      <c r="D1708" s="506">
        <v>0</v>
      </c>
      <c r="E1708" s="506">
        <v>255</v>
      </c>
      <c r="F1708" s="506">
        <v>255</v>
      </c>
      <c r="G1708" s="507">
        <v>0</v>
      </c>
      <c r="H1708" s="503"/>
      <c r="I1708" s="503"/>
      <c r="J1708" s="503"/>
      <c r="K1708" s="503"/>
    </row>
    <row r="1709" spans="1:11" ht="12">
      <c r="A1709" s="504">
        <v>2142127082</v>
      </c>
      <c r="B1709" s="539" t="s">
        <v>2182</v>
      </c>
      <c r="C1709" s="505" t="s">
        <v>390</v>
      </c>
      <c r="D1709" s="506">
        <v>0</v>
      </c>
      <c r="E1709" s="506">
        <v>1550</v>
      </c>
      <c r="F1709" s="506">
        <v>1549</v>
      </c>
      <c r="G1709" s="507">
        <v>1</v>
      </c>
      <c r="H1709" s="503"/>
      <c r="I1709" s="503"/>
      <c r="J1709" s="503"/>
      <c r="K1709" s="503"/>
    </row>
    <row r="1710" spans="1:11" ht="12">
      <c r="A1710" s="504">
        <v>2142127083</v>
      </c>
      <c r="B1710" s="539" t="s">
        <v>2183</v>
      </c>
      <c r="C1710" s="505" t="s">
        <v>150</v>
      </c>
      <c r="D1710" s="506">
        <v>0</v>
      </c>
      <c r="E1710" s="506">
        <v>1280</v>
      </c>
      <c r="F1710" s="506">
        <v>1278</v>
      </c>
      <c r="G1710" s="507">
        <v>2</v>
      </c>
      <c r="H1710" s="503"/>
      <c r="I1710" s="503"/>
      <c r="J1710" s="503"/>
      <c r="K1710" s="503"/>
    </row>
    <row r="1711" spans="1:11" ht="12">
      <c r="A1711" s="504">
        <v>2142127084</v>
      </c>
      <c r="B1711" s="539" t="s">
        <v>2184</v>
      </c>
      <c r="C1711" s="505" t="s">
        <v>117</v>
      </c>
      <c r="D1711" s="506">
        <v>0</v>
      </c>
      <c r="E1711" s="506">
        <v>0</v>
      </c>
      <c r="F1711" s="506">
        <v>1800</v>
      </c>
      <c r="G1711" s="507">
        <v>0</v>
      </c>
      <c r="H1711" s="503"/>
      <c r="I1711" s="503"/>
      <c r="J1711" s="503"/>
      <c r="K1711" s="503"/>
    </row>
    <row r="1712" spans="1:11" ht="12">
      <c r="A1712" s="504">
        <v>2142127085</v>
      </c>
      <c r="B1712" s="539" t="s">
        <v>2185</v>
      </c>
      <c r="C1712" s="505" t="s">
        <v>390</v>
      </c>
      <c r="D1712" s="506">
        <v>0</v>
      </c>
      <c r="E1712" s="506">
        <v>79</v>
      </c>
      <c r="F1712" s="506">
        <v>78</v>
      </c>
      <c r="G1712" s="507">
        <v>1</v>
      </c>
      <c r="H1712" s="503"/>
      <c r="I1712" s="503"/>
      <c r="J1712" s="503"/>
      <c r="K1712" s="503"/>
    </row>
    <row r="1713" spans="1:11" ht="12">
      <c r="A1713" s="504">
        <v>2142127086</v>
      </c>
      <c r="B1713" s="539" t="s">
        <v>2186</v>
      </c>
      <c r="C1713" s="505" t="s">
        <v>747</v>
      </c>
      <c r="D1713" s="506">
        <v>0</v>
      </c>
      <c r="E1713" s="506">
        <v>0</v>
      </c>
      <c r="F1713" s="506">
        <v>165</v>
      </c>
      <c r="G1713" s="507">
        <v>0</v>
      </c>
      <c r="H1713" s="503"/>
      <c r="I1713" s="503"/>
      <c r="J1713" s="503"/>
      <c r="K1713" s="503"/>
    </row>
    <row r="1714" spans="1:11" ht="12">
      <c r="A1714" s="504">
        <v>2142127087</v>
      </c>
      <c r="B1714" s="539" t="s">
        <v>2187</v>
      </c>
      <c r="C1714" s="505" t="s">
        <v>747</v>
      </c>
      <c r="D1714" s="506">
        <v>0</v>
      </c>
      <c r="E1714" s="506">
        <v>0</v>
      </c>
      <c r="F1714" s="506">
        <v>499</v>
      </c>
      <c r="G1714" s="507">
        <v>0</v>
      </c>
      <c r="H1714" s="503"/>
      <c r="I1714" s="503"/>
      <c r="J1714" s="503"/>
      <c r="K1714" s="503"/>
    </row>
    <row r="1715" spans="1:11" ht="12">
      <c r="A1715" s="504">
        <v>2142127088</v>
      </c>
      <c r="B1715" s="539" t="s">
        <v>2188</v>
      </c>
      <c r="C1715" s="505" t="s">
        <v>745</v>
      </c>
      <c r="D1715" s="506">
        <v>0</v>
      </c>
      <c r="E1715" s="506">
        <v>0</v>
      </c>
      <c r="F1715" s="506">
        <v>70</v>
      </c>
      <c r="G1715" s="507">
        <v>0</v>
      </c>
      <c r="H1715" s="503"/>
      <c r="I1715" s="503"/>
      <c r="J1715" s="503"/>
      <c r="K1715" s="503"/>
    </row>
    <row r="1716" spans="1:11" ht="12">
      <c r="A1716" s="504">
        <v>2142127089</v>
      </c>
      <c r="B1716" s="539" t="s">
        <v>2189</v>
      </c>
      <c r="C1716" s="505" t="s">
        <v>119</v>
      </c>
      <c r="D1716" s="506">
        <v>0</v>
      </c>
      <c r="E1716" s="506">
        <v>120</v>
      </c>
      <c r="F1716" s="506">
        <v>119</v>
      </c>
      <c r="G1716" s="507">
        <v>1</v>
      </c>
      <c r="H1716" s="503"/>
      <c r="I1716" s="503"/>
      <c r="J1716" s="503"/>
      <c r="K1716" s="503"/>
    </row>
    <row r="1717" spans="1:11" ht="12">
      <c r="A1717" s="504">
        <v>2142127090</v>
      </c>
      <c r="B1717" s="539" t="s">
        <v>2190</v>
      </c>
      <c r="C1717" s="505" t="s">
        <v>148</v>
      </c>
      <c r="D1717" s="506">
        <v>0</v>
      </c>
      <c r="E1717" s="506">
        <v>0</v>
      </c>
      <c r="F1717" s="506">
        <v>96</v>
      </c>
      <c r="G1717" s="507">
        <v>0</v>
      </c>
      <c r="H1717" s="503"/>
      <c r="I1717" s="503"/>
      <c r="J1717" s="503"/>
      <c r="K1717" s="503"/>
    </row>
    <row r="1718" spans="1:11" ht="12">
      <c r="A1718" s="504">
        <v>2142127091</v>
      </c>
      <c r="B1718" s="539" t="s">
        <v>2191</v>
      </c>
      <c r="C1718" s="505" t="s">
        <v>119</v>
      </c>
      <c r="D1718" s="506">
        <v>0</v>
      </c>
      <c r="E1718" s="506">
        <v>291</v>
      </c>
      <c r="F1718" s="506">
        <v>290</v>
      </c>
      <c r="G1718" s="507">
        <v>1</v>
      </c>
      <c r="H1718" s="503"/>
      <c r="I1718" s="503"/>
      <c r="J1718" s="503"/>
      <c r="K1718" s="503"/>
    </row>
    <row r="1719" spans="1:11" ht="12">
      <c r="A1719" s="504">
        <v>2142127092</v>
      </c>
      <c r="B1719" s="539" t="s">
        <v>2192</v>
      </c>
      <c r="C1719" s="505" t="s">
        <v>390</v>
      </c>
      <c r="D1719" s="506">
        <v>0</v>
      </c>
      <c r="E1719" s="506">
        <v>151</v>
      </c>
      <c r="F1719" s="506">
        <v>150</v>
      </c>
      <c r="G1719" s="507">
        <v>1</v>
      </c>
      <c r="H1719" s="503"/>
      <c r="I1719" s="503"/>
      <c r="J1719" s="503"/>
      <c r="K1719" s="503"/>
    </row>
    <row r="1720" spans="1:11" ht="12">
      <c r="A1720" s="504">
        <v>2142127093</v>
      </c>
      <c r="B1720" s="539" t="s">
        <v>2193</v>
      </c>
      <c r="C1720" s="505" t="s">
        <v>154</v>
      </c>
      <c r="D1720" s="506">
        <v>0</v>
      </c>
      <c r="E1720" s="506">
        <v>0</v>
      </c>
      <c r="F1720" s="506">
        <v>66</v>
      </c>
      <c r="G1720" s="507">
        <v>0</v>
      </c>
      <c r="H1720" s="503"/>
      <c r="I1720" s="503"/>
      <c r="J1720" s="503"/>
      <c r="K1720" s="503"/>
    </row>
    <row r="1721" spans="1:11" ht="12">
      <c r="A1721" s="504">
        <v>2142127094</v>
      </c>
      <c r="B1721" s="539" t="s">
        <v>2194</v>
      </c>
      <c r="C1721" s="505" t="s">
        <v>119</v>
      </c>
      <c r="D1721" s="506">
        <v>0</v>
      </c>
      <c r="E1721" s="506">
        <v>522</v>
      </c>
      <c r="F1721" s="506">
        <v>522</v>
      </c>
      <c r="G1721" s="507">
        <v>0</v>
      </c>
      <c r="H1721" s="503"/>
      <c r="I1721" s="503"/>
      <c r="J1721" s="503"/>
      <c r="K1721" s="503"/>
    </row>
    <row r="1722" spans="1:11" ht="12">
      <c r="A1722" s="504">
        <v>2142127095</v>
      </c>
      <c r="B1722" s="539" t="s">
        <v>2195</v>
      </c>
      <c r="C1722" s="505" t="s">
        <v>745</v>
      </c>
      <c r="D1722" s="506">
        <v>0</v>
      </c>
      <c r="E1722" s="506">
        <v>574</v>
      </c>
      <c r="F1722" s="506">
        <v>574</v>
      </c>
      <c r="G1722" s="507">
        <v>0</v>
      </c>
      <c r="H1722" s="503"/>
      <c r="I1722" s="503"/>
      <c r="J1722" s="503"/>
      <c r="K1722" s="503"/>
    </row>
    <row r="1723" spans="1:11" ht="12">
      <c r="A1723" s="504">
        <v>2142127096</v>
      </c>
      <c r="B1723" s="539" t="s">
        <v>2196</v>
      </c>
      <c r="C1723" s="505" t="s">
        <v>156</v>
      </c>
      <c r="D1723" s="506">
        <v>0</v>
      </c>
      <c r="E1723" s="506">
        <v>0</v>
      </c>
      <c r="F1723" s="506">
        <v>20</v>
      </c>
      <c r="G1723" s="507">
        <v>0</v>
      </c>
      <c r="H1723" s="503"/>
      <c r="I1723" s="503"/>
      <c r="J1723" s="503"/>
      <c r="K1723" s="503"/>
    </row>
    <row r="1724" spans="1:11" ht="12">
      <c r="A1724" s="504">
        <v>2142127097</v>
      </c>
      <c r="B1724" s="539" t="s">
        <v>1222</v>
      </c>
      <c r="C1724" s="505" t="s">
        <v>113</v>
      </c>
      <c r="D1724" s="506">
        <v>0</v>
      </c>
      <c r="E1724" s="506">
        <v>0</v>
      </c>
      <c r="F1724" s="506">
        <v>10</v>
      </c>
      <c r="G1724" s="507">
        <v>0</v>
      </c>
      <c r="H1724" s="503"/>
      <c r="I1724" s="503"/>
      <c r="J1724" s="503"/>
      <c r="K1724" s="503"/>
    </row>
    <row r="1725" spans="1:11" ht="12">
      <c r="A1725" s="504">
        <v>2142127098</v>
      </c>
      <c r="B1725" s="539" t="s">
        <v>1223</v>
      </c>
      <c r="C1725" s="505" t="s">
        <v>390</v>
      </c>
      <c r="D1725" s="506">
        <v>0</v>
      </c>
      <c r="E1725" s="506">
        <v>3820</v>
      </c>
      <c r="F1725" s="506">
        <v>3818</v>
      </c>
      <c r="G1725" s="507">
        <v>2</v>
      </c>
      <c r="H1725" s="503"/>
      <c r="I1725" s="503"/>
      <c r="J1725" s="503"/>
      <c r="K1725" s="503"/>
    </row>
    <row r="1726" spans="1:11" ht="12">
      <c r="A1726" s="504">
        <v>2142127099</v>
      </c>
      <c r="B1726" s="539" t="s">
        <v>1224</v>
      </c>
      <c r="C1726" s="505" t="s">
        <v>146</v>
      </c>
      <c r="D1726" s="506">
        <v>0</v>
      </c>
      <c r="E1726" s="506">
        <v>178</v>
      </c>
      <c r="F1726" s="506">
        <v>178</v>
      </c>
      <c r="G1726" s="507">
        <v>0</v>
      </c>
      <c r="H1726" s="503"/>
      <c r="I1726" s="503"/>
      <c r="J1726" s="503"/>
      <c r="K1726" s="503"/>
    </row>
    <row r="1727" spans="1:11" ht="12">
      <c r="A1727" s="504">
        <v>2142127100</v>
      </c>
      <c r="B1727" s="539" t="s">
        <v>1225</v>
      </c>
      <c r="C1727" s="505" t="s">
        <v>146</v>
      </c>
      <c r="D1727" s="506">
        <v>0</v>
      </c>
      <c r="E1727" s="506">
        <v>342</v>
      </c>
      <c r="F1727" s="506">
        <v>341</v>
      </c>
      <c r="G1727" s="507">
        <v>1</v>
      </c>
      <c r="H1727" s="503"/>
      <c r="I1727" s="503"/>
      <c r="J1727" s="503"/>
      <c r="K1727" s="503"/>
    </row>
    <row r="1728" spans="1:11" ht="12">
      <c r="A1728" s="504">
        <v>2142127101</v>
      </c>
      <c r="B1728" s="539" t="s">
        <v>1226</v>
      </c>
      <c r="C1728" s="505" t="s">
        <v>146</v>
      </c>
      <c r="D1728" s="506">
        <v>0</v>
      </c>
      <c r="E1728" s="506">
        <v>376</v>
      </c>
      <c r="F1728" s="506">
        <v>375</v>
      </c>
      <c r="G1728" s="507">
        <v>0</v>
      </c>
      <c r="H1728" s="503"/>
      <c r="I1728" s="503"/>
      <c r="J1728" s="503"/>
      <c r="K1728" s="503"/>
    </row>
    <row r="1729" spans="1:11" ht="12">
      <c r="A1729" s="504">
        <v>2142127102</v>
      </c>
      <c r="B1729" s="539" t="s">
        <v>1227</v>
      </c>
      <c r="C1729" s="505" t="s">
        <v>390</v>
      </c>
      <c r="D1729" s="506">
        <v>0</v>
      </c>
      <c r="E1729" s="506">
        <v>2396</v>
      </c>
      <c r="F1729" s="506">
        <v>2394</v>
      </c>
      <c r="G1729" s="507">
        <v>2</v>
      </c>
      <c r="H1729" s="503"/>
      <c r="I1729" s="503"/>
      <c r="J1729" s="503"/>
      <c r="K1729" s="503"/>
    </row>
    <row r="1730" spans="1:11" ht="12">
      <c r="A1730" s="504">
        <v>2142127103</v>
      </c>
      <c r="B1730" s="539" t="s">
        <v>1228</v>
      </c>
      <c r="C1730" s="505" t="s">
        <v>747</v>
      </c>
      <c r="D1730" s="506">
        <v>0</v>
      </c>
      <c r="E1730" s="506">
        <v>0</v>
      </c>
      <c r="F1730" s="506">
        <v>500</v>
      </c>
      <c r="G1730" s="507">
        <v>0</v>
      </c>
      <c r="H1730" s="503"/>
      <c r="I1730" s="503"/>
      <c r="J1730" s="503"/>
      <c r="K1730" s="503"/>
    </row>
    <row r="1731" spans="1:11" ht="12">
      <c r="A1731" s="504">
        <v>2142127104</v>
      </c>
      <c r="B1731" s="539" t="s">
        <v>1229</v>
      </c>
      <c r="C1731" s="505" t="s">
        <v>146</v>
      </c>
      <c r="D1731" s="506">
        <v>0</v>
      </c>
      <c r="E1731" s="506">
        <v>43</v>
      </c>
      <c r="F1731" s="506">
        <v>43</v>
      </c>
      <c r="G1731" s="507">
        <v>0</v>
      </c>
      <c r="H1731" s="503"/>
      <c r="I1731" s="503"/>
      <c r="J1731" s="503"/>
      <c r="K1731" s="503"/>
    </row>
    <row r="1732" spans="1:11" ht="12">
      <c r="A1732" s="504">
        <v>2142127105</v>
      </c>
      <c r="B1732" s="539" t="s">
        <v>1230</v>
      </c>
      <c r="C1732" s="505" t="s">
        <v>390</v>
      </c>
      <c r="D1732" s="506">
        <v>0</v>
      </c>
      <c r="E1732" s="506">
        <v>4972</v>
      </c>
      <c r="F1732" s="506">
        <v>4971</v>
      </c>
      <c r="G1732" s="507">
        <v>1</v>
      </c>
      <c r="H1732" s="503"/>
      <c r="I1732" s="503"/>
      <c r="J1732" s="503"/>
      <c r="K1732" s="503"/>
    </row>
    <row r="1733" spans="1:11" ht="12">
      <c r="A1733" s="504">
        <v>2142127106</v>
      </c>
      <c r="B1733" s="539" t="s">
        <v>1231</v>
      </c>
      <c r="C1733" s="505" t="s">
        <v>148</v>
      </c>
      <c r="D1733" s="506">
        <v>0</v>
      </c>
      <c r="E1733" s="506">
        <v>0</v>
      </c>
      <c r="F1733" s="506">
        <v>59</v>
      </c>
      <c r="G1733" s="507">
        <v>0</v>
      </c>
      <c r="H1733" s="503"/>
      <c r="I1733" s="503"/>
      <c r="J1733" s="503"/>
      <c r="K1733" s="503"/>
    </row>
    <row r="1734" spans="1:11" ht="12">
      <c r="A1734" s="504">
        <v>2142127107</v>
      </c>
      <c r="B1734" s="539" t="s">
        <v>1232</v>
      </c>
      <c r="C1734" s="505" t="s">
        <v>119</v>
      </c>
      <c r="D1734" s="506">
        <v>0</v>
      </c>
      <c r="E1734" s="506">
        <v>209</v>
      </c>
      <c r="F1734" s="506">
        <v>408</v>
      </c>
      <c r="G1734" s="507">
        <v>1</v>
      </c>
      <c r="H1734" s="503"/>
      <c r="I1734" s="503"/>
      <c r="J1734" s="503"/>
      <c r="K1734" s="503"/>
    </row>
    <row r="1735" spans="1:11" ht="12">
      <c r="A1735" s="504">
        <v>2142127108</v>
      </c>
      <c r="B1735" s="539" t="s">
        <v>1233</v>
      </c>
      <c r="C1735" s="505" t="s">
        <v>113</v>
      </c>
      <c r="D1735" s="506">
        <v>0</v>
      </c>
      <c r="E1735" s="506">
        <v>0</v>
      </c>
      <c r="F1735" s="506">
        <v>100</v>
      </c>
      <c r="G1735" s="507">
        <v>0</v>
      </c>
      <c r="H1735" s="503"/>
      <c r="I1735" s="503"/>
      <c r="J1735" s="503"/>
      <c r="K1735" s="503"/>
    </row>
    <row r="1736" spans="1:11" ht="12">
      <c r="A1736" s="504">
        <v>2142127109</v>
      </c>
      <c r="B1736" s="539" t="s">
        <v>1234</v>
      </c>
      <c r="C1736" s="505" t="s">
        <v>747</v>
      </c>
      <c r="D1736" s="506">
        <v>0</v>
      </c>
      <c r="E1736" s="506">
        <v>196</v>
      </c>
      <c r="F1736" s="506">
        <v>196</v>
      </c>
      <c r="G1736" s="507">
        <v>0</v>
      </c>
      <c r="H1736" s="503"/>
      <c r="I1736" s="503"/>
      <c r="J1736" s="503"/>
      <c r="K1736" s="503"/>
    </row>
    <row r="1737" spans="1:11" ht="12">
      <c r="A1737" s="504">
        <v>2142127110</v>
      </c>
      <c r="B1737" s="539" t="s">
        <v>1235</v>
      </c>
      <c r="C1737" s="505" t="s">
        <v>152</v>
      </c>
      <c r="D1737" s="506">
        <v>0</v>
      </c>
      <c r="E1737" s="506">
        <v>550</v>
      </c>
      <c r="F1737" s="506">
        <v>550</v>
      </c>
      <c r="G1737" s="507">
        <v>0</v>
      </c>
      <c r="H1737" s="503"/>
      <c r="I1737" s="503"/>
      <c r="J1737" s="503"/>
      <c r="K1737" s="503"/>
    </row>
    <row r="1738" spans="1:11" ht="12">
      <c r="A1738" s="504">
        <v>2142127111</v>
      </c>
      <c r="B1738" s="539" t="s">
        <v>1873</v>
      </c>
      <c r="C1738" s="505" t="s">
        <v>115</v>
      </c>
      <c r="D1738" s="506">
        <v>0</v>
      </c>
      <c r="E1738" s="506">
        <v>0</v>
      </c>
      <c r="F1738" s="506">
        <v>80</v>
      </c>
      <c r="G1738" s="507">
        <v>0</v>
      </c>
      <c r="H1738" s="503"/>
      <c r="I1738" s="503"/>
      <c r="J1738" s="503"/>
      <c r="K1738" s="503"/>
    </row>
    <row r="1739" spans="1:11" ht="12">
      <c r="A1739" s="504">
        <v>2142127112</v>
      </c>
      <c r="B1739" s="539" t="s">
        <v>1874</v>
      </c>
      <c r="C1739" s="505" t="s">
        <v>152</v>
      </c>
      <c r="D1739" s="506">
        <v>0</v>
      </c>
      <c r="E1739" s="506">
        <v>500</v>
      </c>
      <c r="F1739" s="506">
        <v>500</v>
      </c>
      <c r="G1739" s="507">
        <v>0</v>
      </c>
      <c r="H1739" s="503"/>
      <c r="I1739" s="503"/>
      <c r="J1739" s="503"/>
      <c r="K1739" s="503"/>
    </row>
    <row r="1740" spans="1:11" ht="12">
      <c r="A1740" s="504">
        <v>2142127113</v>
      </c>
      <c r="B1740" s="539" t="s">
        <v>1875</v>
      </c>
      <c r="C1740" s="505" t="s">
        <v>747</v>
      </c>
      <c r="D1740" s="506">
        <v>0</v>
      </c>
      <c r="E1740" s="506">
        <v>0</v>
      </c>
      <c r="F1740" s="506">
        <v>106</v>
      </c>
      <c r="G1740" s="507">
        <v>0</v>
      </c>
      <c r="H1740" s="503"/>
      <c r="I1740" s="503"/>
      <c r="J1740" s="503"/>
      <c r="K1740" s="503"/>
    </row>
    <row r="1741" spans="1:11" ht="12">
      <c r="A1741" s="504">
        <v>2142127114</v>
      </c>
      <c r="B1741" s="539" t="s">
        <v>1876</v>
      </c>
      <c r="C1741" s="505" t="s">
        <v>390</v>
      </c>
      <c r="D1741" s="506">
        <v>0</v>
      </c>
      <c r="E1741" s="506">
        <v>657</v>
      </c>
      <c r="F1741" s="506">
        <v>656</v>
      </c>
      <c r="G1741" s="507">
        <v>0</v>
      </c>
      <c r="H1741" s="503"/>
      <c r="I1741" s="503"/>
      <c r="J1741" s="503"/>
      <c r="K1741" s="503"/>
    </row>
    <row r="1742" spans="1:11" ht="12">
      <c r="A1742" s="504">
        <v>2142127115</v>
      </c>
      <c r="B1742" s="539" t="s">
        <v>1877</v>
      </c>
      <c r="C1742" s="505" t="s">
        <v>152</v>
      </c>
      <c r="D1742" s="506">
        <v>0</v>
      </c>
      <c r="E1742" s="506">
        <v>0</v>
      </c>
      <c r="F1742" s="506">
        <v>450</v>
      </c>
      <c r="G1742" s="507">
        <v>0</v>
      </c>
      <c r="H1742" s="503"/>
      <c r="I1742" s="503"/>
      <c r="J1742" s="503"/>
      <c r="K1742" s="503"/>
    </row>
    <row r="1743" spans="1:11" ht="12">
      <c r="A1743" s="504">
        <v>2142127116</v>
      </c>
      <c r="B1743" s="539" t="s">
        <v>1878</v>
      </c>
      <c r="C1743" s="505" t="s">
        <v>146</v>
      </c>
      <c r="D1743" s="506">
        <v>0</v>
      </c>
      <c r="E1743" s="506">
        <v>110</v>
      </c>
      <c r="F1743" s="506">
        <v>109</v>
      </c>
      <c r="G1743" s="507">
        <v>1</v>
      </c>
      <c r="H1743" s="503"/>
      <c r="I1743" s="503"/>
      <c r="J1743" s="503"/>
      <c r="K1743" s="503"/>
    </row>
    <row r="1744" spans="1:11" ht="12">
      <c r="A1744" s="504">
        <v>2142127117</v>
      </c>
      <c r="B1744" s="539" t="s">
        <v>1879</v>
      </c>
      <c r="C1744" s="505" t="s">
        <v>152</v>
      </c>
      <c r="D1744" s="506">
        <v>0</v>
      </c>
      <c r="E1744" s="506">
        <v>0</v>
      </c>
      <c r="F1744" s="506">
        <v>313</v>
      </c>
      <c r="G1744" s="507">
        <v>0</v>
      </c>
      <c r="H1744" s="503"/>
      <c r="I1744" s="503"/>
      <c r="J1744" s="503"/>
      <c r="K1744" s="503"/>
    </row>
    <row r="1745" spans="1:11" ht="12">
      <c r="A1745" s="504">
        <v>2142127118</v>
      </c>
      <c r="B1745" s="539" t="s">
        <v>1880</v>
      </c>
      <c r="C1745" s="505" t="s">
        <v>747</v>
      </c>
      <c r="D1745" s="506">
        <v>0</v>
      </c>
      <c r="E1745" s="506">
        <v>0</v>
      </c>
      <c r="F1745" s="506">
        <v>192</v>
      </c>
      <c r="G1745" s="507">
        <v>0</v>
      </c>
      <c r="H1745" s="503"/>
      <c r="I1745" s="503"/>
      <c r="J1745" s="503"/>
      <c r="K1745" s="503"/>
    </row>
    <row r="1746" spans="1:11" ht="12">
      <c r="A1746" s="504">
        <v>2142127119</v>
      </c>
      <c r="B1746" s="539" t="s">
        <v>1881</v>
      </c>
      <c r="C1746" s="505" t="s">
        <v>115</v>
      </c>
      <c r="D1746" s="506">
        <v>0</v>
      </c>
      <c r="E1746" s="506">
        <v>115</v>
      </c>
      <c r="F1746" s="506">
        <v>114</v>
      </c>
      <c r="G1746" s="507">
        <v>1</v>
      </c>
      <c r="H1746" s="503"/>
      <c r="I1746" s="503"/>
      <c r="J1746" s="503"/>
      <c r="K1746" s="503"/>
    </row>
    <row r="1747" spans="1:11" ht="12">
      <c r="A1747" s="504">
        <v>2142127120</v>
      </c>
      <c r="B1747" s="539" t="s">
        <v>1882</v>
      </c>
      <c r="C1747" s="505" t="s">
        <v>150</v>
      </c>
      <c r="D1747" s="506">
        <v>0</v>
      </c>
      <c r="E1747" s="506">
        <v>13</v>
      </c>
      <c r="F1747" s="506">
        <v>12</v>
      </c>
      <c r="G1747" s="507">
        <v>1</v>
      </c>
      <c r="H1747" s="503"/>
      <c r="I1747" s="503"/>
      <c r="J1747" s="503"/>
      <c r="K1747" s="503"/>
    </row>
    <row r="1748" spans="1:11" ht="12">
      <c r="A1748" s="504">
        <v>2142127122</v>
      </c>
      <c r="B1748" s="539" t="s">
        <v>1883</v>
      </c>
      <c r="C1748" s="505" t="s">
        <v>747</v>
      </c>
      <c r="D1748" s="506">
        <v>0</v>
      </c>
      <c r="E1748" s="506">
        <v>0</v>
      </c>
      <c r="F1748" s="506">
        <v>50</v>
      </c>
      <c r="G1748" s="507">
        <v>0</v>
      </c>
      <c r="H1748" s="503"/>
      <c r="I1748" s="503"/>
      <c r="J1748" s="503"/>
      <c r="K1748" s="503"/>
    </row>
    <row r="1749" spans="1:11" ht="12">
      <c r="A1749" s="504">
        <v>2142127123</v>
      </c>
      <c r="B1749" s="539" t="s">
        <v>1884</v>
      </c>
      <c r="C1749" s="505" t="s">
        <v>115</v>
      </c>
      <c r="D1749" s="506">
        <v>0</v>
      </c>
      <c r="E1749" s="506">
        <v>0</v>
      </c>
      <c r="F1749" s="506">
        <v>1207</v>
      </c>
      <c r="G1749" s="507">
        <v>0</v>
      </c>
      <c r="H1749" s="503"/>
      <c r="I1749" s="503"/>
      <c r="J1749" s="503"/>
      <c r="K1749" s="503"/>
    </row>
    <row r="1750" spans="1:11" ht="12">
      <c r="A1750" s="504">
        <v>2142127124</v>
      </c>
      <c r="B1750" s="539" t="s">
        <v>1885</v>
      </c>
      <c r="C1750" s="505" t="s">
        <v>115</v>
      </c>
      <c r="D1750" s="506">
        <v>0</v>
      </c>
      <c r="E1750" s="506">
        <v>0</v>
      </c>
      <c r="F1750" s="506">
        <v>1240</v>
      </c>
      <c r="G1750" s="507">
        <v>0</v>
      </c>
      <c r="H1750" s="503"/>
      <c r="I1750" s="503"/>
      <c r="J1750" s="503"/>
      <c r="K1750" s="503"/>
    </row>
    <row r="1751" spans="1:11" ht="12">
      <c r="A1751" s="504">
        <v>2142127125</v>
      </c>
      <c r="B1751" s="539" t="s">
        <v>1886</v>
      </c>
      <c r="C1751" s="505" t="s">
        <v>117</v>
      </c>
      <c r="D1751" s="506">
        <v>0</v>
      </c>
      <c r="E1751" s="506">
        <v>0</v>
      </c>
      <c r="F1751" s="506">
        <v>52</v>
      </c>
      <c r="G1751" s="507">
        <v>0</v>
      </c>
      <c r="H1751" s="503"/>
      <c r="I1751" s="503"/>
      <c r="J1751" s="503"/>
      <c r="K1751" s="503"/>
    </row>
    <row r="1752" spans="1:11" ht="12">
      <c r="A1752" s="504">
        <v>2142127126</v>
      </c>
      <c r="B1752" s="539" t="s">
        <v>1887</v>
      </c>
      <c r="C1752" s="505" t="s">
        <v>117</v>
      </c>
      <c r="D1752" s="506">
        <v>0</v>
      </c>
      <c r="E1752" s="506">
        <v>0</v>
      </c>
      <c r="F1752" s="506">
        <v>46</v>
      </c>
      <c r="G1752" s="507">
        <v>0</v>
      </c>
      <c r="H1752" s="503"/>
      <c r="I1752" s="503"/>
      <c r="J1752" s="503"/>
      <c r="K1752" s="503"/>
    </row>
    <row r="1753" spans="1:11" ht="12">
      <c r="A1753" s="504">
        <v>2142127127</v>
      </c>
      <c r="B1753" s="539" t="s">
        <v>1888</v>
      </c>
      <c r="C1753" s="505" t="s">
        <v>117</v>
      </c>
      <c r="D1753" s="506">
        <v>0</v>
      </c>
      <c r="E1753" s="506">
        <v>0</v>
      </c>
      <c r="F1753" s="506">
        <v>130</v>
      </c>
      <c r="G1753" s="507">
        <v>0</v>
      </c>
      <c r="H1753" s="503"/>
      <c r="I1753" s="503"/>
      <c r="J1753" s="503"/>
      <c r="K1753" s="503"/>
    </row>
    <row r="1754" spans="1:11" ht="12">
      <c r="A1754" s="504">
        <v>2142127128</v>
      </c>
      <c r="B1754" s="539" t="s">
        <v>1889</v>
      </c>
      <c r="C1754" s="505" t="s">
        <v>117</v>
      </c>
      <c r="D1754" s="506">
        <v>0</v>
      </c>
      <c r="E1754" s="506">
        <v>0</v>
      </c>
      <c r="F1754" s="506">
        <v>110</v>
      </c>
      <c r="G1754" s="507">
        <v>0</v>
      </c>
      <c r="H1754" s="503"/>
      <c r="I1754" s="503"/>
      <c r="J1754" s="503"/>
      <c r="K1754" s="503"/>
    </row>
    <row r="1755" spans="1:11" ht="12">
      <c r="A1755" s="504">
        <v>2142127129</v>
      </c>
      <c r="B1755" s="539" t="s">
        <v>1890</v>
      </c>
      <c r="C1755" s="505" t="s">
        <v>747</v>
      </c>
      <c r="D1755" s="506">
        <v>0</v>
      </c>
      <c r="E1755" s="506">
        <v>340</v>
      </c>
      <c r="F1755" s="506">
        <v>340</v>
      </c>
      <c r="G1755" s="507">
        <v>0</v>
      </c>
      <c r="H1755" s="503"/>
      <c r="I1755" s="503"/>
      <c r="J1755" s="503"/>
      <c r="K1755" s="503"/>
    </row>
    <row r="1756" spans="1:11" ht="12">
      <c r="A1756" s="504">
        <v>2142127130</v>
      </c>
      <c r="B1756" s="539" t="s">
        <v>1891</v>
      </c>
      <c r="C1756" s="505" t="s">
        <v>747</v>
      </c>
      <c r="D1756" s="506">
        <v>0</v>
      </c>
      <c r="E1756" s="506">
        <v>130</v>
      </c>
      <c r="F1756" s="506">
        <v>130</v>
      </c>
      <c r="G1756" s="507">
        <v>0</v>
      </c>
      <c r="H1756" s="503"/>
      <c r="I1756" s="503"/>
      <c r="J1756" s="503"/>
      <c r="K1756" s="503"/>
    </row>
    <row r="1757" spans="1:11" ht="12">
      <c r="A1757" s="504">
        <v>2142127131</v>
      </c>
      <c r="B1757" s="539" t="s">
        <v>1892</v>
      </c>
      <c r="C1757" s="505" t="s">
        <v>113</v>
      </c>
      <c r="D1757" s="506">
        <v>0</v>
      </c>
      <c r="E1757" s="506">
        <v>615</v>
      </c>
      <c r="F1757" s="506">
        <v>615</v>
      </c>
      <c r="G1757" s="507">
        <v>0</v>
      </c>
      <c r="H1757" s="503"/>
      <c r="I1757" s="503"/>
      <c r="J1757" s="503"/>
      <c r="K1757" s="503"/>
    </row>
    <row r="1758" spans="1:11" ht="12">
      <c r="A1758" s="504">
        <v>2142127132</v>
      </c>
      <c r="B1758" s="539" t="s">
        <v>1893</v>
      </c>
      <c r="C1758" s="505" t="s">
        <v>747</v>
      </c>
      <c r="D1758" s="506">
        <v>0</v>
      </c>
      <c r="E1758" s="506">
        <v>508</v>
      </c>
      <c r="F1758" s="506">
        <v>861</v>
      </c>
      <c r="G1758" s="507">
        <v>0</v>
      </c>
      <c r="H1758" s="503"/>
      <c r="I1758" s="503"/>
      <c r="J1758" s="503"/>
      <c r="K1758" s="503"/>
    </row>
    <row r="1759" spans="1:11" ht="12">
      <c r="A1759" s="504">
        <v>2142127133</v>
      </c>
      <c r="B1759" s="539" t="s">
        <v>234</v>
      </c>
      <c r="C1759" s="505" t="s">
        <v>115</v>
      </c>
      <c r="D1759" s="506">
        <v>0</v>
      </c>
      <c r="E1759" s="506">
        <v>0</v>
      </c>
      <c r="F1759" s="506">
        <v>153</v>
      </c>
      <c r="G1759" s="507">
        <v>0</v>
      </c>
      <c r="H1759" s="503"/>
      <c r="I1759" s="503"/>
      <c r="J1759" s="503"/>
      <c r="K1759" s="503"/>
    </row>
    <row r="1760" spans="1:11" ht="12">
      <c r="A1760" s="504">
        <v>2142127134</v>
      </c>
      <c r="B1760" s="539" t="s">
        <v>235</v>
      </c>
      <c r="C1760" s="505" t="s">
        <v>390</v>
      </c>
      <c r="D1760" s="506">
        <v>0</v>
      </c>
      <c r="E1760" s="506">
        <v>365</v>
      </c>
      <c r="F1760" s="506">
        <v>363</v>
      </c>
      <c r="G1760" s="507">
        <v>2</v>
      </c>
      <c r="H1760" s="503"/>
      <c r="I1760" s="503"/>
      <c r="J1760" s="503"/>
      <c r="K1760" s="503"/>
    </row>
    <row r="1761" spans="1:11" ht="12">
      <c r="A1761" s="504">
        <v>2142127135</v>
      </c>
      <c r="B1761" s="539" t="s">
        <v>236</v>
      </c>
      <c r="C1761" s="505" t="s">
        <v>747</v>
      </c>
      <c r="D1761" s="506">
        <v>0</v>
      </c>
      <c r="E1761" s="506">
        <v>178</v>
      </c>
      <c r="F1761" s="506">
        <v>178</v>
      </c>
      <c r="G1761" s="507">
        <v>0</v>
      </c>
      <c r="H1761" s="503"/>
      <c r="I1761" s="503"/>
      <c r="J1761" s="503"/>
      <c r="K1761" s="503"/>
    </row>
    <row r="1762" spans="1:11" ht="12">
      <c r="A1762" s="504">
        <v>2142135078</v>
      </c>
      <c r="B1762" s="539" t="s">
        <v>192</v>
      </c>
      <c r="C1762" s="505" t="s">
        <v>113</v>
      </c>
      <c r="D1762" s="506">
        <v>0</v>
      </c>
      <c r="E1762" s="506">
        <v>15296</v>
      </c>
      <c r="F1762" s="506">
        <v>15295</v>
      </c>
      <c r="G1762" s="507">
        <v>1</v>
      </c>
      <c r="H1762" s="503"/>
      <c r="I1762" s="503"/>
      <c r="J1762" s="503"/>
      <c r="K1762" s="503"/>
    </row>
    <row r="1763" spans="1:11" ht="12">
      <c r="A1763" s="504">
        <v>2142136005</v>
      </c>
      <c r="B1763" s="539" t="s">
        <v>237</v>
      </c>
      <c r="C1763" s="505" t="s">
        <v>109</v>
      </c>
      <c r="D1763" s="506">
        <v>0</v>
      </c>
      <c r="E1763" s="506">
        <v>5380</v>
      </c>
      <c r="F1763" s="506">
        <v>5379</v>
      </c>
      <c r="G1763" s="507">
        <v>1</v>
      </c>
      <c r="H1763" s="503"/>
      <c r="I1763" s="503"/>
      <c r="J1763" s="503"/>
      <c r="K1763" s="503"/>
    </row>
    <row r="1764" spans="1:11" ht="12">
      <c r="A1764" s="504">
        <v>2142136006</v>
      </c>
      <c r="B1764" s="539" t="s">
        <v>238</v>
      </c>
      <c r="C1764" s="505" t="s">
        <v>109</v>
      </c>
      <c r="D1764" s="506">
        <v>0</v>
      </c>
      <c r="E1764" s="506">
        <v>626</v>
      </c>
      <c r="F1764" s="506">
        <v>625</v>
      </c>
      <c r="G1764" s="507">
        <v>1</v>
      </c>
      <c r="H1764" s="503"/>
      <c r="I1764" s="503"/>
      <c r="J1764" s="503"/>
      <c r="K1764" s="503"/>
    </row>
    <row r="1765" spans="1:11" ht="12">
      <c r="A1765" s="504">
        <v>2142136033</v>
      </c>
      <c r="B1765" s="539" t="s">
        <v>239</v>
      </c>
      <c r="C1765" s="505" t="s">
        <v>150</v>
      </c>
      <c r="D1765" s="506">
        <v>420</v>
      </c>
      <c r="E1765" s="506">
        <v>322</v>
      </c>
      <c r="F1765" s="506">
        <v>321</v>
      </c>
      <c r="G1765" s="507">
        <v>1</v>
      </c>
      <c r="H1765" s="503"/>
      <c r="I1765" s="503"/>
      <c r="J1765" s="503"/>
      <c r="K1765" s="503"/>
    </row>
    <row r="1766" spans="1:11" ht="12">
      <c r="A1766" s="504">
        <v>2142136034</v>
      </c>
      <c r="B1766" s="539" t="s">
        <v>240</v>
      </c>
      <c r="C1766" s="505" t="s">
        <v>150</v>
      </c>
      <c r="D1766" s="506">
        <v>0</v>
      </c>
      <c r="E1766" s="506">
        <v>828</v>
      </c>
      <c r="F1766" s="506">
        <v>827</v>
      </c>
      <c r="G1766" s="507">
        <v>1</v>
      </c>
      <c r="H1766" s="503"/>
      <c r="I1766" s="503"/>
      <c r="J1766" s="503"/>
      <c r="K1766" s="503"/>
    </row>
    <row r="1767" spans="1:11" ht="12">
      <c r="A1767" s="504">
        <v>2142136035</v>
      </c>
      <c r="B1767" s="539" t="s">
        <v>241</v>
      </c>
      <c r="C1767" s="505" t="s">
        <v>150</v>
      </c>
      <c r="D1767" s="506">
        <v>0</v>
      </c>
      <c r="E1767" s="506">
        <v>17601</v>
      </c>
      <c r="F1767" s="506">
        <v>17600</v>
      </c>
      <c r="G1767" s="507">
        <v>1</v>
      </c>
      <c r="H1767" s="503"/>
      <c r="I1767" s="503"/>
      <c r="J1767" s="503"/>
      <c r="K1767" s="503"/>
    </row>
    <row r="1768" spans="1:11" ht="12">
      <c r="A1768" s="504">
        <v>2142136102</v>
      </c>
      <c r="B1768" s="539" t="s">
        <v>242</v>
      </c>
      <c r="C1768" s="505" t="s">
        <v>113</v>
      </c>
      <c r="D1768" s="506">
        <v>0</v>
      </c>
      <c r="E1768" s="506">
        <v>14399</v>
      </c>
      <c r="F1768" s="506">
        <v>14399</v>
      </c>
      <c r="G1768" s="507">
        <v>0</v>
      </c>
      <c r="H1768" s="503"/>
      <c r="I1768" s="503"/>
      <c r="J1768" s="503"/>
      <c r="K1768" s="503"/>
    </row>
    <row r="1769" spans="1:11" ht="12">
      <c r="A1769" s="504">
        <v>2142136152</v>
      </c>
      <c r="B1769" s="539" t="s">
        <v>879</v>
      </c>
      <c r="C1769" s="505" t="s">
        <v>111</v>
      </c>
      <c r="D1769" s="506">
        <v>0</v>
      </c>
      <c r="E1769" s="506">
        <v>26</v>
      </c>
      <c r="F1769" s="506">
        <v>25</v>
      </c>
      <c r="G1769" s="507">
        <v>1</v>
      </c>
      <c r="H1769" s="503"/>
      <c r="I1769" s="503"/>
      <c r="J1769" s="503"/>
      <c r="K1769" s="503"/>
    </row>
    <row r="1770" spans="1:11" ht="12">
      <c r="A1770" s="504">
        <v>2142136187</v>
      </c>
      <c r="B1770" s="539" t="s">
        <v>243</v>
      </c>
      <c r="C1770" s="505" t="s">
        <v>109</v>
      </c>
      <c r="D1770" s="506">
        <v>0</v>
      </c>
      <c r="E1770" s="506">
        <v>5812</v>
      </c>
      <c r="F1770" s="506">
        <v>5811</v>
      </c>
      <c r="G1770" s="507">
        <v>1</v>
      </c>
      <c r="H1770" s="503"/>
      <c r="I1770" s="503"/>
      <c r="J1770" s="503"/>
      <c r="K1770" s="503"/>
    </row>
    <row r="1771" spans="1:11" ht="12">
      <c r="A1771" s="504">
        <v>2142136196</v>
      </c>
      <c r="B1771" s="539" t="s">
        <v>244</v>
      </c>
      <c r="C1771" s="505" t="s">
        <v>113</v>
      </c>
      <c r="D1771" s="506">
        <v>0</v>
      </c>
      <c r="E1771" s="506">
        <v>4766</v>
      </c>
      <c r="F1771" s="506">
        <v>4765</v>
      </c>
      <c r="G1771" s="507">
        <v>1</v>
      </c>
      <c r="H1771" s="503"/>
      <c r="I1771" s="503"/>
      <c r="J1771" s="503"/>
      <c r="K1771" s="503"/>
    </row>
    <row r="1772" spans="1:11" ht="12">
      <c r="A1772" s="504">
        <v>2142136197</v>
      </c>
      <c r="B1772" s="539" t="s">
        <v>245</v>
      </c>
      <c r="C1772" s="505" t="s">
        <v>113</v>
      </c>
      <c r="D1772" s="506">
        <v>0</v>
      </c>
      <c r="E1772" s="506">
        <v>5149</v>
      </c>
      <c r="F1772" s="506">
        <v>5149</v>
      </c>
      <c r="G1772" s="507">
        <v>0</v>
      </c>
      <c r="H1772" s="503"/>
      <c r="I1772" s="503"/>
      <c r="J1772" s="503"/>
      <c r="K1772" s="503"/>
    </row>
    <row r="1773" spans="1:11" ht="12">
      <c r="A1773" s="504">
        <v>2142136203</v>
      </c>
      <c r="B1773" s="539" t="s">
        <v>246</v>
      </c>
      <c r="C1773" s="505" t="s">
        <v>111</v>
      </c>
      <c r="D1773" s="506">
        <v>0</v>
      </c>
      <c r="E1773" s="506">
        <v>2</v>
      </c>
      <c r="F1773" s="506">
        <v>1</v>
      </c>
      <c r="G1773" s="507">
        <v>1</v>
      </c>
      <c r="H1773" s="503"/>
      <c r="I1773" s="503"/>
      <c r="J1773" s="503"/>
      <c r="K1773" s="503"/>
    </row>
    <row r="1774" spans="1:11" ht="12">
      <c r="A1774" s="504">
        <v>2142136204</v>
      </c>
      <c r="B1774" s="539" t="s">
        <v>247</v>
      </c>
      <c r="C1774" s="505" t="s">
        <v>115</v>
      </c>
      <c r="D1774" s="506">
        <v>0</v>
      </c>
      <c r="E1774" s="506">
        <v>2553</v>
      </c>
      <c r="F1774" s="506">
        <v>2552</v>
      </c>
      <c r="G1774" s="507">
        <v>0</v>
      </c>
      <c r="H1774" s="503"/>
      <c r="I1774" s="503"/>
      <c r="J1774" s="503"/>
      <c r="K1774" s="503"/>
    </row>
    <row r="1775" spans="1:11" ht="12">
      <c r="A1775" s="504">
        <v>2142136222</v>
      </c>
      <c r="B1775" s="539" t="s">
        <v>248</v>
      </c>
      <c r="C1775" s="505" t="s">
        <v>745</v>
      </c>
      <c r="D1775" s="506">
        <v>0</v>
      </c>
      <c r="E1775" s="506">
        <v>2</v>
      </c>
      <c r="F1775" s="506">
        <v>1</v>
      </c>
      <c r="G1775" s="507">
        <v>1</v>
      </c>
      <c r="H1775" s="503"/>
      <c r="I1775" s="503"/>
      <c r="J1775" s="503"/>
      <c r="K1775" s="503"/>
    </row>
    <row r="1776" spans="1:11" ht="12">
      <c r="A1776" s="504">
        <v>2142136311</v>
      </c>
      <c r="B1776" s="539" t="s">
        <v>249</v>
      </c>
      <c r="C1776" s="505" t="s">
        <v>109</v>
      </c>
      <c r="D1776" s="506">
        <v>0</v>
      </c>
      <c r="E1776" s="506">
        <v>2296</v>
      </c>
      <c r="F1776" s="506">
        <v>2296</v>
      </c>
      <c r="G1776" s="507">
        <v>0</v>
      </c>
      <c r="H1776" s="503"/>
      <c r="I1776" s="503"/>
      <c r="J1776" s="503"/>
      <c r="K1776" s="503"/>
    </row>
    <row r="1777" spans="1:11" ht="12">
      <c r="A1777" s="504">
        <v>2142136318</v>
      </c>
      <c r="B1777" s="539" t="s">
        <v>250</v>
      </c>
      <c r="C1777" s="505" t="s">
        <v>109</v>
      </c>
      <c r="D1777" s="506">
        <v>0</v>
      </c>
      <c r="E1777" s="506">
        <v>1991</v>
      </c>
      <c r="F1777" s="506">
        <v>1991</v>
      </c>
      <c r="G1777" s="507">
        <v>0</v>
      </c>
      <c r="H1777" s="503"/>
      <c r="I1777" s="503"/>
      <c r="J1777" s="503"/>
      <c r="K1777" s="503"/>
    </row>
    <row r="1778" spans="1:11" ht="12">
      <c r="A1778" s="504">
        <v>2142136319</v>
      </c>
      <c r="B1778" s="539" t="s">
        <v>250</v>
      </c>
      <c r="C1778" s="505" t="s">
        <v>115</v>
      </c>
      <c r="D1778" s="506">
        <v>0</v>
      </c>
      <c r="E1778" s="506">
        <v>1999</v>
      </c>
      <c r="F1778" s="506">
        <v>1999</v>
      </c>
      <c r="G1778" s="507">
        <v>0</v>
      </c>
      <c r="H1778" s="503"/>
      <c r="I1778" s="503"/>
      <c r="J1778" s="503"/>
      <c r="K1778" s="503"/>
    </row>
    <row r="1779" spans="1:11" ht="12">
      <c r="A1779" s="504">
        <v>2142136322</v>
      </c>
      <c r="B1779" s="539" t="s">
        <v>251</v>
      </c>
      <c r="C1779" s="505" t="s">
        <v>154</v>
      </c>
      <c r="D1779" s="506">
        <v>0</v>
      </c>
      <c r="E1779" s="506">
        <v>1598</v>
      </c>
      <c r="F1779" s="506">
        <v>1597</v>
      </c>
      <c r="G1779" s="507">
        <v>1</v>
      </c>
      <c r="H1779" s="503"/>
      <c r="I1779" s="503"/>
      <c r="J1779" s="503"/>
      <c r="K1779" s="503"/>
    </row>
    <row r="1780" spans="1:11" ht="12">
      <c r="A1780" s="504">
        <v>2142136323</v>
      </c>
      <c r="B1780" s="539" t="s">
        <v>252</v>
      </c>
      <c r="C1780" s="505" t="s">
        <v>154</v>
      </c>
      <c r="D1780" s="506">
        <v>0</v>
      </c>
      <c r="E1780" s="506">
        <v>60</v>
      </c>
      <c r="F1780" s="506">
        <v>59</v>
      </c>
      <c r="G1780" s="507">
        <v>1</v>
      </c>
      <c r="H1780" s="503"/>
      <c r="I1780" s="503"/>
      <c r="J1780" s="503"/>
      <c r="K1780" s="503"/>
    </row>
    <row r="1781" spans="1:11" ht="12">
      <c r="A1781" s="504">
        <v>2142137001</v>
      </c>
      <c r="B1781" s="539" t="s">
        <v>253</v>
      </c>
      <c r="C1781" s="505" t="s">
        <v>390</v>
      </c>
      <c r="D1781" s="506">
        <v>13493</v>
      </c>
      <c r="E1781" s="506">
        <v>13227</v>
      </c>
      <c r="F1781" s="506">
        <v>13226</v>
      </c>
      <c r="G1781" s="507">
        <v>1</v>
      </c>
      <c r="H1781" s="503"/>
      <c r="I1781" s="503"/>
      <c r="J1781" s="503"/>
      <c r="K1781" s="503"/>
    </row>
    <row r="1782" spans="1:11" ht="12">
      <c r="A1782" s="504">
        <v>2142137002</v>
      </c>
      <c r="B1782" s="539" t="s">
        <v>254</v>
      </c>
      <c r="C1782" s="505" t="s">
        <v>390</v>
      </c>
      <c r="D1782" s="506">
        <v>186</v>
      </c>
      <c r="E1782" s="506">
        <v>0</v>
      </c>
      <c r="F1782" s="506">
        <v>183</v>
      </c>
      <c r="G1782" s="507">
        <v>0</v>
      </c>
      <c r="H1782" s="503"/>
      <c r="I1782" s="503"/>
      <c r="J1782" s="503"/>
      <c r="K1782" s="503"/>
    </row>
    <row r="1783" spans="1:11" ht="12">
      <c r="A1783" s="504">
        <v>2142137003</v>
      </c>
      <c r="B1783" s="539" t="s">
        <v>255</v>
      </c>
      <c r="C1783" s="505" t="s">
        <v>390</v>
      </c>
      <c r="D1783" s="506">
        <v>79</v>
      </c>
      <c r="E1783" s="506">
        <v>0</v>
      </c>
      <c r="F1783" s="506">
        <v>0</v>
      </c>
      <c r="G1783" s="507">
        <v>0</v>
      </c>
      <c r="H1783" s="503"/>
      <c r="I1783" s="503"/>
      <c r="J1783" s="503"/>
      <c r="K1783" s="503"/>
    </row>
    <row r="1784" spans="1:11" ht="12">
      <c r="A1784" s="504">
        <v>2142137004</v>
      </c>
      <c r="B1784" s="539" t="s">
        <v>2293</v>
      </c>
      <c r="C1784" s="505" t="s">
        <v>390</v>
      </c>
      <c r="D1784" s="506">
        <v>220</v>
      </c>
      <c r="E1784" s="506">
        <v>220</v>
      </c>
      <c r="F1784" s="506">
        <v>219</v>
      </c>
      <c r="G1784" s="507">
        <v>1</v>
      </c>
      <c r="H1784" s="503"/>
      <c r="I1784" s="503"/>
      <c r="J1784" s="503"/>
      <c r="K1784" s="503"/>
    </row>
    <row r="1785" spans="1:11" ht="12">
      <c r="A1785" s="504">
        <v>2142137005</v>
      </c>
      <c r="B1785" s="539" t="s">
        <v>256</v>
      </c>
      <c r="C1785" s="505" t="s">
        <v>390</v>
      </c>
      <c r="D1785" s="506">
        <v>500</v>
      </c>
      <c r="E1785" s="506">
        <v>190</v>
      </c>
      <c r="F1785" s="506">
        <v>908</v>
      </c>
      <c r="G1785" s="507">
        <v>0</v>
      </c>
      <c r="H1785" s="503"/>
      <c r="I1785" s="503"/>
      <c r="J1785" s="503"/>
      <c r="K1785" s="503"/>
    </row>
    <row r="1786" spans="1:11" ht="12">
      <c r="A1786" s="504">
        <v>2142137006</v>
      </c>
      <c r="B1786" s="539" t="s">
        <v>257</v>
      </c>
      <c r="C1786" s="505" t="s">
        <v>390</v>
      </c>
      <c r="D1786" s="506">
        <v>60</v>
      </c>
      <c r="E1786" s="506">
        <v>0</v>
      </c>
      <c r="F1786" s="506">
        <v>51</v>
      </c>
      <c r="G1786" s="507">
        <v>0</v>
      </c>
      <c r="H1786" s="503"/>
      <c r="I1786" s="503"/>
      <c r="J1786" s="503"/>
      <c r="K1786" s="503"/>
    </row>
    <row r="1787" spans="1:11" ht="12">
      <c r="A1787" s="504">
        <v>2142137007</v>
      </c>
      <c r="B1787" s="539" t="s">
        <v>120</v>
      </c>
      <c r="C1787" s="505" t="s">
        <v>390</v>
      </c>
      <c r="D1787" s="506">
        <v>261</v>
      </c>
      <c r="E1787" s="506">
        <v>0</v>
      </c>
      <c r="F1787" s="506">
        <v>259</v>
      </c>
      <c r="G1787" s="507">
        <v>0</v>
      </c>
      <c r="H1787" s="503"/>
      <c r="I1787" s="503"/>
      <c r="J1787" s="503"/>
      <c r="K1787" s="503"/>
    </row>
    <row r="1788" spans="1:11" ht="12">
      <c r="A1788" s="504">
        <v>2142137008</v>
      </c>
      <c r="B1788" s="539" t="s">
        <v>121</v>
      </c>
      <c r="C1788" s="505" t="s">
        <v>390</v>
      </c>
      <c r="D1788" s="506">
        <v>554</v>
      </c>
      <c r="E1788" s="506">
        <v>0</v>
      </c>
      <c r="F1788" s="506">
        <v>543</v>
      </c>
      <c r="G1788" s="507">
        <v>0</v>
      </c>
      <c r="H1788" s="503"/>
      <c r="I1788" s="503"/>
      <c r="J1788" s="503"/>
      <c r="K1788" s="503"/>
    </row>
    <row r="1789" spans="1:11" ht="12">
      <c r="A1789" s="504">
        <v>2142137009</v>
      </c>
      <c r="B1789" s="539" t="s">
        <v>122</v>
      </c>
      <c r="C1789" s="505" t="s">
        <v>390</v>
      </c>
      <c r="D1789" s="506">
        <v>250</v>
      </c>
      <c r="E1789" s="506">
        <v>0</v>
      </c>
      <c r="F1789" s="506">
        <v>250</v>
      </c>
      <c r="G1789" s="507">
        <v>0</v>
      </c>
      <c r="H1789" s="503"/>
      <c r="I1789" s="503"/>
      <c r="J1789" s="503"/>
      <c r="K1789" s="503"/>
    </row>
    <row r="1790" spans="1:11" ht="12">
      <c r="A1790" s="504">
        <v>2142137010</v>
      </c>
      <c r="B1790" s="539" t="s">
        <v>123</v>
      </c>
      <c r="C1790" s="505" t="s">
        <v>390</v>
      </c>
      <c r="D1790" s="506">
        <v>700</v>
      </c>
      <c r="E1790" s="506">
        <v>0</v>
      </c>
      <c r="F1790" s="506">
        <v>585</v>
      </c>
      <c r="G1790" s="507">
        <v>0</v>
      </c>
      <c r="H1790" s="503"/>
      <c r="I1790" s="503"/>
      <c r="J1790" s="503"/>
      <c r="K1790" s="503"/>
    </row>
    <row r="1791" spans="1:11" ht="12">
      <c r="A1791" s="504">
        <v>2142137011</v>
      </c>
      <c r="B1791" s="539" t="s">
        <v>124</v>
      </c>
      <c r="C1791" s="505" t="s">
        <v>390</v>
      </c>
      <c r="D1791" s="506">
        <v>126</v>
      </c>
      <c r="E1791" s="506">
        <v>142</v>
      </c>
      <c r="F1791" s="506">
        <v>141</v>
      </c>
      <c r="G1791" s="507">
        <v>1</v>
      </c>
      <c r="H1791" s="503"/>
      <c r="I1791" s="503"/>
      <c r="J1791" s="503"/>
      <c r="K1791" s="503"/>
    </row>
    <row r="1792" spans="1:11" ht="12">
      <c r="A1792" s="504">
        <v>2142137012</v>
      </c>
      <c r="B1792" s="539" t="s">
        <v>125</v>
      </c>
      <c r="C1792" s="505" t="s">
        <v>390</v>
      </c>
      <c r="D1792" s="506">
        <v>571</v>
      </c>
      <c r="E1792" s="506">
        <v>569</v>
      </c>
      <c r="F1792" s="506">
        <v>568</v>
      </c>
      <c r="G1792" s="507">
        <v>0</v>
      </c>
      <c r="H1792" s="503"/>
      <c r="I1792" s="503"/>
      <c r="J1792" s="503"/>
      <c r="K1792" s="503"/>
    </row>
    <row r="1793" spans="1:11" ht="12">
      <c r="A1793" s="504">
        <v>2142137013</v>
      </c>
      <c r="B1793" s="539" t="s">
        <v>879</v>
      </c>
      <c r="C1793" s="505" t="s">
        <v>390</v>
      </c>
      <c r="D1793" s="506">
        <v>1000</v>
      </c>
      <c r="E1793" s="506">
        <v>710</v>
      </c>
      <c r="F1793" s="506">
        <v>698</v>
      </c>
      <c r="G1793" s="507">
        <v>12</v>
      </c>
      <c r="H1793" s="503"/>
      <c r="I1793" s="503"/>
      <c r="J1793" s="503"/>
      <c r="K1793" s="503"/>
    </row>
    <row r="1794" spans="1:11" ht="12">
      <c r="A1794" s="504">
        <v>2142137014</v>
      </c>
      <c r="B1794" s="539" t="s">
        <v>126</v>
      </c>
      <c r="C1794" s="505" t="s">
        <v>390</v>
      </c>
      <c r="D1794" s="506">
        <v>400</v>
      </c>
      <c r="E1794" s="506">
        <v>650</v>
      </c>
      <c r="F1794" s="506">
        <v>650</v>
      </c>
      <c r="G1794" s="507">
        <v>0</v>
      </c>
      <c r="H1794" s="503"/>
      <c r="I1794" s="503"/>
      <c r="J1794" s="503"/>
      <c r="K1794" s="503"/>
    </row>
    <row r="1795" spans="1:11" ht="12">
      <c r="A1795" s="504">
        <v>2142137015</v>
      </c>
      <c r="B1795" s="539" t="s">
        <v>127</v>
      </c>
      <c r="C1795" s="505" t="s">
        <v>390</v>
      </c>
      <c r="D1795" s="506">
        <v>1000</v>
      </c>
      <c r="E1795" s="506">
        <v>1374</v>
      </c>
      <c r="F1795" s="506">
        <v>1373</v>
      </c>
      <c r="G1795" s="507">
        <v>1</v>
      </c>
      <c r="H1795" s="503"/>
      <c r="I1795" s="503"/>
      <c r="J1795" s="503"/>
      <c r="K1795" s="503"/>
    </row>
    <row r="1796" spans="1:11" ht="12">
      <c r="A1796" s="504">
        <v>2142137016</v>
      </c>
      <c r="B1796" s="539" t="s">
        <v>128</v>
      </c>
      <c r="C1796" s="505" t="s">
        <v>390</v>
      </c>
      <c r="D1796" s="506">
        <v>600</v>
      </c>
      <c r="E1796" s="506">
        <v>600</v>
      </c>
      <c r="F1796" s="506">
        <v>597</v>
      </c>
      <c r="G1796" s="507">
        <v>3</v>
      </c>
      <c r="H1796" s="503"/>
      <c r="I1796" s="503"/>
      <c r="J1796" s="503"/>
      <c r="K1796" s="503"/>
    </row>
    <row r="1797" spans="1:11" ht="12">
      <c r="A1797" s="504">
        <v>2142137017</v>
      </c>
      <c r="B1797" s="539" t="s">
        <v>129</v>
      </c>
      <c r="C1797" s="505" t="s">
        <v>390</v>
      </c>
      <c r="D1797" s="506">
        <v>360</v>
      </c>
      <c r="E1797" s="506">
        <v>360</v>
      </c>
      <c r="F1797" s="506">
        <v>358</v>
      </c>
      <c r="G1797" s="507">
        <v>2</v>
      </c>
      <c r="H1797" s="503"/>
      <c r="I1797" s="503"/>
      <c r="J1797" s="503"/>
      <c r="K1797" s="503"/>
    </row>
    <row r="1798" spans="1:11" ht="12">
      <c r="A1798" s="504">
        <v>2142137018</v>
      </c>
      <c r="B1798" s="539" t="s">
        <v>130</v>
      </c>
      <c r="C1798" s="505" t="s">
        <v>390</v>
      </c>
      <c r="D1798" s="506">
        <v>800</v>
      </c>
      <c r="E1798" s="506">
        <v>650</v>
      </c>
      <c r="F1798" s="506">
        <v>649</v>
      </c>
      <c r="G1798" s="507">
        <v>1</v>
      </c>
      <c r="H1798" s="503"/>
      <c r="I1798" s="503"/>
      <c r="J1798" s="503"/>
      <c r="K1798" s="503"/>
    </row>
    <row r="1799" spans="1:11" ht="12">
      <c r="A1799" s="504">
        <v>2142137019</v>
      </c>
      <c r="B1799" s="539" t="s">
        <v>131</v>
      </c>
      <c r="C1799" s="505" t="s">
        <v>390</v>
      </c>
      <c r="D1799" s="506">
        <v>927</v>
      </c>
      <c r="E1799" s="506">
        <v>927</v>
      </c>
      <c r="F1799" s="506">
        <v>859</v>
      </c>
      <c r="G1799" s="507">
        <v>68</v>
      </c>
      <c r="H1799" s="503"/>
      <c r="I1799" s="503"/>
      <c r="J1799" s="503"/>
      <c r="K1799" s="503"/>
    </row>
    <row r="1800" spans="1:11" ht="12">
      <c r="A1800" s="504">
        <v>2142137020</v>
      </c>
      <c r="B1800" s="539" t="s">
        <v>132</v>
      </c>
      <c r="C1800" s="505" t="s">
        <v>390</v>
      </c>
      <c r="D1800" s="506">
        <v>740</v>
      </c>
      <c r="E1800" s="506">
        <v>344</v>
      </c>
      <c r="F1800" s="506">
        <v>343</v>
      </c>
      <c r="G1800" s="507">
        <v>1</v>
      </c>
      <c r="H1800" s="503"/>
      <c r="I1800" s="503"/>
      <c r="J1800" s="503"/>
      <c r="K1800" s="503"/>
    </row>
    <row r="1801" spans="1:11" ht="12">
      <c r="A1801" s="504">
        <v>2142137021</v>
      </c>
      <c r="B1801" s="539" t="s">
        <v>133</v>
      </c>
      <c r="C1801" s="505" t="s">
        <v>390</v>
      </c>
      <c r="D1801" s="506">
        <v>1100</v>
      </c>
      <c r="E1801" s="506">
        <v>1100</v>
      </c>
      <c r="F1801" s="506">
        <v>1099</v>
      </c>
      <c r="G1801" s="507">
        <v>1</v>
      </c>
      <c r="H1801" s="503"/>
      <c r="I1801" s="503"/>
      <c r="J1801" s="503"/>
      <c r="K1801" s="503"/>
    </row>
    <row r="1802" spans="1:11" ht="12">
      <c r="A1802" s="504">
        <v>2142137022</v>
      </c>
      <c r="B1802" s="539" t="s">
        <v>192</v>
      </c>
      <c r="C1802" s="505" t="s">
        <v>109</v>
      </c>
      <c r="D1802" s="506">
        <v>8000</v>
      </c>
      <c r="E1802" s="506">
        <v>0</v>
      </c>
      <c r="F1802" s="506">
        <v>0</v>
      </c>
      <c r="G1802" s="507">
        <v>0</v>
      </c>
      <c r="H1802" s="503"/>
      <c r="I1802" s="503"/>
      <c r="J1802" s="503"/>
      <c r="K1802" s="503"/>
    </row>
    <row r="1803" spans="1:11" ht="12">
      <c r="A1803" s="504">
        <v>2142137023</v>
      </c>
      <c r="B1803" s="539" t="s">
        <v>134</v>
      </c>
      <c r="C1803" s="505" t="s">
        <v>109</v>
      </c>
      <c r="D1803" s="506">
        <v>1000</v>
      </c>
      <c r="E1803" s="506">
        <v>0</v>
      </c>
      <c r="F1803" s="506">
        <v>2199</v>
      </c>
      <c r="G1803" s="507">
        <v>0</v>
      </c>
      <c r="H1803" s="503"/>
      <c r="I1803" s="503"/>
      <c r="J1803" s="503"/>
      <c r="K1803" s="503"/>
    </row>
    <row r="1804" spans="1:11" ht="12">
      <c r="A1804" s="504">
        <v>2142137024</v>
      </c>
      <c r="B1804" s="539" t="s">
        <v>135</v>
      </c>
      <c r="C1804" s="505" t="s">
        <v>109</v>
      </c>
      <c r="D1804" s="506">
        <v>1350</v>
      </c>
      <c r="E1804" s="506">
        <v>0</v>
      </c>
      <c r="F1804" s="506">
        <v>1420</v>
      </c>
      <c r="G1804" s="507">
        <v>0</v>
      </c>
      <c r="H1804" s="503"/>
      <c r="I1804" s="503"/>
      <c r="J1804" s="503"/>
      <c r="K1804" s="503"/>
    </row>
    <row r="1805" spans="1:11" ht="12">
      <c r="A1805" s="504">
        <v>2142137025</v>
      </c>
      <c r="B1805" s="539" t="s">
        <v>136</v>
      </c>
      <c r="C1805" s="505" t="s">
        <v>109</v>
      </c>
      <c r="D1805" s="506">
        <v>1200</v>
      </c>
      <c r="E1805" s="506">
        <v>0</v>
      </c>
      <c r="F1805" s="506">
        <v>0</v>
      </c>
      <c r="G1805" s="507">
        <v>0</v>
      </c>
      <c r="H1805" s="503"/>
      <c r="I1805" s="503"/>
      <c r="J1805" s="503"/>
      <c r="K1805" s="503"/>
    </row>
    <row r="1806" spans="1:11" ht="12">
      <c r="A1806" s="504">
        <v>2142137026</v>
      </c>
      <c r="B1806" s="539" t="s">
        <v>137</v>
      </c>
      <c r="C1806" s="505" t="s">
        <v>109</v>
      </c>
      <c r="D1806" s="506">
        <v>140</v>
      </c>
      <c r="E1806" s="506">
        <v>0</v>
      </c>
      <c r="F1806" s="506">
        <v>95</v>
      </c>
      <c r="G1806" s="507">
        <v>0</v>
      </c>
      <c r="H1806" s="503"/>
      <c r="I1806" s="503"/>
      <c r="J1806" s="503"/>
      <c r="K1806" s="503"/>
    </row>
    <row r="1807" spans="1:11" ht="12">
      <c r="A1807" s="504">
        <v>2142137027</v>
      </c>
      <c r="B1807" s="539" t="s">
        <v>138</v>
      </c>
      <c r="C1807" s="505" t="s">
        <v>109</v>
      </c>
      <c r="D1807" s="506">
        <v>90</v>
      </c>
      <c r="E1807" s="506">
        <v>0</v>
      </c>
      <c r="F1807" s="506">
        <v>90</v>
      </c>
      <c r="G1807" s="507">
        <v>0</v>
      </c>
      <c r="H1807" s="503"/>
      <c r="I1807" s="503"/>
      <c r="J1807" s="503"/>
      <c r="K1807" s="503"/>
    </row>
    <row r="1808" spans="1:11" ht="12">
      <c r="A1808" s="504">
        <v>2142137028</v>
      </c>
      <c r="B1808" s="539" t="s">
        <v>139</v>
      </c>
      <c r="C1808" s="505" t="s">
        <v>109</v>
      </c>
      <c r="D1808" s="506">
        <v>90</v>
      </c>
      <c r="E1808" s="506">
        <v>0</v>
      </c>
      <c r="F1808" s="506">
        <v>63</v>
      </c>
      <c r="G1808" s="507">
        <v>0</v>
      </c>
      <c r="H1808" s="503"/>
      <c r="I1808" s="503"/>
      <c r="J1808" s="503"/>
      <c r="K1808" s="503"/>
    </row>
    <row r="1809" spans="1:11" ht="12">
      <c r="A1809" s="504">
        <v>2142137029</v>
      </c>
      <c r="B1809" s="539" t="s">
        <v>140</v>
      </c>
      <c r="C1809" s="505" t="s">
        <v>109</v>
      </c>
      <c r="D1809" s="506">
        <v>190</v>
      </c>
      <c r="E1809" s="506">
        <v>0</v>
      </c>
      <c r="F1809" s="506">
        <v>190</v>
      </c>
      <c r="G1809" s="507">
        <v>0</v>
      </c>
      <c r="H1809" s="503"/>
      <c r="I1809" s="503"/>
      <c r="J1809" s="503"/>
      <c r="K1809" s="503"/>
    </row>
    <row r="1810" spans="1:11" ht="12">
      <c r="A1810" s="504">
        <v>2142137030</v>
      </c>
      <c r="B1810" s="539" t="s">
        <v>141</v>
      </c>
      <c r="C1810" s="505" t="s">
        <v>109</v>
      </c>
      <c r="D1810" s="506">
        <v>390</v>
      </c>
      <c r="E1810" s="506">
        <v>390</v>
      </c>
      <c r="F1810" s="506">
        <v>382</v>
      </c>
      <c r="G1810" s="507">
        <v>8</v>
      </c>
      <c r="H1810" s="503"/>
      <c r="I1810" s="503"/>
      <c r="J1810" s="503"/>
      <c r="K1810" s="503"/>
    </row>
    <row r="1811" spans="1:11" ht="12">
      <c r="A1811" s="504">
        <v>2142137031</v>
      </c>
      <c r="B1811" s="539" t="s">
        <v>142</v>
      </c>
      <c r="C1811" s="505" t="s">
        <v>109</v>
      </c>
      <c r="D1811" s="506">
        <v>18000</v>
      </c>
      <c r="E1811" s="506">
        <v>18000</v>
      </c>
      <c r="F1811" s="506">
        <v>18000</v>
      </c>
      <c r="G1811" s="507">
        <v>0</v>
      </c>
      <c r="H1811" s="503"/>
      <c r="I1811" s="503"/>
      <c r="J1811" s="503"/>
      <c r="K1811" s="503"/>
    </row>
    <row r="1812" spans="1:11" ht="12">
      <c r="A1812" s="504">
        <v>2142137032</v>
      </c>
      <c r="B1812" s="539" t="s">
        <v>879</v>
      </c>
      <c r="C1812" s="505" t="s">
        <v>109</v>
      </c>
      <c r="D1812" s="506">
        <v>10450</v>
      </c>
      <c r="E1812" s="506">
        <v>10828</v>
      </c>
      <c r="F1812" s="506">
        <v>10828</v>
      </c>
      <c r="G1812" s="507">
        <v>0</v>
      </c>
      <c r="H1812" s="503"/>
      <c r="I1812" s="503"/>
      <c r="J1812" s="503"/>
      <c r="K1812" s="503"/>
    </row>
    <row r="1813" spans="1:11" ht="12">
      <c r="A1813" s="504">
        <v>2142137033</v>
      </c>
      <c r="B1813" s="539" t="s">
        <v>143</v>
      </c>
      <c r="C1813" s="505" t="s">
        <v>152</v>
      </c>
      <c r="D1813" s="506">
        <v>8200</v>
      </c>
      <c r="E1813" s="506">
        <v>0</v>
      </c>
      <c r="F1813" s="506">
        <v>0</v>
      </c>
      <c r="G1813" s="507">
        <v>0</v>
      </c>
      <c r="H1813" s="503"/>
      <c r="I1813" s="503"/>
      <c r="J1813" s="503"/>
      <c r="K1813" s="503"/>
    </row>
    <row r="1814" spans="1:11" ht="12">
      <c r="A1814" s="504">
        <v>2142137034</v>
      </c>
      <c r="B1814" s="539" t="s">
        <v>144</v>
      </c>
      <c r="C1814" s="505" t="s">
        <v>152</v>
      </c>
      <c r="D1814" s="506">
        <v>5800</v>
      </c>
      <c r="E1814" s="506">
        <v>3014</v>
      </c>
      <c r="F1814" s="506">
        <v>3013</v>
      </c>
      <c r="G1814" s="507">
        <v>0</v>
      </c>
      <c r="H1814" s="503"/>
      <c r="I1814" s="503"/>
      <c r="J1814" s="503"/>
      <c r="K1814" s="503"/>
    </row>
    <row r="1815" spans="1:11" ht="12">
      <c r="A1815" s="504">
        <v>2142137035</v>
      </c>
      <c r="B1815" s="539" t="s">
        <v>248</v>
      </c>
      <c r="C1815" s="505" t="s">
        <v>152</v>
      </c>
      <c r="D1815" s="506">
        <v>4000</v>
      </c>
      <c r="E1815" s="506">
        <v>3992</v>
      </c>
      <c r="F1815" s="506">
        <v>3992</v>
      </c>
      <c r="G1815" s="507">
        <v>0</v>
      </c>
      <c r="H1815" s="503"/>
      <c r="I1815" s="503"/>
      <c r="J1815" s="503"/>
      <c r="K1815" s="503"/>
    </row>
    <row r="1816" spans="1:11" ht="12">
      <c r="A1816" s="504">
        <v>2142137036</v>
      </c>
      <c r="B1816" s="539" t="s">
        <v>1713</v>
      </c>
      <c r="C1816" s="505" t="s">
        <v>152</v>
      </c>
      <c r="D1816" s="506">
        <v>2300</v>
      </c>
      <c r="E1816" s="506">
        <v>0</v>
      </c>
      <c r="F1816" s="506">
        <v>2300</v>
      </c>
      <c r="G1816" s="507">
        <v>0</v>
      </c>
      <c r="H1816" s="503"/>
      <c r="I1816" s="503"/>
      <c r="J1816" s="503"/>
      <c r="K1816" s="503"/>
    </row>
    <row r="1817" spans="1:11" ht="12">
      <c r="A1817" s="504">
        <v>2142137037</v>
      </c>
      <c r="B1817" s="539" t="s">
        <v>1714</v>
      </c>
      <c r="C1817" s="505" t="s">
        <v>152</v>
      </c>
      <c r="D1817" s="506">
        <v>1800</v>
      </c>
      <c r="E1817" s="506">
        <v>0</v>
      </c>
      <c r="F1817" s="506">
        <v>1568</v>
      </c>
      <c r="G1817" s="507">
        <v>0</v>
      </c>
      <c r="H1817" s="503"/>
      <c r="I1817" s="503"/>
      <c r="J1817" s="503"/>
      <c r="K1817" s="503"/>
    </row>
    <row r="1818" spans="1:11" ht="12">
      <c r="A1818" s="504">
        <v>2142137038</v>
      </c>
      <c r="B1818" s="539" t="s">
        <v>1715</v>
      </c>
      <c r="C1818" s="505" t="s">
        <v>152</v>
      </c>
      <c r="D1818" s="506">
        <v>1700</v>
      </c>
      <c r="E1818" s="506">
        <v>0</v>
      </c>
      <c r="F1818" s="506">
        <v>1932</v>
      </c>
      <c r="G1818" s="507">
        <v>0</v>
      </c>
      <c r="H1818" s="503"/>
      <c r="I1818" s="503"/>
      <c r="J1818" s="503"/>
      <c r="K1818" s="503"/>
    </row>
    <row r="1819" spans="1:11" ht="12">
      <c r="A1819" s="504">
        <v>2142137039</v>
      </c>
      <c r="B1819" s="539" t="s">
        <v>1716</v>
      </c>
      <c r="C1819" s="505" t="s">
        <v>152</v>
      </c>
      <c r="D1819" s="506">
        <v>1100</v>
      </c>
      <c r="E1819" s="506">
        <v>0</v>
      </c>
      <c r="F1819" s="506">
        <v>0</v>
      </c>
      <c r="G1819" s="507">
        <v>0</v>
      </c>
      <c r="H1819" s="503"/>
      <c r="I1819" s="503"/>
      <c r="J1819" s="503"/>
      <c r="K1819" s="503"/>
    </row>
    <row r="1820" spans="1:11" ht="12">
      <c r="A1820" s="504">
        <v>2142137040</v>
      </c>
      <c r="B1820" s="539" t="s">
        <v>2283</v>
      </c>
      <c r="C1820" s="505" t="s">
        <v>152</v>
      </c>
      <c r="D1820" s="506">
        <v>400</v>
      </c>
      <c r="E1820" s="506">
        <v>0</v>
      </c>
      <c r="F1820" s="506">
        <v>0</v>
      </c>
      <c r="G1820" s="507">
        <v>0</v>
      </c>
      <c r="H1820" s="503"/>
      <c r="I1820" s="503"/>
      <c r="J1820" s="503"/>
      <c r="K1820" s="503"/>
    </row>
    <row r="1821" spans="1:11" ht="12">
      <c r="A1821" s="504">
        <v>2142137041</v>
      </c>
      <c r="B1821" s="539" t="s">
        <v>1717</v>
      </c>
      <c r="C1821" s="505" t="s">
        <v>152</v>
      </c>
      <c r="D1821" s="506">
        <v>2670</v>
      </c>
      <c r="E1821" s="506">
        <v>1831</v>
      </c>
      <c r="F1821" s="506">
        <v>1830</v>
      </c>
      <c r="G1821" s="507">
        <v>0</v>
      </c>
      <c r="H1821" s="503"/>
      <c r="I1821" s="503"/>
      <c r="J1821" s="503"/>
      <c r="K1821" s="503"/>
    </row>
    <row r="1822" spans="1:11" ht="12">
      <c r="A1822" s="504">
        <v>2142137042</v>
      </c>
      <c r="B1822" s="539" t="s">
        <v>879</v>
      </c>
      <c r="C1822" s="505" t="s">
        <v>152</v>
      </c>
      <c r="D1822" s="506">
        <v>11496</v>
      </c>
      <c r="E1822" s="506">
        <v>10729</v>
      </c>
      <c r="F1822" s="506">
        <v>10744</v>
      </c>
      <c r="G1822" s="507">
        <v>6</v>
      </c>
      <c r="H1822" s="503"/>
      <c r="I1822" s="503"/>
      <c r="J1822" s="503"/>
      <c r="K1822" s="503"/>
    </row>
    <row r="1823" spans="1:11" ht="12">
      <c r="A1823" s="504">
        <v>2142137043</v>
      </c>
      <c r="B1823" s="539" t="s">
        <v>1718</v>
      </c>
      <c r="C1823" s="505" t="s">
        <v>152</v>
      </c>
      <c r="D1823" s="506">
        <v>22494</v>
      </c>
      <c r="E1823" s="506">
        <v>0</v>
      </c>
      <c r="F1823" s="506">
        <v>0</v>
      </c>
      <c r="G1823" s="507">
        <v>0</v>
      </c>
      <c r="H1823" s="503"/>
      <c r="I1823" s="503"/>
      <c r="J1823" s="503"/>
      <c r="K1823" s="503"/>
    </row>
    <row r="1824" spans="1:11" ht="12">
      <c r="A1824" s="504">
        <v>2142137044</v>
      </c>
      <c r="B1824" s="539" t="s">
        <v>1719</v>
      </c>
      <c r="C1824" s="505" t="s">
        <v>111</v>
      </c>
      <c r="D1824" s="506">
        <v>8540</v>
      </c>
      <c r="E1824" s="506">
        <v>8314</v>
      </c>
      <c r="F1824" s="506">
        <v>8313</v>
      </c>
      <c r="G1824" s="507">
        <v>1</v>
      </c>
      <c r="H1824" s="503"/>
      <c r="I1824" s="503"/>
      <c r="J1824" s="503"/>
      <c r="K1824" s="503"/>
    </row>
    <row r="1825" spans="1:11" ht="12">
      <c r="A1825" s="504">
        <v>2142137045</v>
      </c>
      <c r="B1825" s="539" t="s">
        <v>1720</v>
      </c>
      <c r="C1825" s="505" t="s">
        <v>111</v>
      </c>
      <c r="D1825" s="506">
        <v>7000</v>
      </c>
      <c r="E1825" s="506">
        <v>6998</v>
      </c>
      <c r="F1825" s="506">
        <v>6997</v>
      </c>
      <c r="G1825" s="507">
        <v>1</v>
      </c>
      <c r="H1825" s="503"/>
      <c r="I1825" s="503"/>
      <c r="J1825" s="503"/>
      <c r="K1825" s="503"/>
    </row>
    <row r="1826" spans="1:11" ht="12">
      <c r="A1826" s="504">
        <v>2142137046</v>
      </c>
      <c r="B1826" s="539" t="s">
        <v>136</v>
      </c>
      <c r="C1826" s="505" t="s">
        <v>111</v>
      </c>
      <c r="D1826" s="506">
        <v>845</v>
      </c>
      <c r="E1826" s="506">
        <v>762</v>
      </c>
      <c r="F1826" s="506">
        <v>762</v>
      </c>
      <c r="G1826" s="507">
        <v>0</v>
      </c>
      <c r="H1826" s="503"/>
      <c r="I1826" s="503"/>
      <c r="J1826" s="503"/>
      <c r="K1826" s="503"/>
    </row>
    <row r="1827" spans="1:11" ht="12">
      <c r="A1827" s="504">
        <v>2142137047</v>
      </c>
      <c r="B1827" s="539" t="s">
        <v>1721</v>
      </c>
      <c r="C1827" s="505" t="s">
        <v>111</v>
      </c>
      <c r="D1827" s="506">
        <v>800</v>
      </c>
      <c r="E1827" s="506">
        <v>731</v>
      </c>
      <c r="F1827" s="506">
        <v>731</v>
      </c>
      <c r="G1827" s="507">
        <v>0</v>
      </c>
      <c r="H1827" s="503"/>
      <c r="I1827" s="503"/>
      <c r="J1827" s="503"/>
      <c r="K1827" s="503"/>
    </row>
    <row r="1828" spans="1:11" ht="12">
      <c r="A1828" s="504">
        <v>2142137048</v>
      </c>
      <c r="B1828" s="539" t="s">
        <v>1722</v>
      </c>
      <c r="C1828" s="505" t="s">
        <v>111</v>
      </c>
      <c r="D1828" s="506">
        <v>215</v>
      </c>
      <c r="E1828" s="506">
        <v>209</v>
      </c>
      <c r="F1828" s="506">
        <v>208</v>
      </c>
      <c r="G1828" s="507">
        <v>1</v>
      </c>
      <c r="H1828" s="503"/>
      <c r="I1828" s="503"/>
      <c r="J1828" s="503"/>
      <c r="K1828" s="503"/>
    </row>
    <row r="1829" spans="1:11" ht="12">
      <c r="A1829" s="504">
        <v>2142137049</v>
      </c>
      <c r="B1829" s="539" t="s">
        <v>2283</v>
      </c>
      <c r="C1829" s="505" t="s">
        <v>111</v>
      </c>
      <c r="D1829" s="506">
        <v>550</v>
      </c>
      <c r="E1829" s="506">
        <v>633</v>
      </c>
      <c r="F1829" s="506">
        <v>633</v>
      </c>
      <c r="G1829" s="507">
        <v>0</v>
      </c>
      <c r="H1829" s="503"/>
      <c r="I1829" s="503"/>
      <c r="J1829" s="503"/>
      <c r="K1829" s="503"/>
    </row>
    <row r="1830" spans="1:11" ht="12">
      <c r="A1830" s="504">
        <v>2142137050</v>
      </c>
      <c r="B1830" s="539" t="s">
        <v>1723</v>
      </c>
      <c r="C1830" s="505" t="s">
        <v>111</v>
      </c>
      <c r="D1830" s="506">
        <v>100</v>
      </c>
      <c r="E1830" s="506">
        <v>100</v>
      </c>
      <c r="F1830" s="506">
        <v>100</v>
      </c>
      <c r="G1830" s="507">
        <v>0</v>
      </c>
      <c r="H1830" s="503"/>
      <c r="I1830" s="503"/>
      <c r="J1830" s="503"/>
      <c r="K1830" s="503"/>
    </row>
    <row r="1831" spans="1:11" ht="12">
      <c r="A1831" s="504">
        <v>2142137051</v>
      </c>
      <c r="B1831" s="539" t="s">
        <v>1724</v>
      </c>
      <c r="C1831" s="505" t="s">
        <v>111</v>
      </c>
      <c r="D1831" s="506">
        <v>110</v>
      </c>
      <c r="E1831" s="506">
        <v>110</v>
      </c>
      <c r="F1831" s="506">
        <v>110</v>
      </c>
      <c r="G1831" s="507">
        <v>0</v>
      </c>
      <c r="H1831" s="503"/>
      <c r="I1831" s="503"/>
      <c r="J1831" s="503"/>
      <c r="K1831" s="503"/>
    </row>
    <row r="1832" spans="1:11" ht="12">
      <c r="A1832" s="504">
        <v>2142137052</v>
      </c>
      <c r="B1832" s="539" t="s">
        <v>1725</v>
      </c>
      <c r="C1832" s="505" t="s">
        <v>111</v>
      </c>
      <c r="D1832" s="506">
        <v>170</v>
      </c>
      <c r="E1832" s="506">
        <v>162</v>
      </c>
      <c r="F1832" s="506">
        <v>162</v>
      </c>
      <c r="G1832" s="507">
        <v>0</v>
      </c>
      <c r="H1832" s="503"/>
      <c r="I1832" s="503"/>
      <c r="J1832" s="503"/>
      <c r="K1832" s="503"/>
    </row>
    <row r="1833" spans="1:11" ht="12">
      <c r="A1833" s="504">
        <v>2142137053</v>
      </c>
      <c r="B1833" s="539" t="s">
        <v>1726</v>
      </c>
      <c r="C1833" s="505" t="s">
        <v>111</v>
      </c>
      <c r="D1833" s="506">
        <v>13800</v>
      </c>
      <c r="E1833" s="506">
        <v>13553</v>
      </c>
      <c r="F1833" s="506">
        <v>13553</v>
      </c>
      <c r="G1833" s="507">
        <v>0</v>
      </c>
      <c r="H1833" s="503"/>
      <c r="I1833" s="503"/>
      <c r="J1833" s="503"/>
      <c r="K1833" s="503"/>
    </row>
    <row r="1834" spans="1:11" ht="12">
      <c r="A1834" s="504">
        <v>2142137054</v>
      </c>
      <c r="B1834" s="539" t="s">
        <v>879</v>
      </c>
      <c r="C1834" s="505" t="s">
        <v>111</v>
      </c>
      <c r="D1834" s="506">
        <v>8900</v>
      </c>
      <c r="E1834" s="506">
        <v>7714</v>
      </c>
      <c r="F1834" s="506">
        <v>7713</v>
      </c>
      <c r="G1834" s="507">
        <v>0</v>
      </c>
      <c r="H1834" s="503"/>
      <c r="I1834" s="503"/>
      <c r="J1834" s="503"/>
      <c r="K1834" s="503"/>
    </row>
    <row r="1835" spans="1:11" ht="12">
      <c r="A1835" s="504">
        <v>2142137055</v>
      </c>
      <c r="B1835" s="539" t="s">
        <v>192</v>
      </c>
      <c r="C1835" s="505" t="s">
        <v>150</v>
      </c>
      <c r="D1835" s="506">
        <v>7400</v>
      </c>
      <c r="E1835" s="506">
        <v>0</v>
      </c>
      <c r="F1835" s="506">
        <v>0</v>
      </c>
      <c r="G1835" s="507">
        <v>0</v>
      </c>
      <c r="H1835" s="503"/>
      <c r="I1835" s="503"/>
      <c r="J1835" s="503"/>
      <c r="K1835" s="503"/>
    </row>
    <row r="1836" spans="1:11" ht="12">
      <c r="A1836" s="504">
        <v>2142137056</v>
      </c>
      <c r="B1836" s="539" t="s">
        <v>1727</v>
      </c>
      <c r="C1836" s="505" t="s">
        <v>150</v>
      </c>
      <c r="D1836" s="506">
        <v>4000</v>
      </c>
      <c r="E1836" s="506">
        <v>3202</v>
      </c>
      <c r="F1836" s="506">
        <v>3202</v>
      </c>
      <c r="G1836" s="507">
        <v>0</v>
      </c>
      <c r="H1836" s="503"/>
      <c r="I1836" s="503"/>
      <c r="J1836" s="503"/>
      <c r="K1836" s="503"/>
    </row>
    <row r="1837" spans="1:11" ht="12">
      <c r="A1837" s="504">
        <v>2142137057</v>
      </c>
      <c r="B1837" s="539" t="s">
        <v>1728</v>
      </c>
      <c r="C1837" s="505" t="s">
        <v>150</v>
      </c>
      <c r="D1837" s="506">
        <v>3500</v>
      </c>
      <c r="E1837" s="506">
        <v>203</v>
      </c>
      <c r="F1837" s="506">
        <v>3702</v>
      </c>
      <c r="G1837" s="507">
        <v>1</v>
      </c>
      <c r="H1837" s="503"/>
      <c r="I1837" s="503"/>
      <c r="J1837" s="503"/>
      <c r="K1837" s="503"/>
    </row>
    <row r="1838" spans="1:11" ht="12">
      <c r="A1838" s="504">
        <v>2142137058</v>
      </c>
      <c r="B1838" s="539" t="s">
        <v>1729</v>
      </c>
      <c r="C1838" s="505" t="s">
        <v>150</v>
      </c>
      <c r="D1838" s="506">
        <v>4500</v>
      </c>
      <c r="E1838" s="506">
        <v>20</v>
      </c>
      <c r="F1838" s="506">
        <v>4520</v>
      </c>
      <c r="G1838" s="507">
        <v>0</v>
      </c>
      <c r="H1838" s="503"/>
      <c r="I1838" s="503"/>
      <c r="J1838" s="503"/>
      <c r="K1838" s="503"/>
    </row>
    <row r="1839" spans="1:11" ht="12">
      <c r="A1839" s="504">
        <v>2142137059</v>
      </c>
      <c r="B1839" s="539" t="s">
        <v>1730</v>
      </c>
      <c r="C1839" s="505" t="s">
        <v>150</v>
      </c>
      <c r="D1839" s="506">
        <v>1120</v>
      </c>
      <c r="E1839" s="506">
        <v>1119</v>
      </c>
      <c r="F1839" s="506">
        <v>1118</v>
      </c>
      <c r="G1839" s="507">
        <v>1</v>
      </c>
      <c r="H1839" s="503"/>
      <c r="I1839" s="503"/>
      <c r="J1839" s="503"/>
      <c r="K1839" s="503"/>
    </row>
    <row r="1840" spans="1:11" ht="12">
      <c r="A1840" s="504">
        <v>2142137060</v>
      </c>
      <c r="B1840" s="539" t="s">
        <v>879</v>
      </c>
      <c r="C1840" s="505" t="s">
        <v>150</v>
      </c>
      <c r="D1840" s="506">
        <v>6000</v>
      </c>
      <c r="E1840" s="506">
        <v>7952</v>
      </c>
      <c r="F1840" s="506">
        <v>9996</v>
      </c>
      <c r="G1840" s="507">
        <v>1</v>
      </c>
      <c r="H1840" s="503"/>
      <c r="I1840" s="503"/>
      <c r="J1840" s="503"/>
      <c r="K1840" s="503"/>
    </row>
    <row r="1841" spans="1:11" ht="12">
      <c r="A1841" s="504">
        <v>2142137061</v>
      </c>
      <c r="B1841" s="539" t="s">
        <v>2283</v>
      </c>
      <c r="C1841" s="505" t="s">
        <v>115</v>
      </c>
      <c r="D1841" s="506">
        <v>335</v>
      </c>
      <c r="E1841" s="506">
        <v>333</v>
      </c>
      <c r="F1841" s="506">
        <v>326</v>
      </c>
      <c r="G1841" s="507">
        <v>7</v>
      </c>
      <c r="H1841" s="503"/>
      <c r="I1841" s="503"/>
      <c r="J1841" s="503"/>
      <c r="K1841" s="503"/>
    </row>
    <row r="1842" spans="1:11" ht="12">
      <c r="A1842" s="504">
        <v>2142137062</v>
      </c>
      <c r="B1842" s="539" t="s">
        <v>1731</v>
      </c>
      <c r="C1842" s="505" t="s">
        <v>115</v>
      </c>
      <c r="D1842" s="506">
        <v>150</v>
      </c>
      <c r="E1842" s="506">
        <v>150</v>
      </c>
      <c r="F1842" s="506">
        <v>150</v>
      </c>
      <c r="G1842" s="507">
        <v>0</v>
      </c>
      <c r="H1842" s="503"/>
      <c r="I1842" s="503"/>
      <c r="J1842" s="503"/>
      <c r="K1842" s="503"/>
    </row>
    <row r="1843" spans="1:11" ht="12">
      <c r="A1843" s="504">
        <v>2142137063</v>
      </c>
      <c r="B1843" s="539" t="s">
        <v>1732</v>
      </c>
      <c r="C1843" s="505" t="s">
        <v>115</v>
      </c>
      <c r="D1843" s="506">
        <v>185</v>
      </c>
      <c r="E1843" s="506">
        <v>356</v>
      </c>
      <c r="F1843" s="506">
        <v>355</v>
      </c>
      <c r="G1843" s="507">
        <v>1</v>
      </c>
      <c r="H1843" s="503"/>
      <c r="I1843" s="503"/>
      <c r="J1843" s="503"/>
      <c r="K1843" s="503"/>
    </row>
    <row r="1844" spans="1:11" ht="12">
      <c r="A1844" s="504">
        <v>2142137064</v>
      </c>
      <c r="B1844" s="539" t="s">
        <v>1733</v>
      </c>
      <c r="C1844" s="505" t="s">
        <v>115</v>
      </c>
      <c r="D1844" s="506">
        <v>6800</v>
      </c>
      <c r="E1844" s="506">
        <v>6161</v>
      </c>
      <c r="F1844" s="506">
        <v>5904</v>
      </c>
      <c r="G1844" s="507">
        <v>257</v>
      </c>
      <c r="H1844" s="503"/>
      <c r="I1844" s="503"/>
      <c r="J1844" s="503"/>
      <c r="K1844" s="503"/>
    </row>
    <row r="1845" spans="1:11" ht="12">
      <c r="A1845" s="504">
        <v>2142137065</v>
      </c>
      <c r="B1845" s="539" t="s">
        <v>1734</v>
      </c>
      <c r="C1845" s="505" t="s">
        <v>115</v>
      </c>
      <c r="D1845" s="506">
        <v>3300</v>
      </c>
      <c r="E1845" s="506">
        <v>0</v>
      </c>
      <c r="F1845" s="506">
        <v>2379</v>
      </c>
      <c r="G1845" s="507">
        <v>0</v>
      </c>
      <c r="H1845" s="503"/>
      <c r="I1845" s="503"/>
      <c r="J1845" s="503"/>
      <c r="K1845" s="503"/>
    </row>
    <row r="1846" spans="1:11" ht="12">
      <c r="A1846" s="504">
        <v>2142137066</v>
      </c>
      <c r="B1846" s="539" t="s">
        <v>1735</v>
      </c>
      <c r="C1846" s="505" t="s">
        <v>115</v>
      </c>
      <c r="D1846" s="506">
        <v>2600</v>
      </c>
      <c r="E1846" s="506">
        <v>2602</v>
      </c>
      <c r="F1846" s="506">
        <v>2601</v>
      </c>
      <c r="G1846" s="507">
        <v>1</v>
      </c>
      <c r="H1846" s="503"/>
      <c r="I1846" s="503"/>
      <c r="J1846" s="503"/>
      <c r="K1846" s="503"/>
    </row>
    <row r="1847" spans="1:11" ht="12">
      <c r="A1847" s="504">
        <v>2142137067</v>
      </c>
      <c r="B1847" s="539" t="s">
        <v>879</v>
      </c>
      <c r="C1847" s="505" t="s">
        <v>115</v>
      </c>
      <c r="D1847" s="506">
        <v>2996</v>
      </c>
      <c r="E1847" s="506">
        <v>2996</v>
      </c>
      <c r="F1847" s="506">
        <v>2994</v>
      </c>
      <c r="G1847" s="507">
        <v>2</v>
      </c>
      <c r="H1847" s="503"/>
      <c r="I1847" s="503"/>
      <c r="J1847" s="503"/>
      <c r="K1847" s="503"/>
    </row>
    <row r="1848" spans="1:11" ht="12">
      <c r="A1848" s="504">
        <v>2142137068</v>
      </c>
      <c r="B1848" s="539" t="s">
        <v>1736</v>
      </c>
      <c r="C1848" s="505" t="s">
        <v>154</v>
      </c>
      <c r="D1848" s="506">
        <v>800</v>
      </c>
      <c r="E1848" s="506">
        <v>841</v>
      </c>
      <c r="F1848" s="506">
        <v>840</v>
      </c>
      <c r="G1848" s="507">
        <v>1</v>
      </c>
      <c r="H1848" s="503"/>
      <c r="I1848" s="503"/>
      <c r="J1848" s="503"/>
      <c r="K1848" s="503"/>
    </row>
    <row r="1849" spans="1:11" ht="12">
      <c r="A1849" s="504">
        <v>2142137069</v>
      </c>
      <c r="B1849" s="539" t="s">
        <v>1737</v>
      </c>
      <c r="C1849" s="505" t="s">
        <v>154</v>
      </c>
      <c r="D1849" s="506">
        <v>2600</v>
      </c>
      <c r="E1849" s="506">
        <v>0</v>
      </c>
      <c r="F1849" s="506">
        <v>2581</v>
      </c>
      <c r="G1849" s="507">
        <v>0</v>
      </c>
      <c r="H1849" s="503"/>
      <c r="I1849" s="503"/>
      <c r="J1849" s="503"/>
      <c r="K1849" s="503"/>
    </row>
    <row r="1850" spans="1:11" ht="12">
      <c r="A1850" s="504">
        <v>2142137070</v>
      </c>
      <c r="B1850" s="539" t="s">
        <v>1738</v>
      </c>
      <c r="C1850" s="505" t="s">
        <v>154</v>
      </c>
      <c r="D1850" s="506">
        <v>8800</v>
      </c>
      <c r="E1850" s="506">
        <v>6599</v>
      </c>
      <c r="F1850" s="506">
        <v>6598</v>
      </c>
      <c r="G1850" s="507">
        <v>1</v>
      </c>
      <c r="H1850" s="503"/>
      <c r="I1850" s="503"/>
      <c r="J1850" s="503"/>
      <c r="K1850" s="503"/>
    </row>
    <row r="1851" spans="1:11" ht="12">
      <c r="A1851" s="504">
        <v>2142137071</v>
      </c>
      <c r="B1851" s="539" t="s">
        <v>1739</v>
      </c>
      <c r="C1851" s="505" t="s">
        <v>154</v>
      </c>
      <c r="D1851" s="506">
        <v>210</v>
      </c>
      <c r="E1851" s="506">
        <v>0</v>
      </c>
      <c r="F1851" s="506">
        <v>0</v>
      </c>
      <c r="G1851" s="507">
        <v>0</v>
      </c>
      <c r="H1851" s="503"/>
      <c r="I1851" s="503"/>
      <c r="J1851" s="503"/>
      <c r="K1851" s="503"/>
    </row>
    <row r="1852" spans="1:11" ht="12">
      <c r="A1852" s="504">
        <v>2142137072</v>
      </c>
      <c r="B1852" s="539" t="s">
        <v>1740</v>
      </c>
      <c r="C1852" s="505" t="s">
        <v>154</v>
      </c>
      <c r="D1852" s="506">
        <v>1200</v>
      </c>
      <c r="E1852" s="506">
        <v>0</v>
      </c>
      <c r="F1852" s="506">
        <v>1596</v>
      </c>
      <c r="G1852" s="507">
        <v>0</v>
      </c>
      <c r="H1852" s="503"/>
      <c r="I1852" s="503"/>
      <c r="J1852" s="503"/>
      <c r="K1852" s="503"/>
    </row>
    <row r="1853" spans="1:11" ht="12">
      <c r="A1853" s="504">
        <v>2142137073</v>
      </c>
      <c r="B1853" s="539" t="s">
        <v>1741</v>
      </c>
      <c r="C1853" s="505" t="s">
        <v>154</v>
      </c>
      <c r="D1853" s="506">
        <v>70</v>
      </c>
      <c r="E1853" s="506">
        <v>0</v>
      </c>
      <c r="F1853" s="506">
        <v>94</v>
      </c>
      <c r="G1853" s="507">
        <v>0</v>
      </c>
      <c r="H1853" s="503"/>
      <c r="I1853" s="503"/>
      <c r="J1853" s="503"/>
      <c r="K1853" s="503"/>
    </row>
    <row r="1854" spans="1:11" ht="12">
      <c r="A1854" s="504">
        <v>2142137074</v>
      </c>
      <c r="B1854" s="539" t="s">
        <v>1742</v>
      </c>
      <c r="C1854" s="505" t="s">
        <v>154</v>
      </c>
      <c r="D1854" s="506">
        <v>115</v>
      </c>
      <c r="E1854" s="506">
        <v>0</v>
      </c>
      <c r="F1854" s="506">
        <v>123</v>
      </c>
      <c r="G1854" s="507">
        <v>0</v>
      </c>
      <c r="H1854" s="503"/>
      <c r="I1854" s="503"/>
      <c r="J1854" s="503"/>
      <c r="K1854" s="503"/>
    </row>
    <row r="1855" spans="1:11" ht="12">
      <c r="A1855" s="504">
        <v>2142137075</v>
      </c>
      <c r="B1855" s="539" t="s">
        <v>1743</v>
      </c>
      <c r="C1855" s="505" t="s">
        <v>154</v>
      </c>
      <c r="D1855" s="506">
        <v>80</v>
      </c>
      <c r="E1855" s="506">
        <v>0</v>
      </c>
      <c r="F1855" s="506">
        <v>64</v>
      </c>
      <c r="G1855" s="507">
        <v>0</v>
      </c>
      <c r="H1855" s="503"/>
      <c r="I1855" s="503"/>
      <c r="J1855" s="503"/>
      <c r="K1855" s="503"/>
    </row>
    <row r="1856" spans="1:11" ht="12">
      <c r="A1856" s="504">
        <v>2142137076</v>
      </c>
      <c r="B1856" s="539" t="s">
        <v>1744</v>
      </c>
      <c r="C1856" s="505" t="s">
        <v>154</v>
      </c>
      <c r="D1856" s="506">
        <v>400</v>
      </c>
      <c r="E1856" s="506">
        <v>339</v>
      </c>
      <c r="F1856" s="506">
        <v>339</v>
      </c>
      <c r="G1856" s="507">
        <v>0</v>
      </c>
      <c r="H1856" s="503"/>
      <c r="I1856" s="503"/>
      <c r="J1856" s="503"/>
      <c r="K1856" s="503"/>
    </row>
    <row r="1857" spans="1:11" ht="12">
      <c r="A1857" s="504">
        <v>2142137077</v>
      </c>
      <c r="B1857" s="539" t="s">
        <v>1745</v>
      </c>
      <c r="C1857" s="505" t="s">
        <v>154</v>
      </c>
      <c r="D1857" s="506">
        <v>420</v>
      </c>
      <c r="E1857" s="506">
        <v>0</v>
      </c>
      <c r="F1857" s="506">
        <v>400</v>
      </c>
      <c r="G1857" s="507">
        <v>0</v>
      </c>
      <c r="H1857" s="503"/>
      <c r="I1857" s="503"/>
      <c r="J1857" s="503"/>
      <c r="K1857" s="503"/>
    </row>
    <row r="1858" spans="1:11" ht="12">
      <c r="A1858" s="504">
        <v>2142137078</v>
      </c>
      <c r="B1858" s="539" t="s">
        <v>1746</v>
      </c>
      <c r="C1858" s="505" t="s">
        <v>154</v>
      </c>
      <c r="D1858" s="506">
        <v>600</v>
      </c>
      <c r="E1858" s="506">
        <v>338</v>
      </c>
      <c r="F1858" s="506">
        <v>337</v>
      </c>
      <c r="G1858" s="507">
        <v>1</v>
      </c>
      <c r="H1858" s="503"/>
      <c r="I1858" s="503"/>
      <c r="J1858" s="503"/>
      <c r="K1858" s="503"/>
    </row>
    <row r="1859" spans="1:11" ht="12">
      <c r="A1859" s="504">
        <v>2142137079</v>
      </c>
      <c r="B1859" s="539" t="s">
        <v>1747</v>
      </c>
      <c r="C1859" s="505" t="s">
        <v>154</v>
      </c>
      <c r="D1859" s="506">
        <v>210</v>
      </c>
      <c r="E1859" s="506">
        <v>0</v>
      </c>
      <c r="F1859" s="506">
        <v>0</v>
      </c>
      <c r="G1859" s="507">
        <v>0</v>
      </c>
      <c r="H1859" s="503"/>
      <c r="I1859" s="503"/>
      <c r="J1859" s="503"/>
      <c r="K1859" s="503"/>
    </row>
    <row r="1860" spans="1:11" ht="12">
      <c r="A1860" s="504">
        <v>2142137080</v>
      </c>
      <c r="B1860" s="539" t="s">
        <v>1748</v>
      </c>
      <c r="C1860" s="505" t="s">
        <v>154</v>
      </c>
      <c r="D1860" s="506">
        <v>210</v>
      </c>
      <c r="E1860" s="506">
        <v>0</v>
      </c>
      <c r="F1860" s="506">
        <v>210</v>
      </c>
      <c r="G1860" s="507">
        <v>0</v>
      </c>
      <c r="H1860" s="503"/>
      <c r="I1860" s="503"/>
      <c r="J1860" s="503"/>
      <c r="K1860" s="503"/>
    </row>
    <row r="1861" spans="1:11" ht="12">
      <c r="A1861" s="504">
        <v>2142137081</v>
      </c>
      <c r="B1861" s="539" t="s">
        <v>1749</v>
      </c>
      <c r="C1861" s="505" t="s">
        <v>154</v>
      </c>
      <c r="D1861" s="506">
        <v>130</v>
      </c>
      <c r="E1861" s="506">
        <v>0</v>
      </c>
      <c r="F1861" s="506">
        <v>130</v>
      </c>
      <c r="G1861" s="507">
        <v>0</v>
      </c>
      <c r="H1861" s="503"/>
      <c r="I1861" s="503"/>
      <c r="J1861" s="503"/>
      <c r="K1861" s="503"/>
    </row>
    <row r="1862" spans="1:11" ht="12">
      <c r="A1862" s="504">
        <v>2142137082</v>
      </c>
      <c r="B1862" s="539" t="s">
        <v>1750</v>
      </c>
      <c r="C1862" s="505" t="s">
        <v>154</v>
      </c>
      <c r="D1862" s="506">
        <v>1865</v>
      </c>
      <c r="E1862" s="506">
        <v>1769</v>
      </c>
      <c r="F1862" s="506">
        <v>1769</v>
      </c>
      <c r="G1862" s="507">
        <v>0</v>
      </c>
      <c r="H1862" s="503"/>
      <c r="I1862" s="503"/>
      <c r="J1862" s="503"/>
      <c r="K1862" s="503"/>
    </row>
    <row r="1863" spans="1:11" ht="12">
      <c r="A1863" s="504">
        <v>2142137083</v>
      </c>
      <c r="B1863" s="539" t="s">
        <v>879</v>
      </c>
      <c r="C1863" s="505" t="s">
        <v>154</v>
      </c>
      <c r="D1863" s="506">
        <v>10700</v>
      </c>
      <c r="E1863" s="506">
        <v>11003</v>
      </c>
      <c r="F1863" s="506">
        <v>10999</v>
      </c>
      <c r="G1863" s="507">
        <v>4</v>
      </c>
      <c r="H1863" s="503"/>
      <c r="I1863" s="503"/>
      <c r="J1863" s="503"/>
      <c r="K1863" s="503"/>
    </row>
    <row r="1864" spans="1:11" ht="12">
      <c r="A1864" s="504">
        <v>2142137084</v>
      </c>
      <c r="B1864" s="539" t="s">
        <v>192</v>
      </c>
      <c r="C1864" s="505" t="s">
        <v>745</v>
      </c>
      <c r="D1864" s="506">
        <v>6500</v>
      </c>
      <c r="E1864" s="506">
        <v>6549</v>
      </c>
      <c r="F1864" s="506">
        <v>6547</v>
      </c>
      <c r="G1864" s="507">
        <v>2</v>
      </c>
      <c r="H1864" s="503"/>
      <c r="I1864" s="503"/>
      <c r="J1864" s="503"/>
      <c r="K1864" s="503"/>
    </row>
    <row r="1865" spans="1:11" ht="12">
      <c r="A1865" s="504">
        <v>2142137085</v>
      </c>
      <c r="B1865" s="539" t="s">
        <v>1751</v>
      </c>
      <c r="C1865" s="505" t="s">
        <v>745</v>
      </c>
      <c r="D1865" s="506">
        <v>730</v>
      </c>
      <c r="E1865" s="506">
        <v>730</v>
      </c>
      <c r="F1865" s="506">
        <v>729</v>
      </c>
      <c r="G1865" s="507">
        <v>1</v>
      </c>
      <c r="H1865" s="503"/>
      <c r="I1865" s="503"/>
      <c r="J1865" s="503"/>
      <c r="K1865" s="503"/>
    </row>
    <row r="1866" spans="1:11" ht="12">
      <c r="A1866" s="504">
        <v>2142137086</v>
      </c>
      <c r="B1866" s="539" t="s">
        <v>1752</v>
      </c>
      <c r="C1866" s="505" t="s">
        <v>745</v>
      </c>
      <c r="D1866" s="506">
        <v>480</v>
      </c>
      <c r="E1866" s="506">
        <v>430</v>
      </c>
      <c r="F1866" s="506">
        <v>430</v>
      </c>
      <c r="G1866" s="507">
        <v>0</v>
      </c>
      <c r="H1866" s="503"/>
      <c r="I1866" s="503"/>
      <c r="J1866" s="503"/>
      <c r="K1866" s="503"/>
    </row>
    <row r="1867" spans="1:11" ht="12">
      <c r="A1867" s="504">
        <v>2142137087</v>
      </c>
      <c r="B1867" s="539" t="s">
        <v>1753</v>
      </c>
      <c r="C1867" s="505" t="s">
        <v>745</v>
      </c>
      <c r="D1867" s="506">
        <v>610</v>
      </c>
      <c r="E1867" s="506">
        <v>0</v>
      </c>
      <c r="F1867" s="506">
        <v>0</v>
      </c>
      <c r="G1867" s="507">
        <v>0</v>
      </c>
      <c r="H1867" s="503"/>
      <c r="I1867" s="503"/>
      <c r="J1867" s="503"/>
      <c r="K1867" s="503"/>
    </row>
    <row r="1868" spans="1:11" ht="12">
      <c r="A1868" s="504">
        <v>2142137088</v>
      </c>
      <c r="B1868" s="539" t="s">
        <v>1754</v>
      </c>
      <c r="C1868" s="505" t="s">
        <v>745</v>
      </c>
      <c r="D1868" s="506">
        <v>320</v>
      </c>
      <c r="E1868" s="506">
        <v>343</v>
      </c>
      <c r="F1868" s="506">
        <v>343</v>
      </c>
      <c r="G1868" s="507">
        <v>0</v>
      </c>
      <c r="H1868" s="503"/>
      <c r="I1868" s="503"/>
      <c r="J1868" s="503"/>
      <c r="K1868" s="503"/>
    </row>
    <row r="1869" spans="1:11" ht="12">
      <c r="A1869" s="504">
        <v>2142137089</v>
      </c>
      <c r="B1869" s="539" t="s">
        <v>1755</v>
      </c>
      <c r="C1869" s="505" t="s">
        <v>745</v>
      </c>
      <c r="D1869" s="506">
        <v>300</v>
      </c>
      <c r="E1869" s="506">
        <v>0</v>
      </c>
      <c r="F1869" s="506">
        <v>0</v>
      </c>
      <c r="G1869" s="507">
        <v>0</v>
      </c>
      <c r="H1869" s="503"/>
      <c r="I1869" s="503"/>
      <c r="J1869" s="503"/>
      <c r="K1869" s="503"/>
    </row>
    <row r="1870" spans="1:11" ht="12">
      <c r="A1870" s="504">
        <v>2142137090</v>
      </c>
      <c r="B1870" s="539" t="s">
        <v>1756</v>
      </c>
      <c r="C1870" s="505" t="s">
        <v>745</v>
      </c>
      <c r="D1870" s="506">
        <v>2200</v>
      </c>
      <c r="E1870" s="506">
        <v>2196</v>
      </c>
      <c r="F1870" s="506">
        <v>2196</v>
      </c>
      <c r="G1870" s="507">
        <v>0</v>
      </c>
      <c r="H1870" s="503"/>
      <c r="I1870" s="503"/>
      <c r="J1870" s="503"/>
      <c r="K1870" s="503"/>
    </row>
    <row r="1871" spans="1:11" ht="12">
      <c r="A1871" s="504">
        <v>2142137091</v>
      </c>
      <c r="B1871" s="539" t="s">
        <v>1757</v>
      </c>
      <c r="C1871" s="505" t="s">
        <v>745</v>
      </c>
      <c r="D1871" s="506">
        <v>4000</v>
      </c>
      <c r="E1871" s="506">
        <v>4000</v>
      </c>
      <c r="F1871" s="506">
        <v>3999</v>
      </c>
      <c r="G1871" s="507">
        <v>1</v>
      </c>
      <c r="H1871" s="503"/>
      <c r="I1871" s="503"/>
      <c r="J1871" s="503"/>
      <c r="K1871" s="503"/>
    </row>
    <row r="1872" spans="1:11" ht="12">
      <c r="A1872" s="504">
        <v>2142137092</v>
      </c>
      <c r="B1872" s="539" t="s">
        <v>879</v>
      </c>
      <c r="C1872" s="505" t="s">
        <v>745</v>
      </c>
      <c r="D1872" s="506">
        <v>5800</v>
      </c>
      <c r="E1872" s="506">
        <v>4410</v>
      </c>
      <c r="F1872" s="506">
        <v>4410</v>
      </c>
      <c r="G1872" s="507">
        <v>0</v>
      </c>
      <c r="H1872" s="503"/>
      <c r="I1872" s="503"/>
      <c r="J1872" s="503"/>
      <c r="K1872" s="503"/>
    </row>
    <row r="1873" spans="1:11" ht="12">
      <c r="A1873" s="504">
        <v>2142137093</v>
      </c>
      <c r="B1873" s="539" t="s">
        <v>1758</v>
      </c>
      <c r="C1873" s="505" t="s">
        <v>119</v>
      </c>
      <c r="D1873" s="506">
        <v>8700</v>
      </c>
      <c r="E1873" s="506">
        <v>8214</v>
      </c>
      <c r="F1873" s="506">
        <v>8213</v>
      </c>
      <c r="G1873" s="507">
        <v>1</v>
      </c>
      <c r="H1873" s="503"/>
      <c r="I1873" s="503"/>
      <c r="J1873" s="503"/>
      <c r="K1873" s="503"/>
    </row>
    <row r="1874" spans="1:11" ht="12">
      <c r="A1874" s="504">
        <v>2142137094</v>
      </c>
      <c r="B1874" s="539" t="s">
        <v>1759</v>
      </c>
      <c r="C1874" s="505" t="s">
        <v>119</v>
      </c>
      <c r="D1874" s="506">
        <v>2300</v>
      </c>
      <c r="E1874" s="506">
        <v>2340</v>
      </c>
      <c r="F1874" s="506">
        <v>2339</v>
      </c>
      <c r="G1874" s="507">
        <v>1</v>
      </c>
      <c r="H1874" s="503"/>
      <c r="I1874" s="503"/>
      <c r="J1874" s="503"/>
      <c r="K1874" s="503"/>
    </row>
    <row r="1875" spans="1:11" ht="12">
      <c r="A1875" s="504">
        <v>2142137095</v>
      </c>
      <c r="B1875" s="539" t="s">
        <v>1760</v>
      </c>
      <c r="C1875" s="505" t="s">
        <v>119</v>
      </c>
      <c r="D1875" s="506">
        <v>1080</v>
      </c>
      <c r="E1875" s="506">
        <v>0</v>
      </c>
      <c r="F1875" s="506">
        <v>0</v>
      </c>
      <c r="G1875" s="507">
        <v>0</v>
      </c>
      <c r="H1875" s="503"/>
      <c r="I1875" s="503"/>
      <c r="J1875" s="503"/>
      <c r="K1875" s="503"/>
    </row>
    <row r="1876" spans="1:11" ht="12">
      <c r="A1876" s="504">
        <v>2142137096</v>
      </c>
      <c r="B1876" s="539" t="s">
        <v>1761</v>
      </c>
      <c r="C1876" s="505" t="s">
        <v>119</v>
      </c>
      <c r="D1876" s="506">
        <v>1050</v>
      </c>
      <c r="E1876" s="506">
        <v>998</v>
      </c>
      <c r="F1876" s="506">
        <v>998</v>
      </c>
      <c r="G1876" s="507">
        <v>0</v>
      </c>
      <c r="H1876" s="503"/>
      <c r="I1876" s="503"/>
      <c r="J1876" s="503"/>
      <c r="K1876" s="503"/>
    </row>
    <row r="1877" spans="1:11" ht="12">
      <c r="A1877" s="504">
        <v>2142137097</v>
      </c>
      <c r="B1877" s="539" t="s">
        <v>1762</v>
      </c>
      <c r="C1877" s="505" t="s">
        <v>119</v>
      </c>
      <c r="D1877" s="506">
        <v>2400</v>
      </c>
      <c r="E1877" s="506">
        <v>2379</v>
      </c>
      <c r="F1877" s="506">
        <v>2379</v>
      </c>
      <c r="G1877" s="507">
        <v>0</v>
      </c>
      <c r="H1877" s="503"/>
      <c r="I1877" s="503"/>
      <c r="J1877" s="503"/>
      <c r="K1877" s="503"/>
    </row>
    <row r="1878" spans="1:11" ht="12">
      <c r="A1878" s="504">
        <v>2142137098</v>
      </c>
      <c r="B1878" s="539" t="s">
        <v>1763</v>
      </c>
      <c r="C1878" s="505" t="s">
        <v>119</v>
      </c>
      <c r="D1878" s="506">
        <v>7500</v>
      </c>
      <c r="E1878" s="506">
        <v>7130</v>
      </c>
      <c r="F1878" s="506">
        <v>7129</v>
      </c>
      <c r="G1878" s="507">
        <v>1</v>
      </c>
      <c r="H1878" s="503"/>
      <c r="I1878" s="503"/>
      <c r="J1878" s="503"/>
      <c r="K1878" s="503"/>
    </row>
    <row r="1879" spans="1:11" ht="12">
      <c r="A1879" s="504">
        <v>2142137099</v>
      </c>
      <c r="B1879" s="539" t="s">
        <v>879</v>
      </c>
      <c r="C1879" s="505" t="s">
        <v>119</v>
      </c>
      <c r="D1879" s="506">
        <v>3300</v>
      </c>
      <c r="E1879" s="506">
        <v>4440</v>
      </c>
      <c r="F1879" s="506">
        <v>4930</v>
      </c>
      <c r="G1879" s="507">
        <v>26</v>
      </c>
      <c r="H1879" s="503"/>
      <c r="I1879" s="503"/>
      <c r="J1879" s="503"/>
      <c r="K1879" s="503"/>
    </row>
    <row r="1880" spans="1:11" ht="12">
      <c r="A1880" s="504">
        <v>2142137100</v>
      </c>
      <c r="B1880" s="539" t="s">
        <v>192</v>
      </c>
      <c r="C1880" s="505" t="s">
        <v>148</v>
      </c>
      <c r="D1880" s="506">
        <v>10350</v>
      </c>
      <c r="E1880" s="506">
        <v>10234</v>
      </c>
      <c r="F1880" s="506">
        <v>10234</v>
      </c>
      <c r="G1880" s="507">
        <v>0</v>
      </c>
      <c r="H1880" s="503"/>
      <c r="I1880" s="503"/>
      <c r="J1880" s="503"/>
      <c r="K1880" s="503"/>
    </row>
    <row r="1881" spans="1:11" ht="12">
      <c r="A1881" s="504">
        <v>2142137101</v>
      </c>
      <c r="B1881" s="539" t="s">
        <v>1764</v>
      </c>
      <c r="C1881" s="505" t="s">
        <v>148</v>
      </c>
      <c r="D1881" s="506">
        <v>630</v>
      </c>
      <c r="E1881" s="506">
        <v>473</v>
      </c>
      <c r="F1881" s="506">
        <v>473</v>
      </c>
      <c r="G1881" s="507">
        <v>0</v>
      </c>
      <c r="H1881" s="503"/>
      <c r="I1881" s="503"/>
      <c r="J1881" s="503"/>
      <c r="K1881" s="503"/>
    </row>
    <row r="1882" spans="1:11" ht="12">
      <c r="A1882" s="504">
        <v>2142137102</v>
      </c>
      <c r="B1882" s="539" t="s">
        <v>1765</v>
      </c>
      <c r="C1882" s="505" t="s">
        <v>148</v>
      </c>
      <c r="D1882" s="506">
        <v>692</v>
      </c>
      <c r="E1882" s="506">
        <v>663</v>
      </c>
      <c r="F1882" s="506">
        <v>662</v>
      </c>
      <c r="G1882" s="507">
        <v>1</v>
      </c>
      <c r="H1882" s="503"/>
      <c r="I1882" s="503"/>
      <c r="J1882" s="503"/>
      <c r="K1882" s="503"/>
    </row>
    <row r="1883" spans="1:11" ht="12">
      <c r="A1883" s="504">
        <v>2142137103</v>
      </c>
      <c r="B1883" s="539" t="s">
        <v>1766</v>
      </c>
      <c r="C1883" s="505" t="s">
        <v>148</v>
      </c>
      <c r="D1883" s="506">
        <v>267</v>
      </c>
      <c r="E1883" s="506">
        <v>255</v>
      </c>
      <c r="F1883" s="506">
        <v>255</v>
      </c>
      <c r="G1883" s="507">
        <v>0</v>
      </c>
      <c r="H1883" s="503"/>
      <c r="I1883" s="503"/>
      <c r="J1883" s="503"/>
      <c r="K1883" s="503"/>
    </row>
    <row r="1884" spans="1:11" ht="12">
      <c r="A1884" s="504">
        <v>2142137104</v>
      </c>
      <c r="B1884" s="539" t="s">
        <v>1767</v>
      </c>
      <c r="C1884" s="505" t="s">
        <v>148</v>
      </c>
      <c r="D1884" s="506">
        <v>146</v>
      </c>
      <c r="E1884" s="506">
        <v>159</v>
      </c>
      <c r="F1884" s="506">
        <v>158</v>
      </c>
      <c r="G1884" s="507">
        <v>1</v>
      </c>
      <c r="H1884" s="503"/>
      <c r="I1884" s="503"/>
      <c r="J1884" s="503"/>
      <c r="K1884" s="503"/>
    </row>
    <row r="1885" spans="1:11" ht="12">
      <c r="A1885" s="504">
        <v>2142137105</v>
      </c>
      <c r="B1885" s="539" t="s">
        <v>1768</v>
      </c>
      <c r="C1885" s="505" t="s">
        <v>148</v>
      </c>
      <c r="D1885" s="506">
        <v>215</v>
      </c>
      <c r="E1885" s="506">
        <v>215</v>
      </c>
      <c r="F1885" s="506">
        <v>215</v>
      </c>
      <c r="G1885" s="507">
        <v>0</v>
      </c>
      <c r="H1885" s="503"/>
      <c r="I1885" s="503"/>
      <c r="J1885" s="503"/>
      <c r="K1885" s="503"/>
    </row>
    <row r="1886" spans="1:11" ht="12">
      <c r="A1886" s="504">
        <v>2142137106</v>
      </c>
      <c r="B1886" s="539" t="s">
        <v>1769</v>
      </c>
      <c r="C1886" s="505" t="s">
        <v>148</v>
      </c>
      <c r="D1886" s="506">
        <v>768</v>
      </c>
      <c r="E1886" s="506">
        <v>700</v>
      </c>
      <c r="F1886" s="506">
        <v>699</v>
      </c>
      <c r="G1886" s="507">
        <v>1</v>
      </c>
      <c r="H1886" s="503"/>
      <c r="I1886" s="503"/>
      <c r="J1886" s="503"/>
      <c r="K1886" s="503"/>
    </row>
    <row r="1887" spans="1:11" ht="12">
      <c r="A1887" s="504">
        <v>2142137107</v>
      </c>
      <c r="B1887" s="539" t="s">
        <v>1770</v>
      </c>
      <c r="C1887" s="505" t="s">
        <v>148</v>
      </c>
      <c r="D1887" s="506">
        <v>226</v>
      </c>
      <c r="E1887" s="506">
        <v>171</v>
      </c>
      <c r="F1887" s="506">
        <v>170</v>
      </c>
      <c r="G1887" s="507">
        <v>1</v>
      </c>
      <c r="H1887" s="503"/>
      <c r="I1887" s="503"/>
      <c r="J1887" s="503"/>
      <c r="K1887" s="503"/>
    </row>
    <row r="1888" spans="1:11" ht="12">
      <c r="A1888" s="504">
        <v>2142137108</v>
      </c>
      <c r="B1888" s="539" t="s">
        <v>1771</v>
      </c>
      <c r="C1888" s="505" t="s">
        <v>148</v>
      </c>
      <c r="D1888" s="506">
        <v>226</v>
      </c>
      <c r="E1888" s="506">
        <v>201</v>
      </c>
      <c r="F1888" s="506">
        <v>200</v>
      </c>
      <c r="G1888" s="507">
        <v>1</v>
      </c>
      <c r="H1888" s="503"/>
      <c r="I1888" s="503"/>
      <c r="J1888" s="503"/>
      <c r="K1888" s="503"/>
    </row>
    <row r="1889" spans="1:11" ht="12">
      <c r="A1889" s="504">
        <v>2142137109</v>
      </c>
      <c r="B1889" s="539" t="s">
        <v>1772</v>
      </c>
      <c r="C1889" s="505" t="s">
        <v>148</v>
      </c>
      <c r="D1889" s="506">
        <v>4400</v>
      </c>
      <c r="E1889" s="506">
        <v>4400</v>
      </c>
      <c r="F1889" s="506">
        <v>4559</v>
      </c>
      <c r="G1889" s="507">
        <v>0</v>
      </c>
      <c r="H1889" s="503"/>
      <c r="I1889" s="503"/>
      <c r="J1889" s="503"/>
      <c r="K1889" s="503"/>
    </row>
    <row r="1890" spans="1:11" ht="12">
      <c r="A1890" s="504">
        <v>2142137110</v>
      </c>
      <c r="B1890" s="539" t="s">
        <v>250</v>
      </c>
      <c r="C1890" s="505" t="s">
        <v>148</v>
      </c>
      <c r="D1890" s="506">
        <v>2900</v>
      </c>
      <c r="E1890" s="506">
        <v>2895</v>
      </c>
      <c r="F1890" s="506">
        <v>2894</v>
      </c>
      <c r="G1890" s="507">
        <v>1</v>
      </c>
      <c r="H1890" s="503"/>
      <c r="I1890" s="503"/>
      <c r="J1890" s="503"/>
      <c r="K1890" s="503"/>
    </row>
    <row r="1891" spans="1:11" ht="12">
      <c r="A1891" s="504">
        <v>2142137111</v>
      </c>
      <c r="B1891" s="539" t="s">
        <v>1773</v>
      </c>
      <c r="C1891" s="505" t="s">
        <v>148</v>
      </c>
      <c r="D1891" s="506">
        <v>4500</v>
      </c>
      <c r="E1891" s="506">
        <v>4722</v>
      </c>
      <c r="F1891" s="506">
        <v>4721</v>
      </c>
      <c r="G1891" s="507">
        <v>1</v>
      </c>
      <c r="H1891" s="503"/>
      <c r="I1891" s="503"/>
      <c r="J1891" s="503"/>
      <c r="K1891" s="503"/>
    </row>
    <row r="1892" spans="1:11" ht="12">
      <c r="A1892" s="504">
        <v>2142137112</v>
      </c>
      <c r="B1892" s="539" t="s">
        <v>879</v>
      </c>
      <c r="C1892" s="505" t="s">
        <v>148</v>
      </c>
      <c r="D1892" s="506">
        <v>6978</v>
      </c>
      <c r="E1892" s="506">
        <v>6899</v>
      </c>
      <c r="F1892" s="506">
        <v>6899</v>
      </c>
      <c r="G1892" s="507">
        <v>0</v>
      </c>
      <c r="H1892" s="503"/>
      <c r="I1892" s="503"/>
      <c r="J1892" s="503"/>
      <c r="K1892" s="503"/>
    </row>
    <row r="1893" spans="1:11" ht="12">
      <c r="A1893" s="504">
        <v>2142137113</v>
      </c>
      <c r="B1893" s="539" t="s">
        <v>192</v>
      </c>
      <c r="C1893" s="505" t="s">
        <v>117</v>
      </c>
      <c r="D1893" s="506">
        <v>7800</v>
      </c>
      <c r="E1893" s="506">
        <v>7792</v>
      </c>
      <c r="F1893" s="506">
        <v>7792</v>
      </c>
      <c r="G1893" s="507">
        <v>0</v>
      </c>
      <c r="H1893" s="503"/>
      <c r="I1893" s="503"/>
      <c r="J1893" s="503"/>
      <c r="K1893" s="503"/>
    </row>
    <row r="1894" spans="1:11" ht="12">
      <c r="A1894" s="504">
        <v>2142137114</v>
      </c>
      <c r="B1894" s="539" t="s">
        <v>1774</v>
      </c>
      <c r="C1894" s="505" t="s">
        <v>117</v>
      </c>
      <c r="D1894" s="506">
        <v>3400</v>
      </c>
      <c r="E1894" s="506">
        <v>3394</v>
      </c>
      <c r="F1894" s="506">
        <v>3393</v>
      </c>
      <c r="G1894" s="507">
        <v>1</v>
      </c>
      <c r="H1894" s="503"/>
      <c r="I1894" s="503"/>
      <c r="J1894" s="503"/>
      <c r="K1894" s="503"/>
    </row>
    <row r="1895" spans="1:11" ht="12">
      <c r="A1895" s="504">
        <v>2142137115</v>
      </c>
      <c r="B1895" s="539" t="s">
        <v>1775</v>
      </c>
      <c r="C1895" s="505" t="s">
        <v>117</v>
      </c>
      <c r="D1895" s="506">
        <v>2400</v>
      </c>
      <c r="E1895" s="506">
        <v>2371</v>
      </c>
      <c r="F1895" s="506">
        <v>2370</v>
      </c>
      <c r="G1895" s="507">
        <v>1</v>
      </c>
      <c r="H1895" s="503"/>
      <c r="I1895" s="503"/>
      <c r="J1895" s="503"/>
      <c r="K1895" s="503"/>
    </row>
    <row r="1896" spans="1:11" ht="12">
      <c r="A1896" s="504">
        <v>2142137116</v>
      </c>
      <c r="B1896" s="539" t="s">
        <v>1756</v>
      </c>
      <c r="C1896" s="505" t="s">
        <v>117</v>
      </c>
      <c r="D1896" s="506">
        <v>2200</v>
      </c>
      <c r="E1896" s="506">
        <v>2379</v>
      </c>
      <c r="F1896" s="506">
        <v>2379</v>
      </c>
      <c r="G1896" s="507">
        <v>0</v>
      </c>
      <c r="H1896" s="503"/>
      <c r="I1896" s="503"/>
      <c r="J1896" s="503"/>
      <c r="K1896" s="503"/>
    </row>
    <row r="1897" spans="1:11" ht="12">
      <c r="A1897" s="504">
        <v>2142137117</v>
      </c>
      <c r="B1897" s="539" t="s">
        <v>1776</v>
      </c>
      <c r="C1897" s="505" t="s">
        <v>117</v>
      </c>
      <c r="D1897" s="506">
        <v>3300</v>
      </c>
      <c r="E1897" s="506">
        <v>3557</v>
      </c>
      <c r="F1897" s="506">
        <v>3556</v>
      </c>
      <c r="G1897" s="507">
        <v>1</v>
      </c>
      <c r="H1897" s="503"/>
      <c r="I1897" s="503"/>
      <c r="J1897" s="503"/>
      <c r="K1897" s="503"/>
    </row>
    <row r="1898" spans="1:11" ht="12">
      <c r="A1898" s="504">
        <v>2142137118</v>
      </c>
      <c r="B1898" s="539" t="s">
        <v>1777</v>
      </c>
      <c r="C1898" s="505" t="s">
        <v>117</v>
      </c>
      <c r="D1898" s="506">
        <v>1600</v>
      </c>
      <c r="E1898" s="506">
        <v>1297</v>
      </c>
      <c r="F1898" s="506">
        <v>1295</v>
      </c>
      <c r="G1898" s="507">
        <v>2</v>
      </c>
      <c r="H1898" s="503"/>
      <c r="I1898" s="503"/>
      <c r="J1898" s="503"/>
      <c r="K1898" s="503"/>
    </row>
    <row r="1899" spans="1:11" ht="12">
      <c r="A1899" s="504">
        <v>2142137119</v>
      </c>
      <c r="B1899" s="539" t="s">
        <v>1778</v>
      </c>
      <c r="C1899" s="505" t="s">
        <v>117</v>
      </c>
      <c r="D1899" s="506">
        <v>1570</v>
      </c>
      <c r="E1899" s="506">
        <v>1570</v>
      </c>
      <c r="F1899" s="506">
        <v>1568</v>
      </c>
      <c r="G1899" s="507">
        <v>2</v>
      </c>
      <c r="H1899" s="503"/>
      <c r="I1899" s="503"/>
      <c r="J1899" s="503"/>
      <c r="K1899" s="503"/>
    </row>
    <row r="1900" spans="1:11" ht="12">
      <c r="A1900" s="504">
        <v>2142137120</v>
      </c>
      <c r="B1900" s="539" t="s">
        <v>1779</v>
      </c>
      <c r="C1900" s="505" t="s">
        <v>117</v>
      </c>
      <c r="D1900" s="506">
        <v>300</v>
      </c>
      <c r="E1900" s="506">
        <v>294</v>
      </c>
      <c r="F1900" s="506">
        <v>294</v>
      </c>
      <c r="G1900" s="507">
        <v>0</v>
      </c>
      <c r="H1900" s="503"/>
      <c r="I1900" s="503"/>
      <c r="J1900" s="503"/>
      <c r="K1900" s="503"/>
    </row>
    <row r="1901" spans="1:11" ht="12">
      <c r="A1901" s="504">
        <v>2142137121</v>
      </c>
      <c r="B1901" s="539" t="s">
        <v>1780</v>
      </c>
      <c r="C1901" s="505" t="s">
        <v>117</v>
      </c>
      <c r="D1901" s="506">
        <v>170</v>
      </c>
      <c r="E1901" s="506">
        <v>162</v>
      </c>
      <c r="F1901" s="506">
        <v>162</v>
      </c>
      <c r="G1901" s="507">
        <v>0</v>
      </c>
      <c r="H1901" s="503"/>
      <c r="I1901" s="503"/>
      <c r="J1901" s="503"/>
      <c r="K1901" s="503"/>
    </row>
    <row r="1902" spans="1:11" ht="12">
      <c r="A1902" s="504">
        <v>2142137122</v>
      </c>
      <c r="B1902" s="539" t="s">
        <v>879</v>
      </c>
      <c r="C1902" s="505" t="s">
        <v>117</v>
      </c>
      <c r="D1902" s="506">
        <v>5953</v>
      </c>
      <c r="E1902" s="506">
        <v>6653</v>
      </c>
      <c r="F1902" s="506">
        <v>6652</v>
      </c>
      <c r="G1902" s="507">
        <v>1</v>
      </c>
      <c r="H1902" s="503"/>
      <c r="I1902" s="503"/>
      <c r="J1902" s="503"/>
      <c r="K1902" s="503"/>
    </row>
    <row r="1903" spans="1:11" ht="12">
      <c r="A1903" s="504">
        <v>2142137123</v>
      </c>
      <c r="B1903" s="539" t="s">
        <v>1776</v>
      </c>
      <c r="C1903" s="505" t="s">
        <v>113</v>
      </c>
      <c r="D1903" s="506">
        <v>2350</v>
      </c>
      <c r="E1903" s="506">
        <v>2380</v>
      </c>
      <c r="F1903" s="506">
        <v>2380</v>
      </c>
      <c r="G1903" s="507">
        <v>0</v>
      </c>
      <c r="H1903" s="503"/>
      <c r="I1903" s="503"/>
      <c r="J1903" s="503"/>
      <c r="K1903" s="503"/>
    </row>
    <row r="1904" spans="1:11" ht="12">
      <c r="A1904" s="504">
        <v>2142137124</v>
      </c>
      <c r="B1904" s="539" t="s">
        <v>1781</v>
      </c>
      <c r="C1904" s="505" t="s">
        <v>113</v>
      </c>
      <c r="D1904" s="506">
        <v>15150</v>
      </c>
      <c r="E1904" s="506">
        <v>3</v>
      </c>
      <c r="F1904" s="506">
        <v>2</v>
      </c>
      <c r="G1904" s="507">
        <v>1</v>
      </c>
      <c r="H1904" s="503"/>
      <c r="I1904" s="503"/>
      <c r="J1904" s="503"/>
      <c r="K1904" s="503"/>
    </row>
    <row r="1905" spans="1:11" ht="12">
      <c r="A1905" s="504">
        <v>2142137125</v>
      </c>
      <c r="B1905" s="539" t="s">
        <v>1782</v>
      </c>
      <c r="C1905" s="505" t="s">
        <v>113</v>
      </c>
      <c r="D1905" s="506">
        <v>1700</v>
      </c>
      <c r="E1905" s="506">
        <v>0</v>
      </c>
      <c r="F1905" s="506">
        <v>1797</v>
      </c>
      <c r="G1905" s="507">
        <v>0</v>
      </c>
      <c r="H1905" s="503"/>
      <c r="I1905" s="503"/>
      <c r="J1905" s="503"/>
      <c r="K1905" s="503"/>
    </row>
    <row r="1906" spans="1:11" ht="12">
      <c r="A1906" s="504">
        <v>2142137126</v>
      </c>
      <c r="B1906" s="539" t="s">
        <v>2208</v>
      </c>
      <c r="C1906" s="505" t="s">
        <v>113</v>
      </c>
      <c r="D1906" s="506">
        <v>850</v>
      </c>
      <c r="E1906" s="506">
        <v>0</v>
      </c>
      <c r="F1906" s="506">
        <v>899</v>
      </c>
      <c r="G1906" s="507">
        <v>0</v>
      </c>
      <c r="H1906" s="503"/>
      <c r="I1906" s="503"/>
      <c r="J1906" s="503"/>
      <c r="K1906" s="503"/>
    </row>
    <row r="1907" spans="1:11" ht="12">
      <c r="A1907" s="504">
        <v>2142137127</v>
      </c>
      <c r="B1907" s="539" t="s">
        <v>2209</v>
      </c>
      <c r="C1907" s="505" t="s">
        <v>113</v>
      </c>
      <c r="D1907" s="506">
        <v>650</v>
      </c>
      <c r="E1907" s="506">
        <v>0</v>
      </c>
      <c r="F1907" s="506">
        <v>452</v>
      </c>
      <c r="G1907" s="507">
        <v>0</v>
      </c>
      <c r="H1907" s="503"/>
      <c r="I1907" s="503"/>
      <c r="J1907" s="503"/>
      <c r="K1907" s="503"/>
    </row>
    <row r="1908" spans="1:11" ht="12">
      <c r="A1908" s="504">
        <v>2142137128</v>
      </c>
      <c r="B1908" s="539" t="s">
        <v>2210</v>
      </c>
      <c r="C1908" s="505" t="s">
        <v>113</v>
      </c>
      <c r="D1908" s="506">
        <v>200</v>
      </c>
      <c r="E1908" s="506">
        <v>0</v>
      </c>
      <c r="F1908" s="506">
        <v>202</v>
      </c>
      <c r="G1908" s="507">
        <v>0</v>
      </c>
      <c r="H1908" s="503"/>
      <c r="I1908" s="503"/>
      <c r="J1908" s="503"/>
      <c r="K1908" s="503"/>
    </row>
    <row r="1909" spans="1:11" ht="12">
      <c r="A1909" s="504">
        <v>2142137129</v>
      </c>
      <c r="B1909" s="539" t="s">
        <v>2211</v>
      </c>
      <c r="C1909" s="505" t="s">
        <v>113</v>
      </c>
      <c r="D1909" s="506">
        <v>100</v>
      </c>
      <c r="E1909" s="506">
        <v>0</v>
      </c>
      <c r="F1909" s="506">
        <v>350</v>
      </c>
      <c r="G1909" s="507">
        <v>0</v>
      </c>
      <c r="H1909" s="503"/>
      <c r="I1909" s="503"/>
      <c r="J1909" s="503"/>
      <c r="K1909" s="503"/>
    </row>
    <row r="1910" spans="1:11" ht="12">
      <c r="A1910" s="504">
        <v>2142137130</v>
      </c>
      <c r="B1910" s="539" t="s">
        <v>2212</v>
      </c>
      <c r="C1910" s="505" t="s">
        <v>113</v>
      </c>
      <c r="D1910" s="506">
        <v>280</v>
      </c>
      <c r="E1910" s="506">
        <v>0</v>
      </c>
      <c r="F1910" s="506">
        <v>421</v>
      </c>
      <c r="G1910" s="507">
        <v>0</v>
      </c>
      <c r="H1910" s="503"/>
      <c r="I1910" s="503"/>
      <c r="J1910" s="503"/>
      <c r="K1910" s="503"/>
    </row>
    <row r="1911" spans="1:11" ht="12">
      <c r="A1911" s="504">
        <v>2142137131</v>
      </c>
      <c r="B1911" s="539" t="s">
        <v>2213</v>
      </c>
      <c r="C1911" s="505" t="s">
        <v>113</v>
      </c>
      <c r="D1911" s="506">
        <v>700</v>
      </c>
      <c r="E1911" s="506">
        <v>0</v>
      </c>
      <c r="F1911" s="506">
        <v>819</v>
      </c>
      <c r="G1911" s="507">
        <v>0</v>
      </c>
      <c r="H1911" s="503"/>
      <c r="I1911" s="503"/>
      <c r="J1911" s="503"/>
      <c r="K1911" s="503"/>
    </row>
    <row r="1912" spans="1:11" ht="12">
      <c r="A1912" s="504">
        <v>2142137132</v>
      </c>
      <c r="B1912" s="539" t="s">
        <v>2214</v>
      </c>
      <c r="C1912" s="505" t="s">
        <v>113</v>
      </c>
      <c r="D1912" s="506">
        <v>130</v>
      </c>
      <c r="E1912" s="506">
        <v>0</v>
      </c>
      <c r="F1912" s="506">
        <v>81</v>
      </c>
      <c r="G1912" s="507">
        <v>0</v>
      </c>
      <c r="H1912" s="503"/>
      <c r="I1912" s="503"/>
      <c r="J1912" s="503"/>
      <c r="K1912" s="503"/>
    </row>
    <row r="1913" spans="1:11" ht="12">
      <c r="A1913" s="504">
        <v>2142137133</v>
      </c>
      <c r="B1913" s="539" t="s">
        <v>2215</v>
      </c>
      <c r="C1913" s="505" t="s">
        <v>113</v>
      </c>
      <c r="D1913" s="506">
        <v>500</v>
      </c>
      <c r="E1913" s="506">
        <v>0</v>
      </c>
      <c r="F1913" s="506">
        <v>601</v>
      </c>
      <c r="G1913" s="507">
        <v>0</v>
      </c>
      <c r="H1913" s="503"/>
      <c r="I1913" s="503"/>
      <c r="J1913" s="503"/>
      <c r="K1913" s="503"/>
    </row>
    <row r="1914" spans="1:11" ht="12">
      <c r="A1914" s="504">
        <v>2142137134</v>
      </c>
      <c r="B1914" s="539" t="s">
        <v>2216</v>
      </c>
      <c r="C1914" s="505" t="s">
        <v>113</v>
      </c>
      <c r="D1914" s="506">
        <v>290</v>
      </c>
      <c r="E1914" s="506">
        <v>0</v>
      </c>
      <c r="F1914" s="506">
        <v>267</v>
      </c>
      <c r="G1914" s="507">
        <v>0</v>
      </c>
      <c r="H1914" s="503"/>
      <c r="I1914" s="503"/>
      <c r="J1914" s="503"/>
      <c r="K1914" s="503"/>
    </row>
    <row r="1915" spans="1:11" ht="12">
      <c r="A1915" s="504">
        <v>2142137135</v>
      </c>
      <c r="B1915" s="539" t="s">
        <v>2217</v>
      </c>
      <c r="C1915" s="505" t="s">
        <v>113</v>
      </c>
      <c r="D1915" s="506">
        <v>2000</v>
      </c>
      <c r="E1915" s="506">
        <v>2000</v>
      </c>
      <c r="F1915" s="506">
        <v>1999</v>
      </c>
      <c r="G1915" s="507">
        <v>1</v>
      </c>
      <c r="H1915" s="503"/>
      <c r="I1915" s="503"/>
      <c r="J1915" s="503"/>
      <c r="K1915" s="503"/>
    </row>
    <row r="1916" spans="1:11" ht="12">
      <c r="A1916" s="504">
        <v>2142137136</v>
      </c>
      <c r="B1916" s="539" t="s">
        <v>2218</v>
      </c>
      <c r="C1916" s="505" t="s">
        <v>113</v>
      </c>
      <c r="D1916" s="506">
        <v>170</v>
      </c>
      <c r="E1916" s="506">
        <v>0</v>
      </c>
      <c r="F1916" s="506">
        <v>219</v>
      </c>
      <c r="G1916" s="507">
        <v>0</v>
      </c>
      <c r="H1916" s="503"/>
      <c r="I1916" s="503"/>
      <c r="J1916" s="503"/>
      <c r="K1916" s="503"/>
    </row>
    <row r="1917" spans="1:11" ht="12">
      <c r="A1917" s="504">
        <v>2142137137</v>
      </c>
      <c r="B1917" s="539" t="s">
        <v>879</v>
      </c>
      <c r="C1917" s="505" t="s">
        <v>113</v>
      </c>
      <c r="D1917" s="506">
        <v>9500</v>
      </c>
      <c r="E1917" s="506">
        <v>9198</v>
      </c>
      <c r="F1917" s="506">
        <v>9195</v>
      </c>
      <c r="G1917" s="507">
        <v>3</v>
      </c>
      <c r="H1917" s="503"/>
      <c r="I1917" s="503"/>
      <c r="J1917" s="503"/>
      <c r="K1917" s="503"/>
    </row>
    <row r="1918" spans="1:11" ht="12">
      <c r="A1918" s="504">
        <v>2142137138</v>
      </c>
      <c r="B1918" s="539" t="s">
        <v>192</v>
      </c>
      <c r="C1918" s="505" t="s">
        <v>146</v>
      </c>
      <c r="D1918" s="506">
        <v>7000</v>
      </c>
      <c r="E1918" s="506">
        <v>6999</v>
      </c>
      <c r="F1918" s="506">
        <v>6998</v>
      </c>
      <c r="G1918" s="507">
        <v>1</v>
      </c>
      <c r="H1918" s="503"/>
      <c r="I1918" s="503"/>
      <c r="J1918" s="503"/>
      <c r="K1918" s="503"/>
    </row>
    <row r="1919" spans="1:11" ht="12">
      <c r="A1919" s="504">
        <v>2142137139</v>
      </c>
      <c r="B1919" s="539" t="s">
        <v>244</v>
      </c>
      <c r="C1919" s="505" t="s">
        <v>146</v>
      </c>
      <c r="D1919" s="506">
        <v>3800</v>
      </c>
      <c r="E1919" s="506">
        <v>4737</v>
      </c>
      <c r="F1919" s="506">
        <v>4736</v>
      </c>
      <c r="G1919" s="507">
        <v>1</v>
      </c>
      <c r="H1919" s="503"/>
      <c r="I1919" s="503"/>
      <c r="J1919" s="503"/>
      <c r="K1919" s="503"/>
    </row>
    <row r="1920" spans="1:11" ht="12">
      <c r="A1920" s="504">
        <v>2142137140</v>
      </c>
      <c r="B1920" s="539" t="s">
        <v>136</v>
      </c>
      <c r="C1920" s="505" t="s">
        <v>146</v>
      </c>
      <c r="D1920" s="506">
        <v>500</v>
      </c>
      <c r="E1920" s="506">
        <v>0</v>
      </c>
      <c r="F1920" s="506">
        <v>0</v>
      </c>
      <c r="G1920" s="507">
        <v>0</v>
      </c>
      <c r="H1920" s="503"/>
      <c r="I1920" s="503"/>
      <c r="J1920" s="503"/>
      <c r="K1920" s="503"/>
    </row>
    <row r="1921" spans="1:11" ht="12">
      <c r="A1921" s="504">
        <v>2142137141</v>
      </c>
      <c r="B1921" s="539" t="s">
        <v>2219</v>
      </c>
      <c r="C1921" s="505" t="s">
        <v>146</v>
      </c>
      <c r="D1921" s="506">
        <v>1150</v>
      </c>
      <c r="E1921" s="506">
        <v>1690</v>
      </c>
      <c r="F1921" s="506">
        <v>1738</v>
      </c>
      <c r="G1921" s="507">
        <v>1</v>
      </c>
      <c r="H1921" s="503"/>
      <c r="I1921" s="503"/>
      <c r="J1921" s="503"/>
      <c r="K1921" s="503"/>
    </row>
    <row r="1922" spans="1:11" ht="12">
      <c r="A1922" s="504">
        <v>2142137142</v>
      </c>
      <c r="B1922" s="539" t="s">
        <v>2220</v>
      </c>
      <c r="C1922" s="505" t="s">
        <v>146</v>
      </c>
      <c r="D1922" s="506">
        <v>5300</v>
      </c>
      <c r="E1922" s="506">
        <v>2</v>
      </c>
      <c r="F1922" s="506">
        <v>2</v>
      </c>
      <c r="G1922" s="507">
        <v>0</v>
      </c>
      <c r="H1922" s="503"/>
      <c r="I1922" s="503"/>
      <c r="J1922" s="503"/>
      <c r="K1922" s="503"/>
    </row>
    <row r="1923" spans="1:11" ht="12">
      <c r="A1923" s="504">
        <v>2142137143</v>
      </c>
      <c r="B1923" s="539" t="s">
        <v>879</v>
      </c>
      <c r="C1923" s="505" t="s">
        <v>146</v>
      </c>
      <c r="D1923" s="506">
        <v>7946</v>
      </c>
      <c r="E1923" s="506">
        <v>7946</v>
      </c>
      <c r="F1923" s="506">
        <v>7983</v>
      </c>
      <c r="G1923" s="507">
        <v>0</v>
      </c>
      <c r="H1923" s="503"/>
      <c r="I1923" s="503"/>
      <c r="J1923" s="503"/>
      <c r="K1923" s="503"/>
    </row>
    <row r="1924" spans="1:11" ht="12">
      <c r="A1924" s="504">
        <v>2142137144</v>
      </c>
      <c r="B1924" s="539" t="s">
        <v>2221</v>
      </c>
      <c r="C1924" s="505" t="s">
        <v>747</v>
      </c>
      <c r="D1924" s="506">
        <v>7050</v>
      </c>
      <c r="E1924" s="506">
        <v>7118</v>
      </c>
      <c r="F1924" s="506">
        <v>7117</v>
      </c>
      <c r="G1924" s="507">
        <v>0</v>
      </c>
      <c r="H1924" s="503"/>
      <c r="I1924" s="503"/>
      <c r="J1924" s="503"/>
      <c r="K1924" s="503"/>
    </row>
    <row r="1925" spans="1:11" ht="12">
      <c r="A1925" s="504">
        <v>2142137145</v>
      </c>
      <c r="B1925" s="539" t="s">
        <v>2222</v>
      </c>
      <c r="C1925" s="505" t="s">
        <v>747</v>
      </c>
      <c r="D1925" s="506">
        <v>6900</v>
      </c>
      <c r="E1925" s="506">
        <v>6889</v>
      </c>
      <c r="F1925" s="506">
        <v>6888</v>
      </c>
      <c r="G1925" s="507">
        <v>0</v>
      </c>
      <c r="H1925" s="503"/>
      <c r="I1925" s="503"/>
      <c r="J1925" s="503"/>
      <c r="K1925" s="503"/>
    </row>
    <row r="1926" spans="1:11" ht="12">
      <c r="A1926" s="504">
        <v>2142137146</v>
      </c>
      <c r="B1926" s="539" t="s">
        <v>2223</v>
      </c>
      <c r="C1926" s="505" t="s">
        <v>747</v>
      </c>
      <c r="D1926" s="506">
        <v>1000</v>
      </c>
      <c r="E1926" s="506">
        <v>1000</v>
      </c>
      <c r="F1926" s="506">
        <v>1000</v>
      </c>
      <c r="G1926" s="507">
        <v>0</v>
      </c>
      <c r="H1926" s="503"/>
      <c r="I1926" s="503"/>
      <c r="J1926" s="503"/>
      <c r="K1926" s="503"/>
    </row>
    <row r="1927" spans="1:11" ht="12">
      <c r="A1927" s="504">
        <v>2142137147</v>
      </c>
      <c r="B1927" s="539" t="s">
        <v>2224</v>
      </c>
      <c r="C1927" s="505" t="s">
        <v>747</v>
      </c>
      <c r="D1927" s="506">
        <v>1165</v>
      </c>
      <c r="E1927" s="506">
        <v>849</v>
      </c>
      <c r="F1927" s="506">
        <v>848</v>
      </c>
      <c r="G1927" s="507">
        <v>0</v>
      </c>
      <c r="H1927" s="503"/>
      <c r="I1927" s="503"/>
      <c r="J1927" s="503"/>
      <c r="K1927" s="503"/>
    </row>
    <row r="1928" spans="1:11" ht="12">
      <c r="A1928" s="504">
        <v>2142137148</v>
      </c>
      <c r="B1928" s="539" t="s">
        <v>2225</v>
      </c>
      <c r="C1928" s="505" t="s">
        <v>747</v>
      </c>
      <c r="D1928" s="506">
        <v>790</v>
      </c>
      <c r="E1928" s="506">
        <v>790</v>
      </c>
      <c r="F1928" s="506">
        <v>790</v>
      </c>
      <c r="G1928" s="507">
        <v>0</v>
      </c>
      <c r="H1928" s="503"/>
      <c r="I1928" s="503"/>
      <c r="J1928" s="503"/>
      <c r="K1928" s="503"/>
    </row>
    <row r="1929" spans="1:11" ht="12">
      <c r="A1929" s="504">
        <v>2142137149</v>
      </c>
      <c r="B1929" s="539" t="s">
        <v>2226</v>
      </c>
      <c r="C1929" s="505" t="s">
        <v>747</v>
      </c>
      <c r="D1929" s="506">
        <v>1900</v>
      </c>
      <c r="E1929" s="506">
        <v>1892</v>
      </c>
      <c r="F1929" s="506">
        <v>1892</v>
      </c>
      <c r="G1929" s="507">
        <v>0</v>
      </c>
      <c r="H1929" s="503"/>
      <c r="I1929" s="503"/>
      <c r="J1929" s="503"/>
      <c r="K1929" s="503"/>
    </row>
    <row r="1930" spans="1:11" ht="12">
      <c r="A1930" s="504">
        <v>2142137150</v>
      </c>
      <c r="B1930" s="539" t="s">
        <v>2227</v>
      </c>
      <c r="C1930" s="505" t="s">
        <v>747</v>
      </c>
      <c r="D1930" s="506">
        <v>275</v>
      </c>
      <c r="E1930" s="506">
        <v>275</v>
      </c>
      <c r="F1930" s="506">
        <v>275</v>
      </c>
      <c r="G1930" s="507">
        <v>0</v>
      </c>
      <c r="H1930" s="503"/>
      <c r="I1930" s="503"/>
      <c r="J1930" s="503"/>
      <c r="K1930" s="503"/>
    </row>
    <row r="1931" spans="1:11" ht="12">
      <c r="A1931" s="504">
        <v>2142137151</v>
      </c>
      <c r="B1931" s="539" t="s">
        <v>1726</v>
      </c>
      <c r="C1931" s="505" t="s">
        <v>747</v>
      </c>
      <c r="D1931" s="506">
        <v>13800</v>
      </c>
      <c r="E1931" s="506">
        <v>13790</v>
      </c>
      <c r="F1931" s="506">
        <v>13790</v>
      </c>
      <c r="G1931" s="507">
        <v>0</v>
      </c>
      <c r="H1931" s="503"/>
      <c r="I1931" s="503"/>
      <c r="J1931" s="503"/>
      <c r="K1931" s="503"/>
    </row>
    <row r="1932" spans="1:11" ht="12">
      <c r="A1932" s="504">
        <v>2142137152</v>
      </c>
      <c r="B1932" s="539" t="s">
        <v>879</v>
      </c>
      <c r="C1932" s="505" t="s">
        <v>747</v>
      </c>
      <c r="D1932" s="506">
        <v>9550</v>
      </c>
      <c r="E1932" s="506">
        <v>8638</v>
      </c>
      <c r="F1932" s="506">
        <v>8638</v>
      </c>
      <c r="G1932" s="507">
        <v>0</v>
      </c>
      <c r="H1932" s="503"/>
      <c r="I1932" s="503"/>
      <c r="J1932" s="503"/>
      <c r="K1932" s="503"/>
    </row>
    <row r="1933" spans="1:11" ht="12">
      <c r="A1933" s="504">
        <v>2142137153</v>
      </c>
      <c r="B1933" s="539" t="s">
        <v>192</v>
      </c>
      <c r="C1933" s="505" t="s">
        <v>156</v>
      </c>
      <c r="D1933" s="506">
        <v>6290</v>
      </c>
      <c r="E1933" s="506">
        <v>6157</v>
      </c>
      <c r="F1933" s="506">
        <v>6157</v>
      </c>
      <c r="G1933" s="507">
        <v>0</v>
      </c>
      <c r="H1933" s="503"/>
      <c r="I1933" s="503"/>
      <c r="J1933" s="503"/>
      <c r="K1933" s="503"/>
    </row>
    <row r="1934" spans="1:11" ht="12">
      <c r="A1934" s="504">
        <v>2142137154</v>
      </c>
      <c r="B1934" s="539" t="s">
        <v>1776</v>
      </c>
      <c r="C1934" s="505" t="s">
        <v>156</v>
      </c>
      <c r="D1934" s="506">
        <v>3400</v>
      </c>
      <c r="E1934" s="506">
        <v>4453</v>
      </c>
      <c r="F1934" s="506">
        <v>4452</v>
      </c>
      <c r="G1934" s="507">
        <v>1</v>
      </c>
      <c r="H1934" s="503"/>
      <c r="I1934" s="503"/>
      <c r="J1934" s="503"/>
      <c r="K1934" s="503"/>
    </row>
    <row r="1935" spans="1:11" ht="12">
      <c r="A1935" s="504">
        <v>2142137155</v>
      </c>
      <c r="B1935" s="539" t="s">
        <v>2228</v>
      </c>
      <c r="C1935" s="505" t="s">
        <v>156</v>
      </c>
      <c r="D1935" s="506">
        <v>1100</v>
      </c>
      <c r="E1935" s="506">
        <v>729</v>
      </c>
      <c r="F1935" s="506">
        <v>729</v>
      </c>
      <c r="G1935" s="507">
        <v>0</v>
      </c>
      <c r="H1935" s="503"/>
      <c r="I1935" s="503"/>
      <c r="J1935" s="503"/>
      <c r="K1935" s="503"/>
    </row>
    <row r="1936" spans="1:11" ht="12">
      <c r="A1936" s="504">
        <v>2142137156</v>
      </c>
      <c r="B1936" s="539" t="s">
        <v>2229</v>
      </c>
      <c r="C1936" s="505" t="s">
        <v>156</v>
      </c>
      <c r="D1936" s="506">
        <v>600</v>
      </c>
      <c r="E1936" s="506">
        <v>591</v>
      </c>
      <c r="F1936" s="506">
        <v>591</v>
      </c>
      <c r="G1936" s="507">
        <v>0</v>
      </c>
      <c r="H1936" s="503"/>
      <c r="I1936" s="503"/>
      <c r="J1936" s="503"/>
      <c r="K1936" s="503"/>
    </row>
    <row r="1937" spans="1:11" ht="12">
      <c r="A1937" s="504">
        <v>2142137157</v>
      </c>
      <c r="B1937" s="539" t="s">
        <v>2283</v>
      </c>
      <c r="C1937" s="505" t="s">
        <v>156</v>
      </c>
      <c r="D1937" s="506">
        <v>370</v>
      </c>
      <c r="E1937" s="506">
        <v>0</v>
      </c>
      <c r="F1937" s="506">
        <v>359</v>
      </c>
      <c r="G1937" s="507">
        <v>0</v>
      </c>
      <c r="H1937" s="503"/>
      <c r="I1937" s="503"/>
      <c r="J1937" s="503"/>
      <c r="K1937" s="503"/>
    </row>
    <row r="1938" spans="1:11" ht="12">
      <c r="A1938" s="504">
        <v>2142137158</v>
      </c>
      <c r="B1938" s="539" t="s">
        <v>2230</v>
      </c>
      <c r="C1938" s="505" t="s">
        <v>156</v>
      </c>
      <c r="D1938" s="506">
        <v>13800</v>
      </c>
      <c r="E1938" s="506">
        <v>13088</v>
      </c>
      <c r="F1938" s="506">
        <v>13087</v>
      </c>
      <c r="G1938" s="507">
        <v>1</v>
      </c>
      <c r="H1938" s="503"/>
      <c r="I1938" s="503"/>
      <c r="J1938" s="503"/>
      <c r="K1938" s="503"/>
    </row>
    <row r="1939" spans="1:11" ht="12">
      <c r="A1939" s="504">
        <v>2142137159</v>
      </c>
      <c r="B1939" s="539" t="s">
        <v>879</v>
      </c>
      <c r="C1939" s="505" t="s">
        <v>156</v>
      </c>
      <c r="D1939" s="506">
        <v>3675</v>
      </c>
      <c r="E1939" s="506">
        <v>7264</v>
      </c>
      <c r="F1939" s="506">
        <v>7262</v>
      </c>
      <c r="G1939" s="507">
        <v>2</v>
      </c>
      <c r="H1939" s="503"/>
      <c r="I1939" s="503"/>
      <c r="J1939" s="503"/>
      <c r="K1939" s="503"/>
    </row>
    <row r="1940" spans="1:11" ht="12">
      <c r="A1940" s="504">
        <v>2142137160</v>
      </c>
      <c r="B1940" s="539" t="s">
        <v>2283</v>
      </c>
      <c r="C1940" s="505" t="s">
        <v>1483</v>
      </c>
      <c r="D1940" s="506">
        <v>600</v>
      </c>
      <c r="E1940" s="506">
        <v>592</v>
      </c>
      <c r="F1940" s="506">
        <v>591</v>
      </c>
      <c r="G1940" s="507">
        <v>1</v>
      </c>
      <c r="H1940" s="503"/>
      <c r="I1940" s="503"/>
      <c r="J1940" s="503"/>
      <c r="K1940" s="503"/>
    </row>
    <row r="1941" spans="1:11" ht="12">
      <c r="A1941" s="504">
        <v>2142137161</v>
      </c>
      <c r="B1941" s="539" t="s">
        <v>2231</v>
      </c>
      <c r="C1941" s="505" t="s">
        <v>1483</v>
      </c>
      <c r="D1941" s="506">
        <v>300</v>
      </c>
      <c r="E1941" s="506">
        <v>308</v>
      </c>
      <c r="F1941" s="506">
        <v>308</v>
      </c>
      <c r="G1941" s="507">
        <v>0</v>
      </c>
      <c r="H1941" s="503"/>
      <c r="I1941" s="503"/>
      <c r="J1941" s="503"/>
      <c r="K1941" s="503"/>
    </row>
    <row r="1942" spans="1:11" ht="12">
      <c r="A1942" s="504">
        <v>2142137162</v>
      </c>
      <c r="B1942" s="539" t="s">
        <v>2232</v>
      </c>
      <c r="C1942" s="505" t="s">
        <v>1483</v>
      </c>
      <c r="D1942" s="506">
        <v>500</v>
      </c>
      <c r="E1942" s="506">
        <v>500</v>
      </c>
      <c r="F1942" s="506">
        <v>490</v>
      </c>
      <c r="G1942" s="507">
        <v>10</v>
      </c>
      <c r="H1942" s="503"/>
      <c r="I1942" s="503"/>
      <c r="J1942" s="503"/>
      <c r="K1942" s="503"/>
    </row>
    <row r="1943" spans="1:11" ht="12">
      <c r="A1943" s="504">
        <v>2142137163</v>
      </c>
      <c r="B1943" s="539" t="s">
        <v>2233</v>
      </c>
      <c r="C1943" s="505" t="s">
        <v>1483</v>
      </c>
      <c r="D1943" s="506">
        <v>100</v>
      </c>
      <c r="E1943" s="506">
        <v>0</v>
      </c>
      <c r="F1943" s="506">
        <v>0</v>
      </c>
      <c r="G1943" s="507">
        <v>0</v>
      </c>
      <c r="H1943" s="503"/>
      <c r="I1943" s="503"/>
      <c r="J1943" s="503"/>
      <c r="K1943" s="503"/>
    </row>
    <row r="1944" spans="1:11" ht="12">
      <c r="A1944" s="504">
        <v>2142137164</v>
      </c>
      <c r="B1944" s="539" t="s">
        <v>879</v>
      </c>
      <c r="C1944" s="505" t="s">
        <v>1483</v>
      </c>
      <c r="D1944" s="506">
        <v>240</v>
      </c>
      <c r="E1944" s="506">
        <v>240</v>
      </c>
      <c r="F1944" s="506">
        <v>240</v>
      </c>
      <c r="G1944" s="507">
        <v>0</v>
      </c>
      <c r="H1944" s="503"/>
      <c r="I1944" s="503"/>
      <c r="J1944" s="503"/>
      <c r="K1944" s="503"/>
    </row>
    <row r="1945" spans="1:11" ht="12">
      <c r="A1945" s="504">
        <v>2142137165</v>
      </c>
      <c r="B1945" s="539" t="s">
        <v>2234</v>
      </c>
      <c r="C1945" s="505" t="s">
        <v>111</v>
      </c>
      <c r="D1945" s="506">
        <v>0</v>
      </c>
      <c r="E1945" s="506">
        <v>80</v>
      </c>
      <c r="F1945" s="506">
        <v>80</v>
      </c>
      <c r="G1945" s="507">
        <v>0</v>
      </c>
      <c r="H1945" s="503"/>
      <c r="I1945" s="503"/>
      <c r="J1945" s="503"/>
      <c r="K1945" s="503"/>
    </row>
    <row r="1946" spans="1:11" ht="12">
      <c r="A1946" s="504">
        <v>2142137166</v>
      </c>
      <c r="B1946" s="539" t="s">
        <v>2235</v>
      </c>
      <c r="C1946" s="505" t="s">
        <v>150</v>
      </c>
      <c r="D1946" s="506">
        <v>0</v>
      </c>
      <c r="E1946" s="506">
        <v>1646</v>
      </c>
      <c r="F1946" s="506">
        <v>1646</v>
      </c>
      <c r="G1946" s="507">
        <v>0</v>
      </c>
      <c r="H1946" s="503"/>
      <c r="I1946" s="503"/>
      <c r="J1946" s="503"/>
      <c r="K1946" s="503"/>
    </row>
    <row r="1947" spans="1:11" ht="12">
      <c r="A1947" s="504">
        <v>2142137167</v>
      </c>
      <c r="B1947" s="539" t="s">
        <v>2234</v>
      </c>
      <c r="C1947" s="505" t="s">
        <v>745</v>
      </c>
      <c r="D1947" s="506">
        <v>0</v>
      </c>
      <c r="E1947" s="506">
        <v>93</v>
      </c>
      <c r="F1947" s="506">
        <v>93</v>
      </c>
      <c r="G1947" s="507">
        <v>0</v>
      </c>
      <c r="H1947" s="503"/>
      <c r="I1947" s="503"/>
      <c r="J1947" s="503"/>
      <c r="K1947" s="503"/>
    </row>
    <row r="1948" spans="1:11" ht="12">
      <c r="A1948" s="504">
        <v>2142137168</v>
      </c>
      <c r="B1948" s="539" t="s">
        <v>2235</v>
      </c>
      <c r="C1948" s="505" t="s">
        <v>148</v>
      </c>
      <c r="D1948" s="506">
        <v>0</v>
      </c>
      <c r="E1948" s="506">
        <v>120</v>
      </c>
      <c r="F1948" s="506">
        <v>104</v>
      </c>
      <c r="G1948" s="507">
        <v>16</v>
      </c>
      <c r="H1948" s="503"/>
      <c r="I1948" s="503"/>
      <c r="J1948" s="503"/>
      <c r="K1948" s="503"/>
    </row>
    <row r="1949" spans="1:11" ht="12">
      <c r="A1949" s="504">
        <v>2142137169</v>
      </c>
      <c r="B1949" s="539" t="s">
        <v>2234</v>
      </c>
      <c r="C1949" s="505" t="s">
        <v>148</v>
      </c>
      <c r="D1949" s="506">
        <v>0</v>
      </c>
      <c r="E1949" s="506">
        <v>146</v>
      </c>
      <c r="F1949" s="506">
        <v>146</v>
      </c>
      <c r="G1949" s="507">
        <v>0</v>
      </c>
      <c r="H1949" s="503"/>
      <c r="I1949" s="503"/>
      <c r="J1949" s="503"/>
      <c r="K1949" s="503"/>
    </row>
    <row r="1950" spans="1:11" ht="12">
      <c r="A1950" s="504">
        <v>2142137170</v>
      </c>
      <c r="B1950" s="539" t="s">
        <v>2234</v>
      </c>
      <c r="C1950" s="505" t="s">
        <v>117</v>
      </c>
      <c r="D1950" s="506">
        <v>0</v>
      </c>
      <c r="E1950" s="506">
        <v>9</v>
      </c>
      <c r="F1950" s="506">
        <v>8</v>
      </c>
      <c r="G1950" s="507">
        <v>1</v>
      </c>
      <c r="H1950" s="503"/>
      <c r="I1950" s="503"/>
      <c r="J1950" s="503"/>
      <c r="K1950" s="503"/>
    </row>
    <row r="1951" spans="1:11" ht="12">
      <c r="A1951" s="504">
        <v>2142137171</v>
      </c>
      <c r="B1951" s="539" t="s">
        <v>2236</v>
      </c>
      <c r="C1951" s="505" t="s">
        <v>745</v>
      </c>
      <c r="D1951" s="506">
        <v>0</v>
      </c>
      <c r="E1951" s="506">
        <v>0</v>
      </c>
      <c r="F1951" s="506">
        <v>446</v>
      </c>
      <c r="G1951" s="507">
        <v>0</v>
      </c>
      <c r="H1951" s="503"/>
      <c r="I1951" s="503"/>
      <c r="J1951" s="503"/>
      <c r="K1951" s="503"/>
    </row>
    <row r="1952" spans="1:11" ht="12">
      <c r="A1952" s="504">
        <v>2142137172</v>
      </c>
      <c r="B1952" s="539" t="s">
        <v>2228</v>
      </c>
      <c r="C1952" s="505" t="s">
        <v>109</v>
      </c>
      <c r="D1952" s="506">
        <v>0</v>
      </c>
      <c r="E1952" s="506">
        <v>1000</v>
      </c>
      <c r="F1952" s="506">
        <v>998</v>
      </c>
      <c r="G1952" s="507">
        <v>2</v>
      </c>
      <c r="H1952" s="503"/>
      <c r="I1952" s="503"/>
      <c r="J1952" s="503"/>
      <c r="K1952" s="503"/>
    </row>
    <row r="1953" spans="1:11" ht="12">
      <c r="A1953" s="504">
        <v>2142137173</v>
      </c>
      <c r="B1953" s="539" t="s">
        <v>2237</v>
      </c>
      <c r="C1953" s="505" t="s">
        <v>109</v>
      </c>
      <c r="D1953" s="506">
        <v>0</v>
      </c>
      <c r="E1953" s="506">
        <v>80</v>
      </c>
      <c r="F1953" s="506">
        <v>80</v>
      </c>
      <c r="G1953" s="507">
        <v>0</v>
      </c>
      <c r="H1953" s="503"/>
      <c r="I1953" s="503"/>
      <c r="J1953" s="503"/>
      <c r="K1953" s="503"/>
    </row>
    <row r="1954" spans="1:11" ht="12">
      <c r="A1954" s="504">
        <v>2142137174</v>
      </c>
      <c r="B1954" s="539" t="s">
        <v>2238</v>
      </c>
      <c r="C1954" s="505" t="s">
        <v>109</v>
      </c>
      <c r="D1954" s="506">
        <v>0</v>
      </c>
      <c r="E1954" s="506">
        <v>1167</v>
      </c>
      <c r="F1954" s="506">
        <v>1140</v>
      </c>
      <c r="G1954" s="507">
        <v>27</v>
      </c>
      <c r="H1954" s="503"/>
      <c r="I1954" s="503"/>
      <c r="J1954" s="503"/>
      <c r="K1954" s="503"/>
    </row>
    <row r="1955" spans="1:11" ht="12">
      <c r="A1955" s="504">
        <v>2142137175</v>
      </c>
      <c r="B1955" s="539" t="s">
        <v>2239</v>
      </c>
      <c r="C1955" s="505" t="s">
        <v>119</v>
      </c>
      <c r="D1955" s="506">
        <v>0</v>
      </c>
      <c r="E1955" s="506">
        <v>0</v>
      </c>
      <c r="F1955" s="506">
        <v>31</v>
      </c>
      <c r="G1955" s="507">
        <v>0</v>
      </c>
      <c r="H1955" s="503"/>
      <c r="I1955" s="503"/>
      <c r="J1955" s="503"/>
      <c r="K1955" s="503"/>
    </row>
    <row r="1956" spans="1:11" ht="12">
      <c r="A1956" s="504">
        <v>2142137176</v>
      </c>
      <c r="B1956" s="539" t="s">
        <v>2240</v>
      </c>
      <c r="C1956" s="505" t="s">
        <v>156</v>
      </c>
      <c r="D1956" s="506">
        <v>0</v>
      </c>
      <c r="E1956" s="506">
        <v>475</v>
      </c>
      <c r="F1956" s="506">
        <v>475</v>
      </c>
      <c r="G1956" s="507">
        <v>0</v>
      </c>
      <c r="H1956" s="503"/>
      <c r="I1956" s="503"/>
      <c r="J1956" s="503"/>
      <c r="K1956" s="503"/>
    </row>
    <row r="1957" spans="1:11" ht="12">
      <c r="A1957" s="504">
        <v>2142137177</v>
      </c>
      <c r="B1957" s="539" t="s">
        <v>2241</v>
      </c>
      <c r="C1957" s="505" t="s">
        <v>146</v>
      </c>
      <c r="D1957" s="506">
        <v>0</v>
      </c>
      <c r="E1957" s="506">
        <v>0</v>
      </c>
      <c r="F1957" s="506">
        <v>1547</v>
      </c>
      <c r="G1957" s="507">
        <v>0</v>
      </c>
      <c r="H1957" s="503"/>
      <c r="I1957" s="503"/>
      <c r="J1957" s="503"/>
      <c r="K1957" s="503"/>
    </row>
    <row r="1958" spans="1:11" ht="12">
      <c r="A1958" s="504">
        <v>2142137178</v>
      </c>
      <c r="B1958" s="539" t="s">
        <v>2242</v>
      </c>
      <c r="C1958" s="505" t="s">
        <v>115</v>
      </c>
      <c r="D1958" s="506">
        <v>0</v>
      </c>
      <c r="E1958" s="506">
        <v>0</v>
      </c>
      <c r="F1958" s="506">
        <v>1251</v>
      </c>
      <c r="G1958" s="507">
        <v>0</v>
      </c>
      <c r="H1958" s="503"/>
      <c r="I1958" s="503"/>
      <c r="J1958" s="503"/>
      <c r="K1958" s="503"/>
    </row>
    <row r="1959" spans="1:11" ht="12">
      <c r="A1959" s="504">
        <v>2142137179</v>
      </c>
      <c r="B1959" s="539" t="s">
        <v>2243</v>
      </c>
      <c r="C1959" s="505" t="s">
        <v>152</v>
      </c>
      <c r="D1959" s="506">
        <v>0</v>
      </c>
      <c r="E1959" s="506">
        <v>7436</v>
      </c>
      <c r="F1959" s="506">
        <v>7436</v>
      </c>
      <c r="G1959" s="507">
        <v>0</v>
      </c>
      <c r="H1959" s="503"/>
      <c r="I1959" s="503"/>
      <c r="J1959" s="503"/>
      <c r="K1959" s="503"/>
    </row>
    <row r="1960" spans="1:11" ht="12">
      <c r="A1960" s="504">
        <v>2142137180</v>
      </c>
      <c r="B1960" s="539" t="s">
        <v>2244</v>
      </c>
      <c r="C1960" s="505" t="s">
        <v>115</v>
      </c>
      <c r="D1960" s="506">
        <v>0</v>
      </c>
      <c r="E1960" s="506">
        <v>353</v>
      </c>
      <c r="F1960" s="506">
        <v>2952</v>
      </c>
      <c r="G1960" s="507">
        <v>1</v>
      </c>
      <c r="H1960" s="503"/>
      <c r="I1960" s="503"/>
      <c r="J1960" s="503"/>
      <c r="K1960" s="503"/>
    </row>
    <row r="1961" spans="1:11" ht="12">
      <c r="A1961" s="504">
        <v>2142137181</v>
      </c>
      <c r="B1961" s="539" t="s">
        <v>2245</v>
      </c>
      <c r="C1961" s="505" t="s">
        <v>148</v>
      </c>
      <c r="D1961" s="506">
        <v>0</v>
      </c>
      <c r="E1961" s="506">
        <v>0</v>
      </c>
      <c r="F1961" s="506">
        <v>153</v>
      </c>
      <c r="G1961" s="507">
        <v>0</v>
      </c>
      <c r="H1961" s="503"/>
      <c r="I1961" s="503"/>
      <c r="J1961" s="503"/>
      <c r="K1961" s="503"/>
    </row>
    <row r="1962" spans="1:11" ht="12">
      <c r="A1962" s="504">
        <v>2142137182</v>
      </c>
      <c r="B1962" s="539" t="s">
        <v>2246</v>
      </c>
      <c r="C1962" s="505" t="s">
        <v>148</v>
      </c>
      <c r="D1962" s="506">
        <v>0</v>
      </c>
      <c r="E1962" s="506">
        <v>0</v>
      </c>
      <c r="F1962" s="506">
        <v>459</v>
      </c>
      <c r="G1962" s="507">
        <v>0</v>
      </c>
      <c r="H1962" s="503"/>
      <c r="I1962" s="503"/>
      <c r="J1962" s="503"/>
      <c r="K1962" s="503"/>
    </row>
    <row r="1963" spans="1:11" ht="12">
      <c r="A1963" s="504">
        <v>2142137183</v>
      </c>
      <c r="B1963" s="539" t="s">
        <v>2247</v>
      </c>
      <c r="C1963" s="505" t="s">
        <v>148</v>
      </c>
      <c r="D1963" s="506">
        <v>0</v>
      </c>
      <c r="E1963" s="506">
        <v>0</v>
      </c>
      <c r="F1963" s="506">
        <v>164</v>
      </c>
      <c r="G1963" s="507">
        <v>0</v>
      </c>
      <c r="H1963" s="503"/>
      <c r="I1963" s="503"/>
      <c r="J1963" s="503"/>
      <c r="K1963" s="503"/>
    </row>
    <row r="1964" spans="1:11" ht="12">
      <c r="A1964" s="504">
        <v>2142137184</v>
      </c>
      <c r="B1964" s="539" t="s">
        <v>2248</v>
      </c>
      <c r="C1964" s="505" t="s">
        <v>148</v>
      </c>
      <c r="D1964" s="506">
        <v>0</v>
      </c>
      <c r="E1964" s="506">
        <v>0</v>
      </c>
      <c r="F1964" s="506">
        <v>198</v>
      </c>
      <c r="G1964" s="507">
        <v>0</v>
      </c>
      <c r="H1964" s="503"/>
      <c r="I1964" s="503"/>
      <c r="J1964" s="503"/>
      <c r="K1964" s="503"/>
    </row>
    <row r="1965" spans="1:11" ht="12">
      <c r="A1965" s="504">
        <v>2142137185</v>
      </c>
      <c r="B1965" s="539" t="s">
        <v>2249</v>
      </c>
      <c r="C1965" s="505" t="s">
        <v>148</v>
      </c>
      <c r="D1965" s="506">
        <v>0</v>
      </c>
      <c r="E1965" s="506">
        <v>0</v>
      </c>
      <c r="F1965" s="506">
        <v>62</v>
      </c>
      <c r="G1965" s="507">
        <v>0</v>
      </c>
      <c r="H1965" s="503"/>
      <c r="I1965" s="503"/>
      <c r="J1965" s="503"/>
      <c r="K1965" s="503"/>
    </row>
    <row r="1966" spans="1:11" ht="12">
      <c r="A1966" s="504">
        <v>2142137185</v>
      </c>
      <c r="B1966" s="539" t="s">
        <v>2249</v>
      </c>
      <c r="C1966" s="505" t="s">
        <v>148</v>
      </c>
      <c r="D1966" s="506">
        <v>0</v>
      </c>
      <c r="E1966" s="506">
        <v>0</v>
      </c>
      <c r="F1966" s="506">
        <v>390</v>
      </c>
      <c r="G1966" s="507">
        <v>0</v>
      </c>
      <c r="H1966" s="503"/>
      <c r="I1966" s="503"/>
      <c r="J1966" s="503"/>
      <c r="K1966" s="503"/>
    </row>
    <row r="1967" spans="1:11" ht="12">
      <c r="A1967" s="504">
        <v>2142137186</v>
      </c>
      <c r="B1967" s="539" t="s">
        <v>2239</v>
      </c>
      <c r="C1967" s="505" t="s">
        <v>111</v>
      </c>
      <c r="D1967" s="506">
        <v>0</v>
      </c>
      <c r="E1967" s="506">
        <v>0</v>
      </c>
      <c r="F1967" s="506">
        <v>11</v>
      </c>
      <c r="G1967" s="507">
        <v>0</v>
      </c>
      <c r="H1967" s="503"/>
      <c r="I1967" s="503"/>
      <c r="J1967" s="503"/>
      <c r="K1967" s="503"/>
    </row>
    <row r="1968" spans="1:11" ht="12">
      <c r="A1968" s="504">
        <v>2142137187</v>
      </c>
      <c r="B1968" s="539" t="s">
        <v>2250</v>
      </c>
      <c r="C1968" s="505" t="s">
        <v>117</v>
      </c>
      <c r="D1968" s="506">
        <v>0</v>
      </c>
      <c r="E1968" s="506">
        <v>0</v>
      </c>
      <c r="F1968" s="506">
        <v>498</v>
      </c>
      <c r="G1968" s="507">
        <v>0</v>
      </c>
      <c r="H1968" s="503"/>
      <c r="I1968" s="503"/>
      <c r="J1968" s="503"/>
      <c r="K1968" s="503"/>
    </row>
    <row r="1969" spans="1:11" ht="12">
      <c r="A1969" s="504">
        <v>2142137188</v>
      </c>
      <c r="B1969" s="539" t="s">
        <v>1857</v>
      </c>
      <c r="C1969" s="505" t="s">
        <v>117</v>
      </c>
      <c r="D1969" s="506">
        <v>0</v>
      </c>
      <c r="E1969" s="506">
        <v>0</v>
      </c>
      <c r="F1969" s="506">
        <v>636</v>
      </c>
      <c r="G1969" s="507">
        <v>0</v>
      </c>
      <c r="H1969" s="503"/>
      <c r="I1969" s="503"/>
      <c r="J1969" s="503"/>
      <c r="K1969" s="503"/>
    </row>
    <row r="1970" spans="1:11" ht="12">
      <c r="A1970" s="504">
        <v>2142137189</v>
      </c>
      <c r="B1970" s="539" t="s">
        <v>1858</v>
      </c>
      <c r="C1970" s="505" t="s">
        <v>117</v>
      </c>
      <c r="D1970" s="506">
        <v>0</v>
      </c>
      <c r="E1970" s="506">
        <v>0</v>
      </c>
      <c r="F1970" s="506">
        <v>270</v>
      </c>
      <c r="G1970" s="507">
        <v>0</v>
      </c>
      <c r="H1970" s="503"/>
      <c r="I1970" s="503"/>
      <c r="J1970" s="503"/>
      <c r="K1970" s="503"/>
    </row>
    <row r="1971" spans="1:11" ht="12">
      <c r="A1971" s="504">
        <v>2142137190</v>
      </c>
      <c r="B1971" s="539" t="s">
        <v>1859</v>
      </c>
      <c r="C1971" s="505" t="s">
        <v>150</v>
      </c>
      <c r="D1971" s="506">
        <v>0</v>
      </c>
      <c r="E1971" s="506">
        <v>3989</v>
      </c>
      <c r="F1971" s="506">
        <v>3989</v>
      </c>
      <c r="G1971" s="507">
        <v>0</v>
      </c>
      <c r="H1971" s="503"/>
      <c r="I1971" s="503"/>
      <c r="J1971" s="503"/>
      <c r="K1971" s="503"/>
    </row>
    <row r="1972" spans="1:11" ht="12">
      <c r="A1972" s="504">
        <v>2142137191</v>
      </c>
      <c r="B1972" s="539" t="s">
        <v>1860</v>
      </c>
      <c r="C1972" s="505" t="s">
        <v>156</v>
      </c>
      <c r="D1972" s="506">
        <v>0</v>
      </c>
      <c r="E1972" s="506">
        <v>3988</v>
      </c>
      <c r="F1972" s="506">
        <v>3987</v>
      </c>
      <c r="G1972" s="507">
        <v>1</v>
      </c>
      <c r="H1972" s="503"/>
      <c r="I1972" s="503"/>
      <c r="J1972" s="503"/>
      <c r="K1972" s="503"/>
    </row>
    <row r="1973" spans="1:11" ht="12">
      <c r="A1973" s="504">
        <v>2142137192</v>
      </c>
      <c r="B1973" s="539" t="s">
        <v>1861</v>
      </c>
      <c r="C1973" s="505" t="s">
        <v>119</v>
      </c>
      <c r="D1973" s="506">
        <v>0</v>
      </c>
      <c r="E1973" s="506">
        <v>676</v>
      </c>
      <c r="F1973" s="506">
        <v>675</v>
      </c>
      <c r="G1973" s="507">
        <v>1</v>
      </c>
      <c r="H1973" s="503"/>
      <c r="I1973" s="503"/>
      <c r="J1973" s="503"/>
      <c r="K1973" s="503"/>
    </row>
    <row r="1974" spans="1:11" ht="12">
      <c r="A1974" s="504">
        <v>2142137193</v>
      </c>
      <c r="B1974" s="539" t="s">
        <v>1862</v>
      </c>
      <c r="C1974" s="505" t="s">
        <v>117</v>
      </c>
      <c r="D1974" s="506">
        <v>0</v>
      </c>
      <c r="E1974" s="506">
        <v>325</v>
      </c>
      <c r="F1974" s="506">
        <v>325</v>
      </c>
      <c r="G1974" s="507">
        <v>0</v>
      </c>
      <c r="H1974" s="503"/>
      <c r="I1974" s="503"/>
      <c r="J1974" s="503"/>
      <c r="K1974" s="503"/>
    </row>
    <row r="1975" spans="1:11" ht="12">
      <c r="A1975" s="504">
        <v>2142137194</v>
      </c>
      <c r="B1975" s="539" t="s">
        <v>1863</v>
      </c>
      <c r="C1975" s="505" t="s">
        <v>154</v>
      </c>
      <c r="D1975" s="506">
        <v>0</v>
      </c>
      <c r="E1975" s="506">
        <v>61</v>
      </c>
      <c r="F1975" s="506">
        <v>61</v>
      </c>
      <c r="G1975" s="507">
        <v>0</v>
      </c>
      <c r="H1975" s="503"/>
      <c r="I1975" s="503"/>
      <c r="J1975" s="503"/>
      <c r="K1975" s="503"/>
    </row>
    <row r="1976" spans="1:11" ht="12">
      <c r="A1976" s="504">
        <v>2142137195</v>
      </c>
      <c r="B1976" s="539" t="s">
        <v>1864</v>
      </c>
      <c r="C1976" s="505" t="s">
        <v>150</v>
      </c>
      <c r="D1976" s="506">
        <v>0</v>
      </c>
      <c r="E1976" s="506">
        <v>399</v>
      </c>
      <c r="F1976" s="506">
        <v>4398</v>
      </c>
      <c r="G1976" s="507">
        <v>1</v>
      </c>
      <c r="H1976" s="503"/>
      <c r="I1976" s="503"/>
      <c r="J1976" s="503"/>
      <c r="K1976" s="503"/>
    </row>
    <row r="1977" spans="1:11" ht="12">
      <c r="A1977" s="504">
        <v>2142137196</v>
      </c>
      <c r="B1977" s="539" t="s">
        <v>1865</v>
      </c>
      <c r="C1977" s="505" t="s">
        <v>745</v>
      </c>
      <c r="D1977" s="506">
        <v>0</v>
      </c>
      <c r="E1977" s="506">
        <v>3989</v>
      </c>
      <c r="F1977" s="506">
        <v>3988</v>
      </c>
      <c r="G1977" s="507">
        <v>1</v>
      </c>
      <c r="H1977" s="503"/>
      <c r="I1977" s="503"/>
      <c r="J1977" s="503"/>
      <c r="K1977" s="503"/>
    </row>
    <row r="1978" spans="1:11" ht="12">
      <c r="A1978" s="504">
        <v>2142137197</v>
      </c>
      <c r="B1978" s="539" t="s">
        <v>1866</v>
      </c>
      <c r="C1978" s="505" t="s">
        <v>146</v>
      </c>
      <c r="D1978" s="506">
        <v>0</v>
      </c>
      <c r="E1978" s="506">
        <v>0</v>
      </c>
      <c r="F1978" s="506">
        <v>611</v>
      </c>
      <c r="G1978" s="507">
        <v>0</v>
      </c>
      <c r="H1978" s="503"/>
      <c r="I1978" s="503"/>
      <c r="J1978" s="503"/>
      <c r="K1978" s="503"/>
    </row>
    <row r="1979" spans="1:11" ht="12">
      <c r="A1979" s="504">
        <v>2142137198</v>
      </c>
      <c r="B1979" s="539" t="s">
        <v>1867</v>
      </c>
      <c r="C1979" s="505" t="s">
        <v>154</v>
      </c>
      <c r="D1979" s="506">
        <v>0</v>
      </c>
      <c r="E1979" s="506">
        <v>44</v>
      </c>
      <c r="F1979" s="506">
        <v>44</v>
      </c>
      <c r="G1979" s="507">
        <v>0</v>
      </c>
      <c r="H1979" s="503"/>
      <c r="I1979" s="503"/>
      <c r="J1979" s="503"/>
      <c r="K1979" s="503"/>
    </row>
    <row r="1980" spans="1:11" ht="12">
      <c r="A1980" s="504">
        <v>2142137199</v>
      </c>
      <c r="B1980" s="539" t="s">
        <v>1868</v>
      </c>
      <c r="C1980" s="505" t="s">
        <v>152</v>
      </c>
      <c r="D1980" s="506">
        <v>0</v>
      </c>
      <c r="E1980" s="506">
        <v>0</v>
      </c>
      <c r="F1980" s="506">
        <v>385</v>
      </c>
      <c r="G1980" s="507">
        <v>0</v>
      </c>
      <c r="H1980" s="503"/>
      <c r="I1980" s="503"/>
      <c r="J1980" s="503"/>
      <c r="K1980" s="503"/>
    </row>
    <row r="1981" spans="1:11" ht="12">
      <c r="A1981" s="504">
        <v>2142137200</v>
      </c>
      <c r="B1981" s="539" t="s">
        <v>2239</v>
      </c>
      <c r="C1981" s="505" t="s">
        <v>154</v>
      </c>
      <c r="D1981" s="506">
        <v>0</v>
      </c>
      <c r="E1981" s="506">
        <v>0</v>
      </c>
      <c r="F1981" s="506">
        <v>10</v>
      </c>
      <c r="G1981" s="507">
        <v>0</v>
      </c>
      <c r="H1981" s="503"/>
      <c r="I1981" s="503"/>
      <c r="J1981" s="503"/>
      <c r="K1981" s="503"/>
    </row>
    <row r="1982" spans="1:11" ht="12">
      <c r="A1982" s="504">
        <v>2142137201</v>
      </c>
      <c r="B1982" s="539" t="s">
        <v>2239</v>
      </c>
      <c r="C1982" s="505" t="s">
        <v>113</v>
      </c>
      <c r="D1982" s="506">
        <v>0</v>
      </c>
      <c r="E1982" s="506">
        <v>0</v>
      </c>
      <c r="F1982" s="506">
        <v>8</v>
      </c>
      <c r="G1982" s="507">
        <v>0</v>
      </c>
      <c r="H1982" s="503"/>
      <c r="I1982" s="503"/>
      <c r="J1982" s="503"/>
      <c r="K1982" s="503"/>
    </row>
    <row r="1983" spans="1:11" ht="12">
      <c r="A1983" s="504">
        <v>2142137202</v>
      </c>
      <c r="B1983" s="539" t="s">
        <v>2239</v>
      </c>
      <c r="C1983" s="505" t="s">
        <v>150</v>
      </c>
      <c r="D1983" s="506">
        <v>0</v>
      </c>
      <c r="E1983" s="506">
        <v>0</v>
      </c>
      <c r="F1983" s="506">
        <v>6</v>
      </c>
      <c r="G1983" s="507">
        <v>0</v>
      </c>
      <c r="H1983" s="503"/>
      <c r="I1983" s="503"/>
      <c r="J1983" s="503"/>
      <c r="K1983" s="503"/>
    </row>
    <row r="1984" spans="1:11" ht="12">
      <c r="A1984" s="504">
        <v>2142137203</v>
      </c>
      <c r="B1984" s="539" t="s">
        <v>1869</v>
      </c>
      <c r="C1984" s="505" t="s">
        <v>113</v>
      </c>
      <c r="D1984" s="506">
        <v>0</v>
      </c>
      <c r="E1984" s="506">
        <v>0</v>
      </c>
      <c r="F1984" s="506">
        <v>1600</v>
      </c>
      <c r="G1984" s="507">
        <v>0</v>
      </c>
      <c r="H1984" s="503"/>
      <c r="I1984" s="503"/>
      <c r="J1984" s="503"/>
      <c r="K1984" s="503"/>
    </row>
    <row r="1985" spans="1:11" ht="12">
      <c r="A1985" s="504">
        <v>2142137204</v>
      </c>
      <c r="B1985" s="539" t="s">
        <v>1870</v>
      </c>
      <c r="C1985" s="505" t="s">
        <v>113</v>
      </c>
      <c r="D1985" s="506">
        <v>0</v>
      </c>
      <c r="E1985" s="506">
        <v>0</v>
      </c>
      <c r="F1985" s="506">
        <v>900</v>
      </c>
      <c r="G1985" s="507">
        <v>0</v>
      </c>
      <c r="H1985" s="503"/>
      <c r="I1985" s="503"/>
      <c r="J1985" s="503"/>
      <c r="K1985" s="503"/>
    </row>
    <row r="1986" spans="1:11" ht="12">
      <c r="A1986" s="504">
        <v>2142137205</v>
      </c>
      <c r="B1986" s="539" t="s">
        <v>1871</v>
      </c>
      <c r="C1986" s="505" t="s">
        <v>113</v>
      </c>
      <c r="D1986" s="506">
        <v>0</v>
      </c>
      <c r="E1986" s="506">
        <v>0</v>
      </c>
      <c r="F1986" s="506">
        <v>1187</v>
      </c>
      <c r="G1986" s="507">
        <v>0</v>
      </c>
      <c r="H1986" s="503"/>
      <c r="I1986" s="503"/>
      <c r="J1986" s="503"/>
      <c r="K1986" s="503"/>
    </row>
    <row r="1987" spans="1:11" ht="12">
      <c r="A1987" s="504">
        <v>2142137206</v>
      </c>
      <c r="B1987" s="539" t="s">
        <v>2254</v>
      </c>
      <c r="C1987" s="505" t="s">
        <v>113</v>
      </c>
      <c r="D1987" s="506">
        <v>0</v>
      </c>
      <c r="E1987" s="506">
        <v>0</v>
      </c>
      <c r="F1987" s="506">
        <v>2213</v>
      </c>
      <c r="G1987" s="507">
        <v>0</v>
      </c>
      <c r="H1987" s="503"/>
      <c r="I1987" s="503"/>
      <c r="J1987" s="503"/>
      <c r="K1987" s="503"/>
    </row>
    <row r="1988" spans="1:11" ht="12">
      <c r="A1988" s="504">
        <v>2142137207</v>
      </c>
      <c r="B1988" s="539" t="s">
        <v>2255</v>
      </c>
      <c r="C1988" s="505" t="s">
        <v>113</v>
      </c>
      <c r="D1988" s="506">
        <v>0</v>
      </c>
      <c r="E1988" s="506">
        <v>0</v>
      </c>
      <c r="F1988" s="506">
        <v>200</v>
      </c>
      <c r="G1988" s="507">
        <v>0</v>
      </c>
      <c r="H1988" s="503"/>
      <c r="I1988" s="503"/>
      <c r="J1988" s="503"/>
      <c r="K1988" s="503"/>
    </row>
    <row r="1989" spans="1:11" ht="12">
      <c r="A1989" s="504">
        <v>2142137208</v>
      </c>
      <c r="B1989" s="539" t="s">
        <v>2239</v>
      </c>
      <c r="C1989" s="505" t="s">
        <v>152</v>
      </c>
      <c r="D1989" s="506">
        <v>0</v>
      </c>
      <c r="E1989" s="506">
        <v>0</v>
      </c>
      <c r="F1989" s="506">
        <v>17</v>
      </c>
      <c r="G1989" s="507">
        <v>0</v>
      </c>
      <c r="H1989" s="503"/>
      <c r="I1989" s="503"/>
      <c r="J1989" s="503"/>
      <c r="K1989" s="503"/>
    </row>
    <row r="1990" spans="1:11" ht="12">
      <c r="A1990" s="504">
        <v>2142137209</v>
      </c>
      <c r="B1990" s="539" t="s">
        <v>2256</v>
      </c>
      <c r="C1990" s="505" t="s">
        <v>747</v>
      </c>
      <c r="D1990" s="506">
        <v>0</v>
      </c>
      <c r="E1990" s="506">
        <v>0</v>
      </c>
      <c r="F1990" s="506">
        <v>640</v>
      </c>
      <c r="G1990" s="507">
        <v>0</v>
      </c>
      <c r="H1990" s="503"/>
      <c r="I1990" s="503"/>
      <c r="J1990" s="503"/>
      <c r="K1990" s="503"/>
    </row>
    <row r="1991" spans="1:11" ht="12">
      <c r="A1991" s="504">
        <v>2142137210</v>
      </c>
      <c r="B1991" s="539" t="s">
        <v>2257</v>
      </c>
      <c r="C1991" s="505" t="s">
        <v>747</v>
      </c>
      <c r="D1991" s="506">
        <v>0</v>
      </c>
      <c r="E1991" s="506">
        <v>0</v>
      </c>
      <c r="F1991" s="506">
        <v>1071</v>
      </c>
      <c r="G1991" s="507">
        <v>0</v>
      </c>
      <c r="H1991" s="503"/>
      <c r="I1991" s="503"/>
      <c r="J1991" s="503"/>
      <c r="K1991" s="503"/>
    </row>
    <row r="1992" spans="1:11" ht="12">
      <c r="A1992" s="504">
        <v>2142137211</v>
      </c>
      <c r="B1992" s="539" t="s">
        <v>2375</v>
      </c>
      <c r="C1992" s="505" t="s">
        <v>119</v>
      </c>
      <c r="D1992" s="506">
        <v>0</v>
      </c>
      <c r="E1992" s="506">
        <v>1064</v>
      </c>
      <c r="F1992" s="506">
        <v>2463</v>
      </c>
      <c r="G1992" s="507">
        <v>1</v>
      </c>
      <c r="H1992" s="503"/>
      <c r="I1992" s="503"/>
      <c r="J1992" s="503"/>
      <c r="K1992" s="503"/>
    </row>
    <row r="1993" spans="1:11" ht="12">
      <c r="A1993" s="504">
        <v>2142137212</v>
      </c>
      <c r="B1993" s="539" t="s">
        <v>2239</v>
      </c>
      <c r="C1993" s="505" t="s">
        <v>148</v>
      </c>
      <c r="D1993" s="506">
        <v>0</v>
      </c>
      <c r="E1993" s="506">
        <v>0</v>
      </c>
      <c r="F1993" s="506">
        <v>4</v>
      </c>
      <c r="G1993" s="507">
        <v>0</v>
      </c>
      <c r="H1993" s="503"/>
      <c r="I1993" s="503"/>
      <c r="J1993" s="503"/>
      <c r="K1993" s="503"/>
    </row>
    <row r="1994" spans="1:11" ht="12">
      <c r="A1994" s="504">
        <v>2142137213</v>
      </c>
      <c r="B1994" s="539" t="s">
        <v>2376</v>
      </c>
      <c r="C1994" s="505" t="s">
        <v>115</v>
      </c>
      <c r="D1994" s="506">
        <v>0</v>
      </c>
      <c r="E1994" s="506">
        <v>0</v>
      </c>
      <c r="F1994" s="506">
        <v>1040</v>
      </c>
      <c r="G1994" s="507">
        <v>0</v>
      </c>
      <c r="H1994" s="503"/>
      <c r="I1994" s="503"/>
      <c r="J1994" s="503"/>
      <c r="K1994" s="503"/>
    </row>
    <row r="1995" spans="1:11" ht="12">
      <c r="A1995" s="504">
        <v>2142137214</v>
      </c>
      <c r="B1995" s="539" t="s">
        <v>2377</v>
      </c>
      <c r="C1995" s="505" t="s">
        <v>747</v>
      </c>
      <c r="D1995" s="506">
        <v>0</v>
      </c>
      <c r="E1995" s="506">
        <v>340</v>
      </c>
      <c r="F1995" s="506">
        <v>340</v>
      </c>
      <c r="G1995" s="507">
        <v>0</v>
      </c>
      <c r="H1995" s="503"/>
      <c r="I1995" s="503"/>
      <c r="J1995" s="503"/>
      <c r="K1995" s="503"/>
    </row>
    <row r="1996" spans="1:11" ht="12">
      <c r="A1996" s="504">
        <v>2142137215</v>
      </c>
      <c r="B1996" s="539" t="s">
        <v>2378</v>
      </c>
      <c r="C1996" s="505" t="s">
        <v>747</v>
      </c>
      <c r="D1996" s="506">
        <v>0</v>
      </c>
      <c r="E1996" s="506">
        <v>397</v>
      </c>
      <c r="F1996" s="506">
        <v>396</v>
      </c>
      <c r="G1996" s="507">
        <v>0</v>
      </c>
      <c r="H1996" s="503"/>
      <c r="I1996" s="503"/>
      <c r="J1996" s="503"/>
      <c r="K1996" s="503"/>
    </row>
    <row r="1997" spans="1:11" ht="12">
      <c r="A1997" s="504">
        <v>2142137216</v>
      </c>
      <c r="B1997" s="539" t="s">
        <v>2379</v>
      </c>
      <c r="C1997" s="505" t="s">
        <v>152</v>
      </c>
      <c r="D1997" s="506">
        <v>0</v>
      </c>
      <c r="E1997" s="506">
        <v>2370</v>
      </c>
      <c r="F1997" s="506">
        <v>2369</v>
      </c>
      <c r="G1997" s="507">
        <v>0</v>
      </c>
      <c r="H1997" s="503"/>
      <c r="I1997" s="503"/>
      <c r="J1997" s="503"/>
      <c r="K1997" s="503"/>
    </row>
    <row r="1998" spans="1:11" ht="12">
      <c r="A1998" s="504">
        <v>2142137217</v>
      </c>
      <c r="B1998" s="539" t="s">
        <v>2380</v>
      </c>
      <c r="C1998" s="505" t="s">
        <v>152</v>
      </c>
      <c r="D1998" s="506">
        <v>0</v>
      </c>
      <c r="E1998" s="506">
        <v>2340</v>
      </c>
      <c r="F1998" s="506">
        <v>2340</v>
      </c>
      <c r="G1998" s="507">
        <v>0</v>
      </c>
      <c r="H1998" s="503"/>
      <c r="I1998" s="503"/>
      <c r="J1998" s="503"/>
      <c r="K1998" s="503"/>
    </row>
    <row r="1999" spans="1:11" ht="12">
      <c r="A1999" s="504">
        <v>2142137218</v>
      </c>
      <c r="B1999" s="539" t="s">
        <v>2381</v>
      </c>
      <c r="C1999" s="505" t="s">
        <v>152</v>
      </c>
      <c r="D1999" s="506">
        <v>0</v>
      </c>
      <c r="E1999" s="506">
        <v>7300</v>
      </c>
      <c r="F1999" s="506">
        <v>7300</v>
      </c>
      <c r="G1999" s="507">
        <v>0</v>
      </c>
      <c r="H1999" s="503"/>
      <c r="I1999" s="503"/>
      <c r="J1999" s="503"/>
      <c r="K1999" s="503"/>
    </row>
    <row r="2000" spans="1:11" ht="12">
      <c r="A2000" s="504">
        <v>2142137219</v>
      </c>
      <c r="B2000" s="539" t="s">
        <v>2382</v>
      </c>
      <c r="C2000" s="505" t="s">
        <v>115</v>
      </c>
      <c r="D2000" s="506">
        <v>0</v>
      </c>
      <c r="E2000" s="506">
        <v>0</v>
      </c>
      <c r="F2000" s="506">
        <v>53</v>
      </c>
      <c r="G2000" s="507">
        <v>0</v>
      </c>
      <c r="H2000" s="503"/>
      <c r="I2000" s="503"/>
      <c r="J2000" s="503"/>
      <c r="K2000" s="503"/>
    </row>
    <row r="2001" spans="1:11" ht="12">
      <c r="A2001" s="504">
        <v>2142137220</v>
      </c>
      <c r="B2001" s="539" t="s">
        <v>2383</v>
      </c>
      <c r="C2001" s="505" t="s">
        <v>115</v>
      </c>
      <c r="D2001" s="506">
        <v>0</v>
      </c>
      <c r="E2001" s="506">
        <v>0</v>
      </c>
      <c r="F2001" s="506">
        <v>230</v>
      </c>
      <c r="G2001" s="507">
        <v>0</v>
      </c>
      <c r="H2001" s="503"/>
      <c r="I2001" s="503"/>
      <c r="J2001" s="503"/>
      <c r="K2001" s="503"/>
    </row>
    <row r="2002" spans="1:11" ht="12">
      <c r="A2002" s="504">
        <v>2142137221</v>
      </c>
      <c r="B2002" s="539" t="s">
        <v>2384</v>
      </c>
      <c r="C2002" s="505" t="s">
        <v>115</v>
      </c>
      <c r="D2002" s="506">
        <v>0</v>
      </c>
      <c r="E2002" s="506">
        <v>0</v>
      </c>
      <c r="F2002" s="506">
        <v>532</v>
      </c>
      <c r="G2002" s="507">
        <v>0</v>
      </c>
      <c r="H2002" s="503"/>
      <c r="I2002" s="503"/>
      <c r="J2002" s="503"/>
      <c r="K2002" s="503"/>
    </row>
    <row r="2003" spans="1:11" ht="12">
      <c r="A2003" s="504">
        <v>2142137222</v>
      </c>
      <c r="B2003" s="539" t="s">
        <v>2385</v>
      </c>
      <c r="C2003" s="505" t="s">
        <v>152</v>
      </c>
      <c r="D2003" s="506">
        <v>0</v>
      </c>
      <c r="E2003" s="506">
        <v>1286</v>
      </c>
      <c r="F2003" s="506">
        <v>1286</v>
      </c>
      <c r="G2003" s="507">
        <v>0</v>
      </c>
      <c r="H2003" s="503"/>
      <c r="I2003" s="503"/>
      <c r="J2003" s="503"/>
      <c r="K2003" s="503"/>
    </row>
    <row r="2004" spans="1:11" ht="12">
      <c r="A2004" s="504">
        <v>2142137223</v>
      </c>
      <c r="B2004" s="539" t="s">
        <v>2386</v>
      </c>
      <c r="C2004" s="505" t="s">
        <v>146</v>
      </c>
      <c r="D2004" s="506">
        <v>0</v>
      </c>
      <c r="E2004" s="506">
        <v>0</v>
      </c>
      <c r="F2004" s="506">
        <v>149</v>
      </c>
      <c r="G2004" s="507">
        <v>0</v>
      </c>
      <c r="H2004" s="503"/>
      <c r="I2004" s="503"/>
      <c r="J2004" s="503"/>
      <c r="K2004" s="503"/>
    </row>
    <row r="2005" spans="1:11" ht="12">
      <c r="A2005" s="504">
        <v>2142137224</v>
      </c>
      <c r="B2005" s="539" t="s">
        <v>2387</v>
      </c>
      <c r="C2005" s="505" t="s">
        <v>148</v>
      </c>
      <c r="D2005" s="506">
        <v>0</v>
      </c>
      <c r="E2005" s="506">
        <v>232</v>
      </c>
      <c r="F2005" s="506">
        <v>232</v>
      </c>
      <c r="G2005" s="507">
        <v>0</v>
      </c>
      <c r="H2005" s="503"/>
      <c r="I2005" s="503"/>
      <c r="J2005" s="503"/>
      <c r="K2005" s="503"/>
    </row>
    <row r="2006" spans="1:11" ht="12">
      <c r="A2006" s="504">
        <v>2142137225</v>
      </c>
      <c r="B2006" s="539" t="s">
        <v>2388</v>
      </c>
      <c r="C2006" s="505" t="s">
        <v>117</v>
      </c>
      <c r="D2006" s="506">
        <v>0</v>
      </c>
      <c r="E2006" s="506">
        <v>0</v>
      </c>
      <c r="F2006" s="506">
        <v>295</v>
      </c>
      <c r="G2006" s="507">
        <v>0</v>
      </c>
      <c r="H2006" s="503"/>
      <c r="I2006" s="503"/>
      <c r="J2006" s="503"/>
      <c r="K2006" s="503"/>
    </row>
    <row r="2007" spans="1:11" ht="12">
      <c r="A2007" s="504">
        <v>2142137226</v>
      </c>
      <c r="B2007" s="539" t="s">
        <v>2389</v>
      </c>
      <c r="C2007" s="505" t="s">
        <v>146</v>
      </c>
      <c r="D2007" s="506">
        <v>0</v>
      </c>
      <c r="E2007" s="506">
        <v>3793</v>
      </c>
      <c r="F2007" s="506">
        <v>3792</v>
      </c>
      <c r="G2007" s="507">
        <v>0</v>
      </c>
      <c r="H2007" s="503"/>
      <c r="I2007" s="503"/>
      <c r="J2007" s="503"/>
      <c r="K2007" s="503"/>
    </row>
    <row r="2008" spans="1:11" ht="12">
      <c r="A2008" s="504">
        <v>2142137227</v>
      </c>
      <c r="B2008" s="539" t="s">
        <v>2390</v>
      </c>
      <c r="C2008" s="505" t="s">
        <v>154</v>
      </c>
      <c r="D2008" s="506">
        <v>0</v>
      </c>
      <c r="E2008" s="506">
        <v>113</v>
      </c>
      <c r="F2008" s="506">
        <v>113</v>
      </c>
      <c r="G2008" s="507">
        <v>0</v>
      </c>
      <c r="H2008" s="503"/>
      <c r="I2008" s="503"/>
      <c r="J2008" s="503"/>
      <c r="K2008" s="503"/>
    </row>
    <row r="2009" spans="1:11" ht="12">
      <c r="A2009" s="504">
        <v>2142137228</v>
      </c>
      <c r="B2009" s="539" t="s">
        <v>2391</v>
      </c>
      <c r="C2009" s="505" t="s">
        <v>390</v>
      </c>
      <c r="D2009" s="506">
        <v>0</v>
      </c>
      <c r="E2009" s="506">
        <v>715</v>
      </c>
      <c r="F2009" s="506">
        <v>715</v>
      </c>
      <c r="G2009" s="507">
        <v>0</v>
      </c>
      <c r="H2009" s="503"/>
      <c r="I2009" s="503"/>
      <c r="J2009" s="503"/>
      <c r="K2009" s="503"/>
    </row>
    <row r="2010" spans="1:11" ht="12">
      <c r="A2010" s="504">
        <v>2142137229</v>
      </c>
      <c r="B2010" s="539" t="s">
        <v>2392</v>
      </c>
      <c r="C2010" s="505" t="s">
        <v>119</v>
      </c>
      <c r="D2010" s="506">
        <v>0</v>
      </c>
      <c r="E2010" s="506">
        <v>223</v>
      </c>
      <c r="F2010" s="506">
        <v>223</v>
      </c>
      <c r="G2010" s="507">
        <v>0</v>
      </c>
      <c r="H2010" s="503"/>
      <c r="I2010" s="503"/>
      <c r="J2010" s="503"/>
      <c r="K2010" s="503"/>
    </row>
    <row r="2011" spans="1:11" ht="12">
      <c r="A2011" s="504">
        <v>2142137230</v>
      </c>
      <c r="B2011" s="539" t="s">
        <v>2239</v>
      </c>
      <c r="C2011" s="505" t="s">
        <v>117</v>
      </c>
      <c r="D2011" s="506">
        <v>0</v>
      </c>
      <c r="E2011" s="506">
        <v>0</v>
      </c>
      <c r="F2011" s="506">
        <v>9</v>
      </c>
      <c r="G2011" s="507">
        <v>0</v>
      </c>
      <c r="H2011" s="503"/>
      <c r="I2011" s="503"/>
      <c r="J2011" s="503"/>
      <c r="K2011" s="503"/>
    </row>
    <row r="2012" spans="1:11" ht="12">
      <c r="A2012" s="504">
        <v>2142137231</v>
      </c>
      <c r="B2012" s="539" t="s">
        <v>2393</v>
      </c>
      <c r="C2012" s="505" t="s">
        <v>119</v>
      </c>
      <c r="D2012" s="506">
        <v>0</v>
      </c>
      <c r="E2012" s="506">
        <v>250</v>
      </c>
      <c r="F2012" s="506">
        <v>250</v>
      </c>
      <c r="G2012" s="507">
        <v>0</v>
      </c>
      <c r="H2012" s="503"/>
      <c r="I2012" s="503"/>
      <c r="J2012" s="503"/>
      <c r="K2012" s="503"/>
    </row>
    <row r="2013" spans="1:11" ht="12">
      <c r="A2013" s="504">
        <v>2142137232</v>
      </c>
      <c r="B2013" s="539" t="s">
        <v>2394</v>
      </c>
      <c r="C2013" s="179" t="s">
        <v>117</v>
      </c>
      <c r="D2013" s="506">
        <v>0</v>
      </c>
      <c r="E2013" s="506">
        <v>430</v>
      </c>
      <c r="F2013" s="506">
        <v>429</v>
      </c>
      <c r="G2013" s="507">
        <v>1</v>
      </c>
      <c r="H2013" s="503"/>
      <c r="I2013" s="503"/>
      <c r="J2013" s="503"/>
      <c r="K2013" s="503"/>
    </row>
    <row r="2014" spans="1:11" ht="12">
      <c r="A2014" s="504">
        <v>2142137233</v>
      </c>
      <c r="B2014" s="539" t="s">
        <v>2395</v>
      </c>
      <c r="C2014" s="505" t="s">
        <v>390</v>
      </c>
      <c r="D2014" s="506">
        <v>0</v>
      </c>
      <c r="E2014" s="506">
        <v>1000</v>
      </c>
      <c r="F2014" s="506">
        <v>961</v>
      </c>
      <c r="G2014" s="507">
        <v>39</v>
      </c>
      <c r="H2014" s="503"/>
      <c r="I2014" s="503"/>
      <c r="J2014" s="503"/>
      <c r="K2014" s="503"/>
    </row>
    <row r="2015" spans="1:11" ht="12">
      <c r="A2015" s="504">
        <v>2142137234</v>
      </c>
      <c r="B2015" s="539" t="s">
        <v>2396</v>
      </c>
      <c r="C2015" s="505" t="s">
        <v>117</v>
      </c>
      <c r="D2015" s="506">
        <v>0</v>
      </c>
      <c r="E2015" s="506">
        <v>0</v>
      </c>
      <c r="F2015" s="506">
        <v>70</v>
      </c>
      <c r="G2015" s="507">
        <v>0</v>
      </c>
      <c r="H2015" s="503"/>
      <c r="I2015" s="503"/>
      <c r="J2015" s="503"/>
      <c r="K2015" s="503"/>
    </row>
    <row r="2016" spans="1:11" ht="12">
      <c r="A2016" s="504">
        <v>2142137235</v>
      </c>
      <c r="B2016" s="539" t="s">
        <v>2397</v>
      </c>
      <c r="C2016" s="505" t="s">
        <v>390</v>
      </c>
      <c r="D2016" s="506">
        <v>0</v>
      </c>
      <c r="E2016" s="506">
        <v>837</v>
      </c>
      <c r="F2016" s="506">
        <v>0</v>
      </c>
      <c r="G2016" s="507">
        <v>837</v>
      </c>
      <c r="H2016" s="503"/>
      <c r="I2016" s="503"/>
      <c r="J2016" s="503"/>
      <c r="K2016" s="503"/>
    </row>
    <row r="2017" spans="1:11" ht="12">
      <c r="A2017" s="504">
        <v>2142137236</v>
      </c>
      <c r="B2017" s="539" t="s">
        <v>2398</v>
      </c>
      <c r="C2017" s="505" t="s">
        <v>150</v>
      </c>
      <c r="D2017" s="506">
        <v>0</v>
      </c>
      <c r="E2017" s="506">
        <v>129</v>
      </c>
      <c r="F2017" s="506">
        <v>129</v>
      </c>
      <c r="G2017" s="507">
        <v>0</v>
      </c>
      <c r="H2017" s="503"/>
      <c r="I2017" s="503"/>
      <c r="J2017" s="503"/>
      <c r="K2017" s="503"/>
    </row>
    <row r="2018" spans="1:11" ht="12">
      <c r="A2018" s="504">
        <v>2142137237</v>
      </c>
      <c r="B2018" s="539" t="s">
        <v>2399</v>
      </c>
      <c r="C2018" s="505" t="s">
        <v>152</v>
      </c>
      <c r="D2018" s="506">
        <v>0</v>
      </c>
      <c r="E2018" s="506">
        <v>2375</v>
      </c>
      <c r="F2018" s="506">
        <v>2374</v>
      </c>
      <c r="G2018" s="507">
        <v>0</v>
      </c>
      <c r="H2018" s="503"/>
      <c r="I2018" s="503"/>
      <c r="J2018" s="503"/>
      <c r="K2018" s="503"/>
    </row>
    <row r="2019" spans="1:11" ht="12">
      <c r="A2019" s="504">
        <v>2142137238</v>
      </c>
      <c r="B2019" s="539" t="s">
        <v>248</v>
      </c>
      <c r="C2019" s="505" t="s">
        <v>152</v>
      </c>
      <c r="D2019" s="506">
        <v>0</v>
      </c>
      <c r="E2019" s="506">
        <v>3996</v>
      </c>
      <c r="F2019" s="506">
        <v>3991</v>
      </c>
      <c r="G2019" s="507">
        <v>0</v>
      </c>
      <c r="H2019" s="503"/>
      <c r="I2019" s="503"/>
      <c r="J2019" s="503"/>
      <c r="K2019" s="503"/>
    </row>
    <row r="2020" spans="1:11" ht="12">
      <c r="A2020" s="504">
        <v>2142137239</v>
      </c>
      <c r="B2020" s="539" t="s">
        <v>2400</v>
      </c>
      <c r="C2020" s="505" t="s">
        <v>119</v>
      </c>
      <c r="D2020" s="506">
        <v>0</v>
      </c>
      <c r="E2020" s="506">
        <v>85</v>
      </c>
      <c r="F2020" s="506">
        <v>85</v>
      </c>
      <c r="G2020" s="507">
        <v>0</v>
      </c>
      <c r="H2020" s="503"/>
      <c r="I2020" s="503"/>
      <c r="J2020" s="503"/>
      <c r="K2020" s="503"/>
    </row>
    <row r="2021" spans="1:11" ht="12">
      <c r="A2021" s="504">
        <v>2142137240</v>
      </c>
      <c r="B2021" s="539" t="s">
        <v>2401</v>
      </c>
      <c r="C2021" s="505" t="s">
        <v>747</v>
      </c>
      <c r="D2021" s="506">
        <v>0</v>
      </c>
      <c r="E2021" s="506">
        <v>278</v>
      </c>
      <c r="F2021" s="506">
        <v>266</v>
      </c>
      <c r="G2021" s="507">
        <v>12</v>
      </c>
      <c r="H2021" s="503"/>
      <c r="I2021" s="503"/>
      <c r="J2021" s="503"/>
      <c r="K2021" s="503"/>
    </row>
    <row r="2022" spans="1:11" ht="12">
      <c r="A2022" s="504">
        <v>2142137241</v>
      </c>
      <c r="B2022" s="539" t="s">
        <v>2283</v>
      </c>
      <c r="C2022" s="505" t="s">
        <v>111</v>
      </c>
      <c r="D2022" s="506">
        <v>0</v>
      </c>
      <c r="E2022" s="506">
        <v>610</v>
      </c>
      <c r="F2022" s="506">
        <v>608</v>
      </c>
      <c r="G2022" s="507">
        <v>2</v>
      </c>
      <c r="H2022" s="503"/>
      <c r="I2022" s="503"/>
      <c r="J2022" s="503"/>
      <c r="K2022" s="503"/>
    </row>
    <row r="2023" spans="1:11" ht="12">
      <c r="A2023" s="504">
        <v>2142137242</v>
      </c>
      <c r="B2023" s="539" t="s">
        <v>2402</v>
      </c>
      <c r="C2023" s="505" t="s">
        <v>154</v>
      </c>
      <c r="D2023" s="506">
        <v>0</v>
      </c>
      <c r="E2023" s="506">
        <v>59</v>
      </c>
      <c r="F2023" s="506">
        <v>59</v>
      </c>
      <c r="G2023" s="507">
        <v>0</v>
      </c>
      <c r="H2023" s="503"/>
      <c r="I2023" s="503"/>
      <c r="J2023" s="503"/>
      <c r="K2023" s="503"/>
    </row>
    <row r="2024" spans="1:11" ht="12">
      <c r="A2024" s="504">
        <v>2142137243</v>
      </c>
      <c r="B2024" s="539" t="s">
        <v>2403</v>
      </c>
      <c r="C2024" s="505" t="s">
        <v>117</v>
      </c>
      <c r="D2024" s="506">
        <v>0</v>
      </c>
      <c r="E2024" s="506">
        <v>0</v>
      </c>
      <c r="F2024" s="506">
        <v>111</v>
      </c>
      <c r="G2024" s="507">
        <v>0</v>
      </c>
      <c r="H2024" s="503"/>
      <c r="I2024" s="503"/>
      <c r="J2024" s="503"/>
      <c r="K2024" s="503"/>
    </row>
    <row r="2025" spans="1:11" ht="12">
      <c r="A2025" s="504">
        <v>2142137244</v>
      </c>
      <c r="B2025" s="539" t="s">
        <v>2404</v>
      </c>
      <c r="C2025" s="505" t="s">
        <v>119</v>
      </c>
      <c r="D2025" s="506">
        <v>0</v>
      </c>
      <c r="E2025" s="506">
        <v>153</v>
      </c>
      <c r="F2025" s="506">
        <v>153</v>
      </c>
      <c r="G2025" s="507">
        <v>0</v>
      </c>
      <c r="H2025" s="503"/>
      <c r="I2025" s="503"/>
      <c r="J2025" s="503"/>
      <c r="K2025" s="503"/>
    </row>
    <row r="2026" spans="1:11" ht="12">
      <c r="A2026" s="504">
        <v>2142137245</v>
      </c>
      <c r="B2026" s="539" t="s">
        <v>2283</v>
      </c>
      <c r="C2026" s="505" t="s">
        <v>146</v>
      </c>
      <c r="D2026" s="506">
        <v>0</v>
      </c>
      <c r="E2026" s="506">
        <v>400</v>
      </c>
      <c r="F2026" s="506">
        <v>400</v>
      </c>
      <c r="G2026" s="507">
        <v>0</v>
      </c>
      <c r="H2026" s="503"/>
      <c r="I2026" s="503"/>
      <c r="J2026" s="503"/>
      <c r="K2026" s="503"/>
    </row>
    <row r="2027" spans="1:11" ht="12">
      <c r="A2027" s="504">
        <v>2142137246</v>
      </c>
      <c r="B2027" s="539" t="s">
        <v>2283</v>
      </c>
      <c r="C2027" s="505" t="s">
        <v>745</v>
      </c>
      <c r="D2027" s="506">
        <v>0</v>
      </c>
      <c r="E2027" s="506">
        <v>393</v>
      </c>
      <c r="F2027" s="506">
        <v>389</v>
      </c>
      <c r="G2027" s="507">
        <v>4</v>
      </c>
      <c r="H2027" s="503"/>
      <c r="I2027" s="503"/>
      <c r="J2027" s="503"/>
      <c r="K2027" s="503"/>
    </row>
    <row r="2028" spans="1:11" ht="12">
      <c r="A2028" s="504">
        <v>2142137247</v>
      </c>
      <c r="B2028" s="539" t="s">
        <v>2405</v>
      </c>
      <c r="C2028" s="505" t="s">
        <v>747</v>
      </c>
      <c r="D2028" s="506">
        <v>0</v>
      </c>
      <c r="E2028" s="506">
        <v>99</v>
      </c>
      <c r="F2028" s="506">
        <v>98</v>
      </c>
      <c r="G2028" s="507">
        <v>0</v>
      </c>
      <c r="H2028" s="503"/>
      <c r="I2028" s="503"/>
      <c r="J2028" s="503"/>
      <c r="K2028" s="503"/>
    </row>
    <row r="2029" spans="1:11" ht="12">
      <c r="A2029" s="504">
        <v>2142137248</v>
      </c>
      <c r="B2029" s="539" t="s">
        <v>2406</v>
      </c>
      <c r="C2029" s="505" t="s">
        <v>117</v>
      </c>
      <c r="D2029" s="506">
        <v>0</v>
      </c>
      <c r="E2029" s="506">
        <v>0</v>
      </c>
      <c r="F2029" s="506">
        <v>75</v>
      </c>
      <c r="G2029" s="507">
        <v>0</v>
      </c>
      <c r="H2029" s="503"/>
      <c r="I2029" s="503"/>
      <c r="J2029" s="503"/>
      <c r="K2029" s="503"/>
    </row>
    <row r="2030" spans="1:11" ht="12">
      <c r="A2030" s="504">
        <v>2142137249</v>
      </c>
      <c r="B2030" s="539" t="s">
        <v>2407</v>
      </c>
      <c r="C2030" s="505" t="s">
        <v>745</v>
      </c>
      <c r="D2030" s="506">
        <v>0</v>
      </c>
      <c r="E2030" s="506">
        <v>618</v>
      </c>
      <c r="F2030" s="506">
        <v>618</v>
      </c>
      <c r="G2030" s="507">
        <v>0</v>
      </c>
      <c r="H2030" s="503"/>
      <c r="I2030" s="503"/>
      <c r="J2030" s="503"/>
      <c r="K2030" s="503"/>
    </row>
    <row r="2031" spans="1:11" ht="12">
      <c r="A2031" s="504">
        <v>2142137250</v>
      </c>
      <c r="B2031" s="539" t="s">
        <v>2408</v>
      </c>
      <c r="C2031" s="505" t="s">
        <v>119</v>
      </c>
      <c r="D2031" s="506">
        <v>0</v>
      </c>
      <c r="E2031" s="506">
        <v>895</v>
      </c>
      <c r="F2031" s="506">
        <v>859</v>
      </c>
      <c r="G2031" s="507">
        <v>36</v>
      </c>
      <c r="H2031" s="503"/>
      <c r="I2031" s="503"/>
      <c r="J2031" s="503"/>
      <c r="K2031" s="503"/>
    </row>
    <row r="2032" spans="1:11" ht="12">
      <c r="A2032" s="504">
        <v>2142137251</v>
      </c>
      <c r="B2032" s="539" t="s">
        <v>2409</v>
      </c>
      <c r="C2032" s="505" t="s">
        <v>119</v>
      </c>
      <c r="D2032" s="506">
        <v>0</v>
      </c>
      <c r="E2032" s="506">
        <v>109</v>
      </c>
      <c r="F2032" s="506">
        <v>108</v>
      </c>
      <c r="G2032" s="507">
        <v>1</v>
      </c>
      <c r="H2032" s="503"/>
      <c r="I2032" s="503"/>
      <c r="J2032" s="503"/>
      <c r="K2032" s="503"/>
    </row>
    <row r="2033" spans="1:11" ht="12">
      <c r="A2033" s="504">
        <v>2142137252</v>
      </c>
      <c r="B2033" s="539" t="s">
        <v>2410</v>
      </c>
      <c r="C2033" s="505" t="s">
        <v>148</v>
      </c>
      <c r="D2033" s="506">
        <v>0</v>
      </c>
      <c r="E2033" s="506">
        <v>629</v>
      </c>
      <c r="F2033" s="506">
        <v>629</v>
      </c>
      <c r="G2033" s="507">
        <v>0</v>
      </c>
      <c r="H2033" s="503"/>
      <c r="I2033" s="503"/>
      <c r="J2033" s="503"/>
      <c r="K2033" s="503"/>
    </row>
    <row r="2034" spans="1:11" ht="12">
      <c r="A2034" s="504">
        <v>2142137253</v>
      </c>
      <c r="B2034" s="539" t="s">
        <v>2411</v>
      </c>
      <c r="C2034" s="505" t="s">
        <v>148</v>
      </c>
      <c r="D2034" s="506">
        <v>0</v>
      </c>
      <c r="E2034" s="506">
        <v>41</v>
      </c>
      <c r="F2034" s="506">
        <v>41</v>
      </c>
      <c r="G2034" s="507">
        <v>0</v>
      </c>
      <c r="H2034" s="503"/>
      <c r="I2034" s="503"/>
      <c r="J2034" s="503"/>
      <c r="K2034" s="503"/>
    </row>
    <row r="2035" spans="1:11" ht="12">
      <c r="A2035" s="504">
        <v>2142137254</v>
      </c>
      <c r="B2035" s="539" t="s">
        <v>2412</v>
      </c>
      <c r="C2035" s="505" t="s">
        <v>148</v>
      </c>
      <c r="D2035" s="506">
        <v>0</v>
      </c>
      <c r="E2035" s="506">
        <v>207</v>
      </c>
      <c r="F2035" s="506">
        <v>207</v>
      </c>
      <c r="G2035" s="507">
        <v>0</v>
      </c>
      <c r="H2035" s="503"/>
      <c r="I2035" s="503"/>
      <c r="J2035" s="503"/>
      <c r="K2035" s="503"/>
    </row>
    <row r="2036" spans="1:11" ht="12">
      <c r="A2036" s="504">
        <v>2142137255</v>
      </c>
      <c r="B2036" s="539" t="s">
        <v>2413</v>
      </c>
      <c r="C2036" s="505" t="s">
        <v>745</v>
      </c>
      <c r="D2036" s="506">
        <v>0</v>
      </c>
      <c r="E2036" s="506">
        <v>82</v>
      </c>
      <c r="F2036" s="506">
        <v>162</v>
      </c>
      <c r="G2036" s="507">
        <v>0</v>
      </c>
      <c r="H2036" s="503"/>
      <c r="I2036" s="503"/>
      <c r="J2036" s="503"/>
      <c r="K2036" s="503"/>
    </row>
    <row r="2037" spans="1:11" ht="12">
      <c r="A2037" s="504">
        <v>2142137256</v>
      </c>
      <c r="B2037" s="539" t="s">
        <v>2414</v>
      </c>
      <c r="C2037" s="505" t="s">
        <v>152</v>
      </c>
      <c r="D2037" s="506">
        <v>0</v>
      </c>
      <c r="E2037" s="506">
        <v>194</v>
      </c>
      <c r="F2037" s="506">
        <v>194</v>
      </c>
      <c r="G2037" s="507">
        <v>0</v>
      </c>
      <c r="H2037" s="503"/>
      <c r="I2037" s="503"/>
      <c r="J2037" s="503"/>
      <c r="K2037" s="503"/>
    </row>
    <row r="2038" spans="1:11" ht="12">
      <c r="A2038" s="504">
        <v>2142137257</v>
      </c>
      <c r="B2038" s="539" t="s">
        <v>2415</v>
      </c>
      <c r="C2038" s="505" t="s">
        <v>390</v>
      </c>
      <c r="D2038" s="506">
        <v>0</v>
      </c>
      <c r="E2038" s="506">
        <v>0</v>
      </c>
      <c r="F2038" s="506">
        <v>1929</v>
      </c>
      <c r="G2038" s="507">
        <v>0</v>
      </c>
      <c r="H2038" s="503"/>
      <c r="I2038" s="503"/>
      <c r="J2038" s="503"/>
      <c r="K2038" s="503"/>
    </row>
    <row r="2039" spans="1:11" ht="12">
      <c r="A2039" s="504">
        <v>2142137258</v>
      </c>
      <c r="B2039" s="539" t="s">
        <v>2416</v>
      </c>
      <c r="C2039" s="505" t="s">
        <v>390</v>
      </c>
      <c r="D2039" s="506">
        <v>0</v>
      </c>
      <c r="E2039" s="506">
        <v>0</v>
      </c>
      <c r="F2039" s="506">
        <v>1262</v>
      </c>
      <c r="G2039" s="507">
        <v>0</v>
      </c>
      <c r="H2039" s="503"/>
      <c r="I2039" s="503"/>
      <c r="J2039" s="503"/>
      <c r="K2039" s="503"/>
    </row>
    <row r="2040" spans="1:11" ht="12">
      <c r="A2040" s="504">
        <v>2142137259</v>
      </c>
      <c r="B2040" s="539" t="s">
        <v>2417</v>
      </c>
      <c r="C2040" s="505" t="s">
        <v>390</v>
      </c>
      <c r="D2040" s="506">
        <v>0</v>
      </c>
      <c r="E2040" s="506">
        <v>0</v>
      </c>
      <c r="F2040" s="506">
        <v>720</v>
      </c>
      <c r="G2040" s="507">
        <v>0</v>
      </c>
      <c r="H2040" s="503"/>
      <c r="I2040" s="503"/>
      <c r="J2040" s="503"/>
      <c r="K2040" s="503"/>
    </row>
    <row r="2041" spans="1:11" ht="12">
      <c r="A2041" s="504">
        <v>2142137260</v>
      </c>
      <c r="B2041" s="539" t="s">
        <v>1754</v>
      </c>
      <c r="C2041" s="505" t="s">
        <v>109</v>
      </c>
      <c r="D2041" s="506">
        <v>0</v>
      </c>
      <c r="E2041" s="506">
        <v>2013</v>
      </c>
      <c r="F2041" s="506">
        <v>2013</v>
      </c>
      <c r="G2041" s="507">
        <v>0</v>
      </c>
      <c r="H2041" s="503"/>
      <c r="I2041" s="503"/>
      <c r="J2041" s="503"/>
      <c r="K2041" s="503"/>
    </row>
    <row r="2042" spans="1:11" ht="12">
      <c r="A2042" s="504">
        <v>2142137261</v>
      </c>
      <c r="B2042" s="539" t="s">
        <v>1754</v>
      </c>
      <c r="C2042" s="505" t="s">
        <v>154</v>
      </c>
      <c r="D2042" s="506">
        <v>0</v>
      </c>
      <c r="E2042" s="506">
        <v>904</v>
      </c>
      <c r="F2042" s="506">
        <v>904</v>
      </c>
      <c r="G2042" s="507">
        <v>0</v>
      </c>
      <c r="H2042" s="503"/>
      <c r="I2042" s="503"/>
      <c r="J2042" s="503"/>
      <c r="K2042" s="503"/>
    </row>
    <row r="2043" spans="1:11" ht="12">
      <c r="A2043" s="504">
        <v>2142137262</v>
      </c>
      <c r="B2043" s="539" t="s">
        <v>2418</v>
      </c>
      <c r="C2043" s="505" t="s">
        <v>745</v>
      </c>
      <c r="D2043" s="506">
        <v>0</v>
      </c>
      <c r="E2043" s="506">
        <v>2000</v>
      </c>
      <c r="F2043" s="506">
        <v>2000</v>
      </c>
      <c r="G2043" s="507">
        <v>0</v>
      </c>
      <c r="H2043" s="503"/>
      <c r="I2043" s="503"/>
      <c r="J2043" s="503"/>
      <c r="K2043" s="503"/>
    </row>
    <row r="2044" spans="1:11" ht="12">
      <c r="A2044" s="504">
        <v>2142137263</v>
      </c>
      <c r="B2044" s="539" t="s">
        <v>1754</v>
      </c>
      <c r="C2044" s="505" t="s">
        <v>146</v>
      </c>
      <c r="D2044" s="506">
        <v>0</v>
      </c>
      <c r="E2044" s="506">
        <v>1083</v>
      </c>
      <c r="F2044" s="506">
        <v>1083</v>
      </c>
      <c r="G2044" s="507">
        <v>0</v>
      </c>
      <c r="H2044" s="503"/>
      <c r="I2044" s="503"/>
      <c r="J2044" s="503"/>
      <c r="K2044" s="503"/>
    </row>
    <row r="2045" spans="1:11" ht="12">
      <c r="A2045" s="504">
        <v>2142137264</v>
      </c>
      <c r="B2045" s="539" t="s">
        <v>2419</v>
      </c>
      <c r="C2045" s="505" t="s">
        <v>747</v>
      </c>
      <c r="D2045" s="506">
        <v>0</v>
      </c>
      <c r="E2045" s="506">
        <v>37</v>
      </c>
      <c r="F2045" s="506">
        <v>37</v>
      </c>
      <c r="G2045" s="507">
        <v>0</v>
      </c>
      <c r="H2045" s="503"/>
      <c r="I2045" s="503"/>
      <c r="J2045" s="503"/>
      <c r="K2045" s="503"/>
    </row>
    <row r="2046" spans="1:11" ht="12">
      <c r="A2046" s="504">
        <v>2142145039</v>
      </c>
      <c r="B2046" s="539" t="s">
        <v>2420</v>
      </c>
      <c r="C2046" s="505" t="s">
        <v>390</v>
      </c>
      <c r="D2046" s="506">
        <v>0</v>
      </c>
      <c r="E2046" s="506">
        <v>340</v>
      </c>
      <c r="F2046" s="506">
        <v>244</v>
      </c>
      <c r="G2046" s="507">
        <v>96</v>
      </c>
      <c r="H2046" s="503"/>
      <c r="I2046" s="503"/>
      <c r="J2046" s="503"/>
      <c r="K2046" s="503"/>
    </row>
    <row r="2047" spans="1:11" ht="12">
      <c r="A2047" s="504">
        <v>2142146012</v>
      </c>
      <c r="B2047" s="539" t="s">
        <v>2421</v>
      </c>
      <c r="C2047" s="505" t="s">
        <v>390</v>
      </c>
      <c r="D2047" s="506">
        <v>0</v>
      </c>
      <c r="E2047" s="506">
        <v>1200</v>
      </c>
      <c r="F2047" s="506">
        <v>1200</v>
      </c>
      <c r="G2047" s="507">
        <v>0</v>
      </c>
      <c r="H2047" s="503"/>
      <c r="I2047" s="503"/>
      <c r="J2047" s="503"/>
      <c r="K2047" s="503"/>
    </row>
    <row r="2048" spans="1:11" ht="12">
      <c r="A2048" s="504">
        <v>2142146040</v>
      </c>
      <c r="B2048" s="539" t="s">
        <v>2422</v>
      </c>
      <c r="C2048" s="505" t="s">
        <v>390</v>
      </c>
      <c r="D2048" s="506">
        <v>0</v>
      </c>
      <c r="E2048" s="506">
        <v>1200</v>
      </c>
      <c r="F2048" s="506">
        <v>1200</v>
      </c>
      <c r="G2048" s="507">
        <v>0</v>
      </c>
      <c r="H2048" s="503"/>
      <c r="I2048" s="503"/>
      <c r="J2048" s="503"/>
      <c r="K2048" s="503"/>
    </row>
    <row r="2049" spans="1:11" ht="12">
      <c r="A2049" s="504">
        <v>2142146041</v>
      </c>
      <c r="B2049" s="539" t="s">
        <v>2423</v>
      </c>
      <c r="C2049" s="505" t="s">
        <v>390</v>
      </c>
      <c r="D2049" s="506">
        <v>0</v>
      </c>
      <c r="E2049" s="506">
        <v>2000</v>
      </c>
      <c r="F2049" s="506">
        <v>2000</v>
      </c>
      <c r="G2049" s="507">
        <v>0</v>
      </c>
      <c r="H2049" s="503"/>
      <c r="I2049" s="503"/>
      <c r="J2049" s="503"/>
      <c r="K2049" s="503"/>
    </row>
    <row r="2050" spans="1:11" ht="12">
      <c r="A2050" s="504">
        <v>2142146058</v>
      </c>
      <c r="B2050" s="539" t="s">
        <v>2424</v>
      </c>
      <c r="C2050" s="505" t="s">
        <v>390</v>
      </c>
      <c r="D2050" s="506">
        <v>0</v>
      </c>
      <c r="E2050" s="506">
        <v>714</v>
      </c>
      <c r="F2050" s="506">
        <v>714</v>
      </c>
      <c r="G2050" s="507">
        <v>0</v>
      </c>
      <c r="H2050" s="503"/>
      <c r="I2050" s="503"/>
      <c r="J2050" s="503"/>
      <c r="K2050" s="503"/>
    </row>
    <row r="2051" spans="1:11" ht="12">
      <c r="A2051" s="504">
        <v>2142146067</v>
      </c>
      <c r="B2051" s="539" t="s">
        <v>2425</v>
      </c>
      <c r="C2051" s="505" t="s">
        <v>390</v>
      </c>
      <c r="D2051" s="506">
        <v>0</v>
      </c>
      <c r="E2051" s="506">
        <v>800</v>
      </c>
      <c r="F2051" s="506">
        <v>800</v>
      </c>
      <c r="G2051" s="507">
        <v>0</v>
      </c>
      <c r="H2051" s="503"/>
      <c r="I2051" s="503"/>
      <c r="J2051" s="503"/>
      <c r="K2051" s="503"/>
    </row>
    <row r="2052" spans="1:11" ht="12">
      <c r="A2052" s="504">
        <v>2142147001</v>
      </c>
      <c r="B2052" s="539" t="s">
        <v>2015</v>
      </c>
      <c r="C2052" s="505" t="s">
        <v>390</v>
      </c>
      <c r="D2052" s="506">
        <v>300</v>
      </c>
      <c r="E2052" s="506">
        <v>300</v>
      </c>
      <c r="F2052" s="506">
        <v>300</v>
      </c>
      <c r="G2052" s="507">
        <v>0</v>
      </c>
      <c r="H2052" s="503"/>
      <c r="I2052" s="503"/>
      <c r="J2052" s="503"/>
      <c r="K2052" s="503"/>
    </row>
    <row r="2053" spans="1:11" ht="12">
      <c r="A2053" s="504">
        <v>2142147002</v>
      </c>
      <c r="B2053" s="539" t="s">
        <v>2016</v>
      </c>
      <c r="C2053" s="505" t="s">
        <v>390</v>
      </c>
      <c r="D2053" s="506">
        <v>8800</v>
      </c>
      <c r="E2053" s="506">
        <v>20000</v>
      </c>
      <c r="F2053" s="506">
        <v>20000</v>
      </c>
      <c r="G2053" s="507">
        <v>0</v>
      </c>
      <c r="H2053" s="503"/>
      <c r="I2053" s="503"/>
      <c r="J2053" s="503"/>
      <c r="K2053" s="503"/>
    </row>
    <row r="2054" spans="1:11" ht="12">
      <c r="A2054" s="504">
        <v>2142147003</v>
      </c>
      <c r="B2054" s="539" t="s">
        <v>2017</v>
      </c>
      <c r="C2054" s="505" t="s">
        <v>390</v>
      </c>
      <c r="D2054" s="506">
        <v>27800</v>
      </c>
      <c r="E2054" s="506">
        <v>0</v>
      </c>
      <c r="F2054" s="506">
        <v>0</v>
      </c>
      <c r="G2054" s="507">
        <v>0</v>
      </c>
      <c r="H2054" s="503"/>
      <c r="I2054" s="503"/>
      <c r="J2054" s="503"/>
      <c r="K2054" s="503"/>
    </row>
    <row r="2055" spans="1:11" ht="12">
      <c r="A2055" s="504">
        <v>2142147004</v>
      </c>
      <c r="B2055" s="539" t="s">
        <v>2018</v>
      </c>
      <c r="C2055" s="505" t="s">
        <v>390</v>
      </c>
      <c r="D2055" s="506">
        <v>100000</v>
      </c>
      <c r="E2055" s="506">
        <v>0</v>
      </c>
      <c r="F2055" s="506">
        <v>0</v>
      </c>
      <c r="G2055" s="507">
        <v>0</v>
      </c>
      <c r="H2055" s="503"/>
      <c r="I2055" s="503"/>
      <c r="J2055" s="503"/>
      <c r="K2055" s="503"/>
    </row>
    <row r="2056" spans="1:11" ht="12">
      <c r="A2056" s="504">
        <v>2142147005</v>
      </c>
      <c r="B2056" s="539" t="s">
        <v>2019</v>
      </c>
      <c r="C2056" s="505" t="s">
        <v>390</v>
      </c>
      <c r="D2056" s="506">
        <v>2000</v>
      </c>
      <c r="E2056" s="506">
        <v>1710</v>
      </c>
      <c r="F2056" s="506">
        <v>1710</v>
      </c>
      <c r="G2056" s="507">
        <v>0</v>
      </c>
      <c r="H2056" s="503"/>
      <c r="I2056" s="503"/>
      <c r="J2056" s="503"/>
      <c r="K2056" s="503"/>
    </row>
    <row r="2057" spans="1:11" ht="12">
      <c r="A2057" s="504">
        <v>2142147006</v>
      </c>
      <c r="B2057" s="539" t="s">
        <v>2020</v>
      </c>
      <c r="C2057" s="505" t="s">
        <v>390</v>
      </c>
      <c r="D2057" s="506">
        <v>5000</v>
      </c>
      <c r="E2057" s="506">
        <v>5000</v>
      </c>
      <c r="F2057" s="506">
        <v>5000</v>
      </c>
      <c r="G2057" s="507">
        <v>0</v>
      </c>
      <c r="H2057" s="503"/>
      <c r="I2057" s="503"/>
      <c r="J2057" s="503"/>
      <c r="K2057" s="503"/>
    </row>
    <row r="2058" spans="1:11" ht="12">
      <c r="A2058" s="504">
        <v>2142147007</v>
      </c>
      <c r="B2058" s="539" t="s">
        <v>2021</v>
      </c>
      <c r="C2058" s="505" t="s">
        <v>390</v>
      </c>
      <c r="D2058" s="506">
        <v>4500</v>
      </c>
      <c r="E2058" s="506">
        <v>4500</v>
      </c>
      <c r="F2058" s="506">
        <v>4400</v>
      </c>
      <c r="G2058" s="507">
        <v>100</v>
      </c>
      <c r="H2058" s="503"/>
      <c r="I2058" s="503"/>
      <c r="J2058" s="503"/>
      <c r="K2058" s="503"/>
    </row>
    <row r="2059" spans="1:11" ht="12">
      <c r="A2059" s="504">
        <v>2142147008</v>
      </c>
      <c r="B2059" s="539" t="s">
        <v>2022</v>
      </c>
      <c r="C2059" s="505" t="s">
        <v>390</v>
      </c>
      <c r="D2059" s="506">
        <v>1000</v>
      </c>
      <c r="E2059" s="506">
        <v>1000</v>
      </c>
      <c r="F2059" s="506">
        <v>1000</v>
      </c>
      <c r="G2059" s="507">
        <v>0</v>
      </c>
      <c r="H2059" s="503"/>
      <c r="I2059" s="503"/>
      <c r="J2059" s="503"/>
      <c r="K2059" s="503"/>
    </row>
    <row r="2060" spans="1:11" ht="12">
      <c r="A2060" s="504">
        <v>2142147009</v>
      </c>
      <c r="B2060" s="539" t="s">
        <v>2023</v>
      </c>
      <c r="C2060" s="505" t="s">
        <v>390</v>
      </c>
      <c r="D2060" s="506">
        <v>5000</v>
      </c>
      <c r="E2060" s="506">
        <v>5000</v>
      </c>
      <c r="F2060" s="506">
        <v>5000</v>
      </c>
      <c r="G2060" s="507">
        <v>0</v>
      </c>
      <c r="H2060" s="503"/>
      <c r="I2060" s="503"/>
      <c r="J2060" s="503"/>
      <c r="K2060" s="503"/>
    </row>
    <row r="2061" spans="1:11" ht="12">
      <c r="A2061" s="504">
        <v>2142147010</v>
      </c>
      <c r="B2061" s="539" t="s">
        <v>2024</v>
      </c>
      <c r="C2061" s="505" t="s">
        <v>390</v>
      </c>
      <c r="D2061" s="506">
        <v>600</v>
      </c>
      <c r="E2061" s="506">
        <v>600</v>
      </c>
      <c r="F2061" s="506">
        <v>600</v>
      </c>
      <c r="G2061" s="507">
        <v>0</v>
      </c>
      <c r="H2061" s="503"/>
      <c r="I2061" s="503"/>
      <c r="J2061" s="503"/>
      <c r="K2061" s="503"/>
    </row>
    <row r="2062" spans="1:11" ht="12">
      <c r="A2062" s="504">
        <v>2142147011</v>
      </c>
      <c r="B2062" s="539" t="s">
        <v>2025</v>
      </c>
      <c r="C2062" s="505" t="s">
        <v>390</v>
      </c>
      <c r="D2062" s="506">
        <v>5000</v>
      </c>
      <c r="E2062" s="506">
        <v>5000</v>
      </c>
      <c r="F2062" s="506">
        <v>5000</v>
      </c>
      <c r="G2062" s="507">
        <v>0</v>
      </c>
      <c r="H2062" s="503"/>
      <c r="I2062" s="503"/>
      <c r="J2062" s="503"/>
      <c r="K2062" s="503"/>
    </row>
    <row r="2063" spans="1:11" ht="12">
      <c r="A2063" s="504">
        <v>2142147012</v>
      </c>
      <c r="B2063" s="539" t="s">
        <v>2026</v>
      </c>
      <c r="C2063" s="505" t="s">
        <v>390</v>
      </c>
      <c r="D2063" s="506">
        <v>400</v>
      </c>
      <c r="E2063" s="506">
        <v>400</v>
      </c>
      <c r="F2063" s="506">
        <v>400</v>
      </c>
      <c r="G2063" s="507">
        <v>0</v>
      </c>
      <c r="H2063" s="503"/>
      <c r="I2063" s="503"/>
      <c r="J2063" s="503"/>
      <c r="K2063" s="503"/>
    </row>
    <row r="2064" spans="1:11" ht="12">
      <c r="A2064" s="504">
        <v>2142147013</v>
      </c>
      <c r="B2064" s="539" t="s">
        <v>2027</v>
      </c>
      <c r="C2064" s="505" t="s">
        <v>390</v>
      </c>
      <c r="D2064" s="506">
        <v>2400</v>
      </c>
      <c r="E2064" s="506">
        <v>2400</v>
      </c>
      <c r="F2064" s="506">
        <v>2400</v>
      </c>
      <c r="G2064" s="507">
        <v>0</v>
      </c>
      <c r="H2064" s="503"/>
      <c r="I2064" s="503"/>
      <c r="J2064" s="503"/>
      <c r="K2064" s="503"/>
    </row>
    <row r="2065" spans="1:11" ht="12">
      <c r="A2065" s="504">
        <v>2142147014</v>
      </c>
      <c r="B2065" s="539" t="s">
        <v>2028</v>
      </c>
      <c r="C2065" s="505" t="s">
        <v>390</v>
      </c>
      <c r="D2065" s="506">
        <v>1000</v>
      </c>
      <c r="E2065" s="506">
        <v>1000</v>
      </c>
      <c r="F2065" s="506">
        <v>840</v>
      </c>
      <c r="G2065" s="507">
        <v>160</v>
      </c>
      <c r="H2065" s="503"/>
      <c r="I2065" s="503"/>
      <c r="J2065" s="503"/>
      <c r="K2065" s="503"/>
    </row>
    <row r="2066" spans="1:11" ht="12">
      <c r="A2066" s="504">
        <v>2142147015</v>
      </c>
      <c r="B2066" s="539" t="s">
        <v>2029</v>
      </c>
      <c r="C2066" s="505" t="s">
        <v>390</v>
      </c>
      <c r="D2066" s="506">
        <v>1200</v>
      </c>
      <c r="E2066" s="506">
        <v>1200</v>
      </c>
      <c r="F2066" s="506">
        <v>1200</v>
      </c>
      <c r="G2066" s="507">
        <v>0</v>
      </c>
      <c r="H2066" s="503"/>
      <c r="I2066" s="503"/>
      <c r="J2066" s="503"/>
      <c r="K2066" s="503"/>
    </row>
    <row r="2067" spans="1:11" ht="12">
      <c r="A2067" s="504">
        <v>2142147016</v>
      </c>
      <c r="B2067" s="539" t="s">
        <v>2030</v>
      </c>
      <c r="C2067" s="505" t="s">
        <v>390</v>
      </c>
      <c r="D2067" s="506">
        <v>1000</v>
      </c>
      <c r="E2067" s="506">
        <v>1000</v>
      </c>
      <c r="F2067" s="506">
        <v>1000</v>
      </c>
      <c r="G2067" s="507">
        <v>0</v>
      </c>
      <c r="H2067" s="503"/>
      <c r="I2067" s="503"/>
      <c r="J2067" s="503"/>
      <c r="K2067" s="503"/>
    </row>
    <row r="2068" spans="1:11" ht="12">
      <c r="A2068" s="504">
        <v>2142147017</v>
      </c>
      <c r="B2068" s="539" t="s">
        <v>2031</v>
      </c>
      <c r="C2068" s="505" t="s">
        <v>390</v>
      </c>
      <c r="D2068" s="506">
        <v>2000</v>
      </c>
      <c r="E2068" s="506">
        <v>2000</v>
      </c>
      <c r="F2068" s="506">
        <v>2000</v>
      </c>
      <c r="G2068" s="507">
        <v>0</v>
      </c>
      <c r="H2068" s="503"/>
      <c r="I2068" s="503"/>
      <c r="J2068" s="503"/>
      <c r="K2068" s="503"/>
    </row>
    <row r="2069" spans="1:11" ht="12">
      <c r="A2069" s="504">
        <v>2142147018</v>
      </c>
      <c r="B2069" s="539" t="s">
        <v>2032</v>
      </c>
      <c r="C2069" s="505" t="s">
        <v>390</v>
      </c>
      <c r="D2069" s="506">
        <v>2000</v>
      </c>
      <c r="E2069" s="506">
        <v>2000</v>
      </c>
      <c r="F2069" s="506">
        <v>2000</v>
      </c>
      <c r="G2069" s="507">
        <v>0</v>
      </c>
      <c r="H2069" s="503"/>
      <c r="I2069" s="503"/>
      <c r="J2069" s="503"/>
      <c r="K2069" s="503"/>
    </row>
    <row r="2070" spans="1:11" ht="12">
      <c r="A2070" s="504">
        <v>2142147019</v>
      </c>
      <c r="B2070" s="539" t="s">
        <v>2033</v>
      </c>
      <c r="C2070" s="505" t="s">
        <v>390</v>
      </c>
      <c r="D2070" s="506">
        <v>2000</v>
      </c>
      <c r="E2070" s="506">
        <v>0</v>
      </c>
      <c r="F2070" s="506">
        <v>0</v>
      </c>
      <c r="G2070" s="507">
        <v>0</v>
      </c>
      <c r="H2070" s="503"/>
      <c r="I2070" s="503"/>
      <c r="J2070" s="503"/>
      <c r="K2070" s="503"/>
    </row>
    <row r="2071" spans="1:11" ht="12">
      <c r="A2071" s="504">
        <v>2142147020</v>
      </c>
      <c r="B2071" s="539" t="s">
        <v>2034</v>
      </c>
      <c r="C2071" s="505" t="s">
        <v>390</v>
      </c>
      <c r="D2071" s="506">
        <v>2000</v>
      </c>
      <c r="E2071" s="506">
        <v>2000</v>
      </c>
      <c r="F2071" s="506">
        <v>2000</v>
      </c>
      <c r="G2071" s="507">
        <v>0</v>
      </c>
      <c r="H2071" s="503"/>
      <c r="I2071" s="503"/>
      <c r="J2071" s="503"/>
      <c r="K2071" s="503"/>
    </row>
    <row r="2072" spans="1:11" ht="12">
      <c r="A2072" s="504">
        <v>2142147021</v>
      </c>
      <c r="B2072" s="539" t="s">
        <v>2035</v>
      </c>
      <c r="C2072" s="505" t="s">
        <v>390</v>
      </c>
      <c r="D2072" s="506">
        <v>2000</v>
      </c>
      <c r="E2072" s="506">
        <v>2000</v>
      </c>
      <c r="F2072" s="506">
        <v>2000</v>
      </c>
      <c r="G2072" s="507">
        <v>0</v>
      </c>
      <c r="H2072" s="503"/>
      <c r="I2072" s="503"/>
      <c r="J2072" s="503"/>
      <c r="K2072" s="503"/>
    </row>
    <row r="2073" spans="1:11" ht="12">
      <c r="A2073" s="504">
        <v>2142147022</v>
      </c>
      <c r="B2073" s="539" t="s">
        <v>2036</v>
      </c>
      <c r="C2073" s="505" t="s">
        <v>390</v>
      </c>
      <c r="D2073" s="506">
        <v>2000</v>
      </c>
      <c r="E2073" s="506">
        <v>0</v>
      </c>
      <c r="F2073" s="506">
        <v>0</v>
      </c>
      <c r="G2073" s="507">
        <v>0</v>
      </c>
      <c r="H2073" s="503"/>
      <c r="I2073" s="503"/>
      <c r="J2073" s="503"/>
      <c r="K2073" s="503"/>
    </row>
    <row r="2074" spans="1:11" ht="12">
      <c r="A2074" s="504">
        <v>2142147023</v>
      </c>
      <c r="B2074" s="539" t="s">
        <v>2037</v>
      </c>
      <c r="C2074" s="505" t="s">
        <v>390</v>
      </c>
      <c r="D2074" s="506">
        <v>2000</v>
      </c>
      <c r="E2074" s="506">
        <v>2000</v>
      </c>
      <c r="F2074" s="506">
        <v>2000</v>
      </c>
      <c r="G2074" s="507">
        <v>0</v>
      </c>
      <c r="H2074" s="503"/>
      <c r="I2074" s="503"/>
      <c r="J2074" s="503"/>
      <c r="K2074" s="503"/>
    </row>
    <row r="2075" spans="1:11" ht="12">
      <c r="A2075" s="504">
        <v>2142147024</v>
      </c>
      <c r="B2075" s="539" t="s">
        <v>2038</v>
      </c>
      <c r="C2075" s="505" t="s">
        <v>390</v>
      </c>
      <c r="D2075" s="506">
        <v>2000</v>
      </c>
      <c r="E2075" s="506">
        <v>2000</v>
      </c>
      <c r="F2075" s="506">
        <v>2000</v>
      </c>
      <c r="G2075" s="507">
        <v>0</v>
      </c>
      <c r="H2075" s="503"/>
      <c r="I2075" s="503"/>
      <c r="J2075" s="503"/>
      <c r="K2075" s="503"/>
    </row>
    <row r="2076" spans="1:11" ht="12">
      <c r="A2076" s="504">
        <v>2142147025</v>
      </c>
      <c r="B2076" s="539" t="s">
        <v>2039</v>
      </c>
      <c r="C2076" s="505" t="s">
        <v>390</v>
      </c>
      <c r="D2076" s="506">
        <v>2000</v>
      </c>
      <c r="E2076" s="506">
        <v>2000</v>
      </c>
      <c r="F2076" s="506">
        <v>2000</v>
      </c>
      <c r="G2076" s="507">
        <v>0</v>
      </c>
      <c r="H2076" s="503"/>
      <c r="I2076" s="503"/>
      <c r="J2076" s="503"/>
      <c r="K2076" s="503"/>
    </row>
    <row r="2077" spans="1:11" ht="12">
      <c r="A2077" s="504">
        <v>2142147026</v>
      </c>
      <c r="B2077" s="539" t="s">
        <v>2040</v>
      </c>
      <c r="C2077" s="505" t="s">
        <v>390</v>
      </c>
      <c r="D2077" s="506">
        <v>2000</v>
      </c>
      <c r="E2077" s="506">
        <v>2000</v>
      </c>
      <c r="F2077" s="506">
        <v>2000</v>
      </c>
      <c r="G2077" s="507">
        <v>0</v>
      </c>
      <c r="H2077" s="503"/>
      <c r="I2077" s="503"/>
      <c r="J2077" s="503"/>
      <c r="K2077" s="503"/>
    </row>
    <row r="2078" spans="1:11" ht="12">
      <c r="A2078" s="504">
        <v>2142147027</v>
      </c>
      <c r="B2078" s="539" t="s">
        <v>2041</v>
      </c>
      <c r="C2078" s="505" t="s">
        <v>390</v>
      </c>
      <c r="D2078" s="506">
        <v>2000</v>
      </c>
      <c r="E2078" s="506">
        <v>2000</v>
      </c>
      <c r="F2078" s="506">
        <v>2000</v>
      </c>
      <c r="G2078" s="507">
        <v>0</v>
      </c>
      <c r="H2078" s="503"/>
      <c r="I2078" s="503"/>
      <c r="J2078" s="503"/>
      <c r="K2078" s="503"/>
    </row>
    <row r="2079" spans="1:11" ht="12">
      <c r="A2079" s="504">
        <v>2142147028</v>
      </c>
      <c r="B2079" s="539" t="s">
        <v>2042</v>
      </c>
      <c r="C2079" s="505" t="s">
        <v>390</v>
      </c>
      <c r="D2079" s="506">
        <v>2000</v>
      </c>
      <c r="E2079" s="506">
        <v>1771</v>
      </c>
      <c r="F2079" s="506">
        <v>1771</v>
      </c>
      <c r="G2079" s="507">
        <v>0</v>
      </c>
      <c r="H2079" s="503"/>
      <c r="I2079" s="503"/>
      <c r="J2079" s="503"/>
      <c r="K2079" s="503"/>
    </row>
    <row r="2080" spans="1:11" ht="12">
      <c r="A2080" s="504">
        <v>2142147029</v>
      </c>
      <c r="B2080" s="539" t="s">
        <v>2043</v>
      </c>
      <c r="C2080" s="505" t="s">
        <v>390</v>
      </c>
      <c r="D2080" s="506">
        <v>2000</v>
      </c>
      <c r="E2080" s="506">
        <v>2000</v>
      </c>
      <c r="F2080" s="506">
        <v>2000</v>
      </c>
      <c r="G2080" s="507">
        <v>0</v>
      </c>
      <c r="H2080" s="503"/>
      <c r="I2080" s="503"/>
      <c r="J2080" s="503"/>
      <c r="K2080" s="503"/>
    </row>
    <row r="2081" spans="1:11" ht="12">
      <c r="A2081" s="504">
        <v>2142147030</v>
      </c>
      <c r="B2081" s="539" t="s">
        <v>2044</v>
      </c>
      <c r="C2081" s="505" t="s">
        <v>390</v>
      </c>
      <c r="D2081" s="506">
        <v>2000</v>
      </c>
      <c r="E2081" s="506">
        <v>2000</v>
      </c>
      <c r="F2081" s="506">
        <v>2000</v>
      </c>
      <c r="G2081" s="507">
        <v>0</v>
      </c>
      <c r="H2081" s="503"/>
      <c r="I2081" s="503"/>
      <c r="J2081" s="503"/>
      <c r="K2081" s="503"/>
    </row>
    <row r="2082" spans="1:11" ht="12">
      <c r="A2082" s="504">
        <v>2142147031</v>
      </c>
      <c r="B2082" s="539" t="s">
        <v>2476</v>
      </c>
      <c r="C2082" s="505" t="s">
        <v>390</v>
      </c>
      <c r="D2082" s="506">
        <v>2000</v>
      </c>
      <c r="E2082" s="506">
        <v>2000</v>
      </c>
      <c r="F2082" s="506">
        <v>2000</v>
      </c>
      <c r="G2082" s="507">
        <v>0</v>
      </c>
      <c r="H2082" s="503"/>
      <c r="I2082" s="503"/>
      <c r="J2082" s="503"/>
      <c r="K2082" s="503"/>
    </row>
    <row r="2083" spans="1:11" ht="12">
      <c r="A2083" s="504">
        <v>2142147032</v>
      </c>
      <c r="B2083" s="539" t="s">
        <v>2477</v>
      </c>
      <c r="C2083" s="505" t="s">
        <v>390</v>
      </c>
      <c r="D2083" s="506">
        <v>2000</v>
      </c>
      <c r="E2083" s="506">
        <v>1522</v>
      </c>
      <c r="F2083" s="506">
        <v>1522</v>
      </c>
      <c r="G2083" s="507">
        <v>0</v>
      </c>
      <c r="H2083" s="503"/>
      <c r="I2083" s="503"/>
      <c r="J2083" s="503"/>
      <c r="K2083" s="503"/>
    </row>
    <row r="2084" spans="1:11" ht="12">
      <c r="A2084" s="504">
        <v>2142147033</v>
      </c>
      <c r="B2084" s="539" t="s">
        <v>2478</v>
      </c>
      <c r="C2084" s="505" t="s">
        <v>390</v>
      </c>
      <c r="D2084" s="506">
        <v>2000</v>
      </c>
      <c r="E2084" s="506">
        <v>1707</v>
      </c>
      <c r="F2084" s="506">
        <v>1707</v>
      </c>
      <c r="G2084" s="507">
        <v>0</v>
      </c>
      <c r="H2084" s="503"/>
      <c r="I2084" s="503"/>
      <c r="J2084" s="503"/>
      <c r="K2084" s="503"/>
    </row>
    <row r="2085" spans="1:11" ht="12">
      <c r="A2085" s="504">
        <v>2142147034</v>
      </c>
      <c r="B2085" s="539" t="s">
        <v>2479</v>
      </c>
      <c r="C2085" s="505" t="s">
        <v>390</v>
      </c>
      <c r="D2085" s="506">
        <v>2000</v>
      </c>
      <c r="E2085" s="506">
        <v>2000</v>
      </c>
      <c r="F2085" s="506">
        <v>2000</v>
      </c>
      <c r="G2085" s="507">
        <v>0</v>
      </c>
      <c r="H2085" s="503"/>
      <c r="I2085" s="503"/>
      <c r="J2085" s="503"/>
      <c r="K2085" s="503"/>
    </row>
    <row r="2086" spans="1:11" ht="12">
      <c r="A2086" s="504">
        <v>2142147035</v>
      </c>
      <c r="B2086" s="539" t="s">
        <v>2480</v>
      </c>
      <c r="C2086" s="505" t="s">
        <v>390</v>
      </c>
      <c r="D2086" s="506">
        <v>2000</v>
      </c>
      <c r="E2086" s="506">
        <v>0</v>
      </c>
      <c r="F2086" s="506">
        <v>0</v>
      </c>
      <c r="G2086" s="507">
        <v>0</v>
      </c>
      <c r="H2086" s="503"/>
      <c r="I2086" s="503"/>
      <c r="J2086" s="503"/>
      <c r="K2086" s="503"/>
    </row>
    <row r="2087" spans="1:11" ht="12">
      <c r="A2087" s="504">
        <v>2142147036</v>
      </c>
      <c r="B2087" s="539" t="s">
        <v>2481</v>
      </c>
      <c r="C2087" s="505" t="s">
        <v>390</v>
      </c>
      <c r="D2087" s="506">
        <v>2000</v>
      </c>
      <c r="E2087" s="506">
        <v>1959</v>
      </c>
      <c r="F2087" s="506">
        <v>1959</v>
      </c>
      <c r="G2087" s="507">
        <v>0</v>
      </c>
      <c r="H2087" s="503"/>
      <c r="I2087" s="503"/>
      <c r="J2087" s="503"/>
      <c r="K2087" s="503"/>
    </row>
    <row r="2088" spans="1:11" ht="12">
      <c r="A2088" s="504">
        <v>2142147037</v>
      </c>
      <c r="B2088" s="539" t="s">
        <v>2482</v>
      </c>
      <c r="C2088" s="505" t="s">
        <v>390</v>
      </c>
      <c r="D2088" s="506">
        <v>2000</v>
      </c>
      <c r="E2088" s="506">
        <v>2000</v>
      </c>
      <c r="F2088" s="506">
        <v>2000</v>
      </c>
      <c r="G2088" s="507">
        <v>0</v>
      </c>
      <c r="H2088" s="503"/>
      <c r="I2088" s="503"/>
      <c r="J2088" s="503"/>
      <c r="K2088" s="503"/>
    </row>
    <row r="2089" spans="1:11" ht="12">
      <c r="A2089" s="504">
        <v>2142147038</v>
      </c>
      <c r="B2089" s="539" t="s">
        <v>2483</v>
      </c>
      <c r="C2089" s="505" t="s">
        <v>390</v>
      </c>
      <c r="D2089" s="506">
        <v>2000</v>
      </c>
      <c r="E2089" s="506">
        <v>2000</v>
      </c>
      <c r="F2089" s="506">
        <v>2000</v>
      </c>
      <c r="G2089" s="507">
        <v>0</v>
      </c>
      <c r="H2089" s="503"/>
      <c r="I2089" s="503"/>
      <c r="J2089" s="503"/>
      <c r="K2089" s="503"/>
    </row>
    <row r="2090" spans="1:11" ht="12">
      <c r="A2090" s="504">
        <v>2142147039</v>
      </c>
      <c r="B2090" s="539" t="s">
        <v>2484</v>
      </c>
      <c r="C2090" s="505" t="s">
        <v>390</v>
      </c>
      <c r="D2090" s="506">
        <v>2000</v>
      </c>
      <c r="E2090" s="506">
        <v>2000</v>
      </c>
      <c r="F2090" s="506">
        <v>2000</v>
      </c>
      <c r="G2090" s="507">
        <v>0</v>
      </c>
      <c r="H2090" s="503"/>
      <c r="I2090" s="503"/>
      <c r="J2090" s="503"/>
      <c r="K2090" s="503"/>
    </row>
    <row r="2091" spans="1:11" ht="12">
      <c r="A2091" s="504">
        <v>2142147040</v>
      </c>
      <c r="B2091" s="539" t="s">
        <v>2485</v>
      </c>
      <c r="C2091" s="505" t="s">
        <v>390</v>
      </c>
      <c r="D2091" s="506">
        <v>2000</v>
      </c>
      <c r="E2091" s="506">
        <v>2000</v>
      </c>
      <c r="F2091" s="506">
        <v>2000</v>
      </c>
      <c r="G2091" s="507">
        <v>0</v>
      </c>
      <c r="H2091" s="503"/>
      <c r="I2091" s="503"/>
      <c r="J2091" s="503"/>
      <c r="K2091" s="503"/>
    </row>
    <row r="2092" spans="1:11" ht="12">
      <c r="A2092" s="504">
        <v>2142147041</v>
      </c>
      <c r="B2092" s="539" t="s">
        <v>2486</v>
      </c>
      <c r="C2092" s="505" t="s">
        <v>390</v>
      </c>
      <c r="D2092" s="506">
        <v>230</v>
      </c>
      <c r="E2092" s="506">
        <v>230</v>
      </c>
      <c r="F2092" s="506">
        <v>230</v>
      </c>
      <c r="G2092" s="507">
        <v>0</v>
      </c>
      <c r="H2092" s="503"/>
      <c r="I2092" s="503"/>
      <c r="J2092" s="503"/>
      <c r="K2092" s="503"/>
    </row>
    <row r="2093" spans="1:11" ht="12">
      <c r="A2093" s="504">
        <v>2142147042</v>
      </c>
      <c r="B2093" s="539" t="s">
        <v>2487</v>
      </c>
      <c r="C2093" s="505" t="s">
        <v>390</v>
      </c>
      <c r="D2093" s="506">
        <v>425</v>
      </c>
      <c r="E2093" s="506">
        <v>0</v>
      </c>
      <c r="F2093" s="506">
        <v>0</v>
      </c>
      <c r="G2093" s="507">
        <v>0</v>
      </c>
      <c r="H2093" s="503"/>
      <c r="I2093" s="503"/>
      <c r="J2093" s="503"/>
      <c r="K2093" s="503"/>
    </row>
    <row r="2094" spans="1:11" ht="12">
      <c r="A2094" s="504">
        <v>2142147043</v>
      </c>
      <c r="B2094" s="539" t="s">
        <v>2488</v>
      </c>
      <c r="C2094" s="505" t="s">
        <v>390</v>
      </c>
      <c r="D2094" s="506">
        <v>400</v>
      </c>
      <c r="E2094" s="506">
        <v>400</v>
      </c>
      <c r="F2094" s="506">
        <v>400</v>
      </c>
      <c r="G2094" s="507">
        <v>0</v>
      </c>
      <c r="H2094" s="503"/>
      <c r="I2094" s="503"/>
      <c r="J2094" s="503"/>
      <c r="K2094" s="503"/>
    </row>
    <row r="2095" spans="1:11" ht="12">
      <c r="A2095" s="504">
        <v>2142147044</v>
      </c>
      <c r="B2095" s="539" t="s">
        <v>2489</v>
      </c>
      <c r="C2095" s="505" t="s">
        <v>390</v>
      </c>
      <c r="D2095" s="506">
        <v>150</v>
      </c>
      <c r="E2095" s="506">
        <v>150</v>
      </c>
      <c r="F2095" s="506">
        <v>150</v>
      </c>
      <c r="G2095" s="507">
        <v>0</v>
      </c>
      <c r="H2095" s="503"/>
      <c r="I2095" s="503"/>
      <c r="J2095" s="503"/>
      <c r="K2095" s="503"/>
    </row>
    <row r="2096" spans="1:11" ht="12">
      <c r="A2096" s="504">
        <v>2142147045</v>
      </c>
      <c r="B2096" s="539" t="s">
        <v>2490</v>
      </c>
      <c r="C2096" s="505" t="s">
        <v>390</v>
      </c>
      <c r="D2096" s="506">
        <v>300</v>
      </c>
      <c r="E2096" s="506">
        <v>0</v>
      </c>
      <c r="F2096" s="506">
        <v>0</v>
      </c>
      <c r="G2096" s="507">
        <v>0</v>
      </c>
      <c r="H2096" s="503"/>
      <c r="I2096" s="503"/>
      <c r="J2096" s="503"/>
      <c r="K2096" s="503"/>
    </row>
    <row r="2097" spans="1:11" ht="12">
      <c r="A2097" s="504">
        <v>2142147046</v>
      </c>
      <c r="B2097" s="539" t="s">
        <v>2491</v>
      </c>
      <c r="C2097" s="505" t="s">
        <v>390</v>
      </c>
      <c r="D2097" s="506">
        <v>150</v>
      </c>
      <c r="E2097" s="506">
        <v>150</v>
      </c>
      <c r="F2097" s="506">
        <v>150</v>
      </c>
      <c r="G2097" s="507">
        <v>0</v>
      </c>
      <c r="H2097" s="503"/>
      <c r="I2097" s="503"/>
      <c r="J2097" s="503"/>
      <c r="K2097" s="503"/>
    </row>
    <row r="2098" spans="1:11" ht="12">
      <c r="A2098" s="504">
        <v>2142147047</v>
      </c>
      <c r="B2098" s="539" t="s">
        <v>2492</v>
      </c>
      <c r="C2098" s="505" t="s">
        <v>390</v>
      </c>
      <c r="D2098" s="506">
        <v>95</v>
      </c>
      <c r="E2098" s="506">
        <v>95</v>
      </c>
      <c r="F2098" s="506">
        <v>95</v>
      </c>
      <c r="G2098" s="507">
        <v>0</v>
      </c>
      <c r="H2098" s="503"/>
      <c r="I2098" s="503"/>
      <c r="J2098" s="503"/>
      <c r="K2098" s="503"/>
    </row>
    <row r="2099" spans="1:11" ht="12">
      <c r="A2099" s="504">
        <v>2142147048</v>
      </c>
      <c r="B2099" s="539" t="s">
        <v>2493</v>
      </c>
      <c r="C2099" s="505" t="s">
        <v>390</v>
      </c>
      <c r="D2099" s="506">
        <v>800</v>
      </c>
      <c r="E2099" s="506">
        <v>800</v>
      </c>
      <c r="F2099" s="506">
        <v>800</v>
      </c>
      <c r="G2099" s="507">
        <v>0</v>
      </c>
      <c r="H2099" s="503"/>
      <c r="I2099" s="503"/>
      <c r="J2099" s="503"/>
      <c r="K2099" s="503"/>
    </row>
    <row r="2100" spans="1:11" ht="12">
      <c r="A2100" s="504">
        <v>2142147049</v>
      </c>
      <c r="B2100" s="539" t="s">
        <v>2494</v>
      </c>
      <c r="C2100" s="505" t="s">
        <v>390</v>
      </c>
      <c r="D2100" s="506">
        <v>150</v>
      </c>
      <c r="E2100" s="506">
        <v>150</v>
      </c>
      <c r="F2100" s="506">
        <v>150</v>
      </c>
      <c r="G2100" s="507">
        <v>0</v>
      </c>
      <c r="H2100" s="503"/>
      <c r="I2100" s="503"/>
      <c r="J2100" s="503"/>
      <c r="K2100" s="503"/>
    </row>
    <row r="2101" spans="1:11" ht="12">
      <c r="A2101" s="504">
        <v>2142147050</v>
      </c>
      <c r="B2101" s="539" t="s">
        <v>2495</v>
      </c>
      <c r="C2101" s="505" t="s">
        <v>390</v>
      </c>
      <c r="D2101" s="506">
        <v>0</v>
      </c>
      <c r="E2101" s="506">
        <v>2000</v>
      </c>
      <c r="F2101" s="506">
        <v>2000</v>
      </c>
      <c r="G2101" s="507">
        <v>0</v>
      </c>
      <c r="H2101" s="503"/>
      <c r="I2101" s="503"/>
      <c r="J2101" s="503"/>
      <c r="K2101" s="503"/>
    </row>
    <row r="2102" spans="1:11" ht="12">
      <c r="A2102" s="504">
        <v>2142147051</v>
      </c>
      <c r="B2102" s="539" t="s">
        <v>2496</v>
      </c>
      <c r="C2102" s="505" t="s">
        <v>390</v>
      </c>
      <c r="D2102" s="506">
        <v>0</v>
      </c>
      <c r="E2102" s="506">
        <v>2000</v>
      </c>
      <c r="F2102" s="506">
        <v>2000</v>
      </c>
      <c r="G2102" s="507">
        <v>0</v>
      </c>
      <c r="H2102" s="503"/>
      <c r="I2102" s="503"/>
      <c r="J2102" s="503"/>
      <c r="K2102" s="503"/>
    </row>
    <row r="2103" spans="1:11" ht="12">
      <c r="A2103" s="504">
        <v>2142147052</v>
      </c>
      <c r="B2103" s="539" t="s">
        <v>2497</v>
      </c>
      <c r="C2103" s="505" t="s">
        <v>390</v>
      </c>
      <c r="D2103" s="506">
        <v>0</v>
      </c>
      <c r="E2103" s="506">
        <v>2000</v>
      </c>
      <c r="F2103" s="506">
        <v>2000</v>
      </c>
      <c r="G2103" s="507">
        <v>0</v>
      </c>
      <c r="H2103" s="503"/>
      <c r="I2103" s="503"/>
      <c r="J2103" s="503"/>
      <c r="K2103" s="503"/>
    </row>
    <row r="2104" spans="1:11" ht="12">
      <c r="A2104" s="504">
        <v>2142147053</v>
      </c>
      <c r="B2104" s="539" t="s">
        <v>2498</v>
      </c>
      <c r="C2104" s="505" t="s">
        <v>390</v>
      </c>
      <c r="D2104" s="506">
        <v>0</v>
      </c>
      <c r="E2104" s="506">
        <v>2000</v>
      </c>
      <c r="F2104" s="506">
        <v>2000</v>
      </c>
      <c r="G2104" s="507">
        <v>0</v>
      </c>
      <c r="H2104" s="503"/>
      <c r="I2104" s="503"/>
      <c r="J2104" s="503"/>
      <c r="K2104" s="503"/>
    </row>
    <row r="2105" spans="1:11" ht="12">
      <c r="A2105" s="504">
        <v>2142147055</v>
      </c>
      <c r="B2105" s="539" t="s">
        <v>2499</v>
      </c>
      <c r="C2105" s="505" t="s">
        <v>390</v>
      </c>
      <c r="D2105" s="506">
        <v>0</v>
      </c>
      <c r="E2105" s="506">
        <v>2000</v>
      </c>
      <c r="F2105" s="506">
        <v>2000</v>
      </c>
      <c r="G2105" s="507">
        <v>0</v>
      </c>
      <c r="H2105" s="503"/>
      <c r="I2105" s="503"/>
      <c r="J2105" s="503"/>
      <c r="K2105" s="503"/>
    </row>
    <row r="2106" spans="1:11" ht="12">
      <c r="A2106" s="504">
        <v>2142147056</v>
      </c>
      <c r="B2106" s="539" t="s">
        <v>1528</v>
      </c>
      <c r="C2106" s="505" t="s">
        <v>390</v>
      </c>
      <c r="D2106" s="506">
        <v>0</v>
      </c>
      <c r="E2106" s="506">
        <v>2000</v>
      </c>
      <c r="F2106" s="506">
        <v>2000</v>
      </c>
      <c r="G2106" s="507">
        <v>0</v>
      </c>
      <c r="H2106" s="503"/>
      <c r="I2106" s="503"/>
      <c r="J2106" s="503"/>
      <c r="K2106" s="503"/>
    </row>
    <row r="2107" spans="1:11" ht="12">
      <c r="A2107" s="504">
        <v>2142147057</v>
      </c>
      <c r="B2107" s="539" t="s">
        <v>475</v>
      </c>
      <c r="C2107" s="505" t="s">
        <v>390</v>
      </c>
      <c r="D2107" s="506">
        <v>0</v>
      </c>
      <c r="E2107" s="506">
        <v>1999</v>
      </c>
      <c r="F2107" s="506">
        <v>1999</v>
      </c>
      <c r="G2107" s="507">
        <v>0</v>
      </c>
      <c r="H2107" s="503"/>
      <c r="I2107" s="503"/>
      <c r="J2107" s="503"/>
      <c r="K2107" s="503"/>
    </row>
    <row r="2108" spans="1:11" ht="12">
      <c r="A2108" s="504">
        <v>2142147058</v>
      </c>
      <c r="B2108" s="539" t="s">
        <v>476</v>
      </c>
      <c r="C2108" s="505" t="s">
        <v>390</v>
      </c>
      <c r="D2108" s="506">
        <v>0</v>
      </c>
      <c r="E2108" s="506">
        <v>2000</v>
      </c>
      <c r="F2108" s="506">
        <v>2000</v>
      </c>
      <c r="G2108" s="507">
        <v>0</v>
      </c>
      <c r="H2108" s="503"/>
      <c r="I2108" s="503"/>
      <c r="J2108" s="503"/>
      <c r="K2108" s="503"/>
    </row>
    <row r="2109" spans="1:11" ht="12">
      <c r="A2109" s="504">
        <v>2142147059</v>
      </c>
      <c r="B2109" s="539" t="s">
        <v>477</v>
      </c>
      <c r="C2109" s="505" t="s">
        <v>390</v>
      </c>
      <c r="D2109" s="506">
        <v>0</v>
      </c>
      <c r="E2109" s="506">
        <v>1844</v>
      </c>
      <c r="F2109" s="506">
        <v>1844</v>
      </c>
      <c r="G2109" s="507">
        <v>0</v>
      </c>
      <c r="H2109" s="503"/>
      <c r="I2109" s="503"/>
      <c r="J2109" s="503"/>
      <c r="K2109" s="503"/>
    </row>
    <row r="2110" spans="1:11" ht="12">
      <c r="A2110" s="504">
        <v>2142147060</v>
      </c>
      <c r="B2110" s="539" t="s">
        <v>478</v>
      </c>
      <c r="C2110" s="505" t="s">
        <v>390</v>
      </c>
      <c r="D2110" s="506">
        <v>0</v>
      </c>
      <c r="E2110" s="506">
        <v>2000</v>
      </c>
      <c r="F2110" s="506">
        <v>2000</v>
      </c>
      <c r="G2110" s="507">
        <v>0</v>
      </c>
      <c r="H2110" s="503"/>
      <c r="I2110" s="503"/>
      <c r="J2110" s="503"/>
      <c r="K2110" s="503"/>
    </row>
    <row r="2111" spans="1:11" ht="12">
      <c r="A2111" s="504">
        <v>2142147061</v>
      </c>
      <c r="B2111" s="539" t="s">
        <v>479</v>
      </c>
      <c r="C2111" s="505" t="s">
        <v>390</v>
      </c>
      <c r="D2111" s="506">
        <v>0</v>
      </c>
      <c r="E2111" s="506">
        <v>2000</v>
      </c>
      <c r="F2111" s="506">
        <v>2000</v>
      </c>
      <c r="G2111" s="507">
        <v>0</v>
      </c>
      <c r="H2111" s="503"/>
      <c r="I2111" s="503"/>
      <c r="J2111" s="503"/>
      <c r="K2111" s="503"/>
    </row>
    <row r="2112" spans="1:11" ht="12">
      <c r="A2112" s="504">
        <v>2142147062</v>
      </c>
      <c r="B2112" s="539" t="s">
        <v>480</v>
      </c>
      <c r="C2112" s="505" t="s">
        <v>390</v>
      </c>
      <c r="D2112" s="506">
        <v>0</v>
      </c>
      <c r="E2112" s="506">
        <v>2000</v>
      </c>
      <c r="F2112" s="506">
        <v>2000</v>
      </c>
      <c r="G2112" s="507">
        <v>0</v>
      </c>
      <c r="H2112" s="503"/>
      <c r="I2112" s="503"/>
      <c r="J2112" s="503"/>
      <c r="K2112" s="503"/>
    </row>
    <row r="2113" spans="1:11" ht="12">
      <c r="A2113" s="504">
        <v>2142147063</v>
      </c>
      <c r="B2113" s="539" t="s">
        <v>481</v>
      </c>
      <c r="C2113" s="505" t="s">
        <v>390</v>
      </c>
      <c r="D2113" s="506">
        <v>0</v>
      </c>
      <c r="E2113" s="506">
        <v>2000</v>
      </c>
      <c r="F2113" s="506">
        <v>2000</v>
      </c>
      <c r="G2113" s="507">
        <v>0</v>
      </c>
      <c r="H2113" s="503"/>
      <c r="I2113" s="503"/>
      <c r="J2113" s="503"/>
      <c r="K2113" s="503"/>
    </row>
    <row r="2114" spans="1:11" ht="12">
      <c r="A2114" s="504">
        <v>2142147064</v>
      </c>
      <c r="B2114" s="539" t="s">
        <v>482</v>
      </c>
      <c r="C2114" s="505" t="s">
        <v>390</v>
      </c>
      <c r="D2114" s="506">
        <v>0</v>
      </c>
      <c r="E2114" s="506">
        <v>2000</v>
      </c>
      <c r="F2114" s="506">
        <v>2000</v>
      </c>
      <c r="G2114" s="507">
        <v>0</v>
      </c>
      <c r="H2114" s="503"/>
      <c r="I2114" s="503"/>
      <c r="J2114" s="503"/>
      <c r="K2114" s="503"/>
    </row>
    <row r="2115" spans="1:11" ht="12">
      <c r="A2115" s="504">
        <v>2142147065</v>
      </c>
      <c r="B2115" s="539" t="s">
        <v>2114</v>
      </c>
      <c r="C2115" s="505" t="s">
        <v>390</v>
      </c>
      <c r="D2115" s="506">
        <v>0</v>
      </c>
      <c r="E2115" s="506">
        <v>1942</v>
      </c>
      <c r="F2115" s="506">
        <v>1942</v>
      </c>
      <c r="G2115" s="507">
        <v>0</v>
      </c>
      <c r="H2115" s="503"/>
      <c r="I2115" s="503"/>
      <c r="J2115" s="503"/>
      <c r="K2115" s="503"/>
    </row>
    <row r="2116" spans="1:11" ht="12">
      <c r="A2116" s="504">
        <v>2142147066</v>
      </c>
      <c r="B2116" s="539" t="s">
        <v>2115</v>
      </c>
      <c r="C2116" s="505" t="s">
        <v>390</v>
      </c>
      <c r="D2116" s="506">
        <v>0</v>
      </c>
      <c r="E2116" s="506">
        <v>1996</v>
      </c>
      <c r="F2116" s="506">
        <v>1996</v>
      </c>
      <c r="G2116" s="507">
        <v>0</v>
      </c>
      <c r="H2116" s="503"/>
      <c r="I2116" s="503"/>
      <c r="J2116" s="503"/>
      <c r="K2116" s="503"/>
    </row>
    <row r="2117" spans="1:11" ht="12">
      <c r="A2117" s="504">
        <v>2142147067</v>
      </c>
      <c r="B2117" s="539" t="s">
        <v>2116</v>
      </c>
      <c r="C2117" s="505" t="s">
        <v>390</v>
      </c>
      <c r="D2117" s="506">
        <v>0</v>
      </c>
      <c r="E2117" s="506">
        <v>2000</v>
      </c>
      <c r="F2117" s="506">
        <v>2000</v>
      </c>
      <c r="G2117" s="507">
        <v>0</v>
      </c>
      <c r="H2117" s="503"/>
      <c r="I2117" s="503"/>
      <c r="J2117" s="503"/>
      <c r="K2117" s="503"/>
    </row>
    <row r="2118" spans="1:11" ht="12">
      <c r="A2118" s="504">
        <v>2142147068</v>
      </c>
      <c r="B2118" s="539" t="s">
        <v>2117</v>
      </c>
      <c r="C2118" s="505" t="s">
        <v>390</v>
      </c>
      <c r="D2118" s="506">
        <v>0</v>
      </c>
      <c r="E2118" s="506">
        <v>1999</v>
      </c>
      <c r="F2118" s="506">
        <v>1999</v>
      </c>
      <c r="G2118" s="507">
        <v>0</v>
      </c>
      <c r="H2118" s="503"/>
      <c r="I2118" s="503"/>
      <c r="J2118" s="503"/>
      <c r="K2118" s="503"/>
    </row>
    <row r="2119" spans="1:11" ht="12">
      <c r="A2119" s="504">
        <v>2142147069</v>
      </c>
      <c r="B2119" s="539" t="s">
        <v>2118</v>
      </c>
      <c r="C2119" s="505" t="s">
        <v>390</v>
      </c>
      <c r="D2119" s="506">
        <v>0</v>
      </c>
      <c r="E2119" s="506">
        <v>2000</v>
      </c>
      <c r="F2119" s="506">
        <v>2000</v>
      </c>
      <c r="G2119" s="507">
        <v>0</v>
      </c>
      <c r="H2119" s="503"/>
      <c r="I2119" s="503"/>
      <c r="J2119" s="503"/>
      <c r="K2119" s="503"/>
    </row>
    <row r="2120" spans="1:11" ht="12">
      <c r="A2120" s="504">
        <v>2142147070</v>
      </c>
      <c r="B2120" s="539" t="s">
        <v>2119</v>
      </c>
      <c r="C2120" s="505" t="s">
        <v>390</v>
      </c>
      <c r="D2120" s="506">
        <v>0</v>
      </c>
      <c r="E2120" s="506">
        <v>2000</v>
      </c>
      <c r="F2120" s="506">
        <v>2000</v>
      </c>
      <c r="G2120" s="507">
        <v>0</v>
      </c>
      <c r="H2120" s="503"/>
      <c r="I2120" s="503"/>
      <c r="J2120" s="503"/>
      <c r="K2120" s="503"/>
    </row>
    <row r="2121" spans="1:11" ht="12">
      <c r="A2121" s="504">
        <v>2142147071</v>
      </c>
      <c r="B2121" s="539" t="s">
        <v>2120</v>
      </c>
      <c r="C2121" s="505" t="s">
        <v>390</v>
      </c>
      <c r="D2121" s="506">
        <v>0</v>
      </c>
      <c r="E2121" s="506">
        <v>2000</v>
      </c>
      <c r="F2121" s="506">
        <v>2000</v>
      </c>
      <c r="G2121" s="507">
        <v>0</v>
      </c>
      <c r="H2121" s="503"/>
      <c r="I2121" s="503"/>
      <c r="J2121" s="503"/>
      <c r="K2121" s="503"/>
    </row>
    <row r="2122" spans="1:11" ht="12">
      <c r="A2122" s="504">
        <v>2142147072</v>
      </c>
      <c r="B2122" s="539" t="s">
        <v>2064</v>
      </c>
      <c r="C2122" s="505" t="s">
        <v>390</v>
      </c>
      <c r="D2122" s="506">
        <v>0</v>
      </c>
      <c r="E2122" s="506">
        <v>2000</v>
      </c>
      <c r="F2122" s="506">
        <v>2000</v>
      </c>
      <c r="G2122" s="507">
        <v>0</v>
      </c>
      <c r="H2122" s="503"/>
      <c r="I2122" s="503"/>
      <c r="J2122" s="503"/>
      <c r="K2122" s="503"/>
    </row>
    <row r="2123" spans="1:11" ht="12">
      <c r="A2123" s="504">
        <v>2142147073</v>
      </c>
      <c r="B2123" s="539" t="s">
        <v>2065</v>
      </c>
      <c r="C2123" s="505" t="s">
        <v>390</v>
      </c>
      <c r="D2123" s="506">
        <v>0</v>
      </c>
      <c r="E2123" s="506">
        <v>2000</v>
      </c>
      <c r="F2123" s="506">
        <v>2000</v>
      </c>
      <c r="G2123" s="507">
        <v>0</v>
      </c>
      <c r="H2123" s="503"/>
      <c r="I2123" s="503"/>
      <c r="J2123" s="503"/>
      <c r="K2123" s="503"/>
    </row>
    <row r="2124" spans="1:11" ht="12">
      <c r="A2124" s="504">
        <v>2142147074</v>
      </c>
      <c r="B2124" s="539" t="s">
        <v>2066</v>
      </c>
      <c r="C2124" s="505" t="s">
        <v>390</v>
      </c>
      <c r="D2124" s="506">
        <v>0</v>
      </c>
      <c r="E2124" s="506">
        <v>2000</v>
      </c>
      <c r="F2124" s="506">
        <v>2000</v>
      </c>
      <c r="G2124" s="507">
        <v>0</v>
      </c>
      <c r="H2124" s="503"/>
      <c r="I2124" s="503"/>
      <c r="J2124" s="503"/>
      <c r="K2124" s="503"/>
    </row>
    <row r="2125" spans="1:11" ht="12">
      <c r="A2125" s="504">
        <v>2142147075</v>
      </c>
      <c r="B2125" s="539" t="s">
        <v>2067</v>
      </c>
      <c r="C2125" s="505" t="s">
        <v>390</v>
      </c>
      <c r="D2125" s="506">
        <v>0</v>
      </c>
      <c r="E2125" s="506">
        <v>2000</v>
      </c>
      <c r="F2125" s="506">
        <v>1997</v>
      </c>
      <c r="G2125" s="507">
        <v>3</v>
      </c>
      <c r="H2125" s="503"/>
      <c r="I2125" s="503"/>
      <c r="J2125" s="503"/>
      <c r="K2125" s="503"/>
    </row>
    <row r="2126" spans="1:11" ht="12">
      <c r="A2126" s="504">
        <v>2142147076</v>
      </c>
      <c r="B2126" s="539" t="s">
        <v>2068</v>
      </c>
      <c r="C2126" s="505" t="s">
        <v>390</v>
      </c>
      <c r="D2126" s="506">
        <v>0</v>
      </c>
      <c r="E2126" s="506">
        <v>2000</v>
      </c>
      <c r="F2126" s="506">
        <v>2000</v>
      </c>
      <c r="G2126" s="507">
        <v>0</v>
      </c>
      <c r="H2126" s="503"/>
      <c r="I2126" s="503"/>
      <c r="J2126" s="503"/>
      <c r="K2126" s="503"/>
    </row>
    <row r="2127" spans="1:11" ht="12">
      <c r="A2127" s="504">
        <v>2142147077</v>
      </c>
      <c r="B2127" s="539" t="s">
        <v>2069</v>
      </c>
      <c r="C2127" s="505" t="s">
        <v>390</v>
      </c>
      <c r="D2127" s="506">
        <v>0</v>
      </c>
      <c r="E2127" s="506">
        <v>2000</v>
      </c>
      <c r="F2127" s="506">
        <v>2000</v>
      </c>
      <c r="G2127" s="507">
        <v>0</v>
      </c>
      <c r="H2127" s="503"/>
      <c r="I2127" s="503"/>
      <c r="J2127" s="503"/>
      <c r="K2127" s="503"/>
    </row>
    <row r="2128" spans="1:11" ht="12">
      <c r="A2128" s="504">
        <v>2142147078</v>
      </c>
      <c r="B2128" s="539" t="s">
        <v>2070</v>
      </c>
      <c r="C2128" s="505" t="s">
        <v>390</v>
      </c>
      <c r="D2128" s="506">
        <v>0</v>
      </c>
      <c r="E2128" s="506">
        <v>1942</v>
      </c>
      <c r="F2128" s="506">
        <v>1856</v>
      </c>
      <c r="G2128" s="507">
        <v>86</v>
      </c>
      <c r="H2128" s="503"/>
      <c r="I2128" s="503"/>
      <c r="J2128" s="503"/>
      <c r="K2128" s="503"/>
    </row>
    <row r="2129" spans="1:11" ht="12">
      <c r="A2129" s="504">
        <v>2142147079</v>
      </c>
      <c r="B2129" s="539" t="s">
        <v>2071</v>
      </c>
      <c r="C2129" s="505" t="s">
        <v>390</v>
      </c>
      <c r="D2129" s="506">
        <v>0</v>
      </c>
      <c r="E2129" s="506">
        <v>2000</v>
      </c>
      <c r="F2129" s="506">
        <v>2000</v>
      </c>
      <c r="G2129" s="507">
        <v>0</v>
      </c>
      <c r="H2129" s="503"/>
      <c r="I2129" s="503"/>
      <c r="J2129" s="503"/>
      <c r="K2129" s="503"/>
    </row>
    <row r="2130" spans="1:11" ht="12">
      <c r="A2130" s="504">
        <v>2142147080</v>
      </c>
      <c r="B2130" s="539" t="s">
        <v>2072</v>
      </c>
      <c r="C2130" s="505" t="s">
        <v>390</v>
      </c>
      <c r="D2130" s="506">
        <v>0</v>
      </c>
      <c r="E2130" s="506">
        <v>2000</v>
      </c>
      <c r="F2130" s="506">
        <v>2000</v>
      </c>
      <c r="G2130" s="507">
        <v>0</v>
      </c>
      <c r="H2130" s="503"/>
      <c r="I2130" s="503"/>
      <c r="J2130" s="503"/>
      <c r="K2130" s="503"/>
    </row>
    <row r="2131" spans="1:11" ht="12">
      <c r="A2131" s="504">
        <v>2142147081</v>
      </c>
      <c r="B2131" s="539" t="s">
        <v>2073</v>
      </c>
      <c r="C2131" s="505" t="s">
        <v>390</v>
      </c>
      <c r="D2131" s="506">
        <v>0</v>
      </c>
      <c r="E2131" s="506">
        <v>2000</v>
      </c>
      <c r="F2131" s="506">
        <v>1995</v>
      </c>
      <c r="G2131" s="507">
        <v>5</v>
      </c>
      <c r="H2131" s="503"/>
      <c r="I2131" s="503"/>
      <c r="J2131" s="503"/>
      <c r="K2131" s="503"/>
    </row>
    <row r="2132" spans="1:11" ht="12">
      <c r="A2132" s="504">
        <v>2142147082</v>
      </c>
      <c r="B2132" s="539" t="s">
        <v>2074</v>
      </c>
      <c r="C2132" s="505" t="s">
        <v>390</v>
      </c>
      <c r="D2132" s="506">
        <v>0</v>
      </c>
      <c r="E2132" s="506">
        <v>1985</v>
      </c>
      <c r="F2132" s="506">
        <v>1985</v>
      </c>
      <c r="G2132" s="507">
        <v>0</v>
      </c>
      <c r="H2132" s="503"/>
      <c r="I2132" s="503"/>
      <c r="J2132" s="503"/>
      <c r="K2132" s="503"/>
    </row>
    <row r="2133" spans="1:11" ht="12">
      <c r="A2133" s="504">
        <v>2142147083</v>
      </c>
      <c r="B2133" s="539" t="s">
        <v>2075</v>
      </c>
      <c r="C2133" s="505" t="s">
        <v>390</v>
      </c>
      <c r="D2133" s="506">
        <v>0</v>
      </c>
      <c r="E2133" s="506">
        <v>2000</v>
      </c>
      <c r="F2133" s="506">
        <v>2000</v>
      </c>
      <c r="G2133" s="507">
        <v>0</v>
      </c>
      <c r="H2133" s="503"/>
      <c r="I2133" s="503"/>
      <c r="J2133" s="503"/>
      <c r="K2133" s="503"/>
    </row>
    <row r="2134" spans="1:11" ht="12">
      <c r="A2134" s="504">
        <v>2142147084</v>
      </c>
      <c r="B2134" s="539" t="s">
        <v>1974</v>
      </c>
      <c r="C2134" s="505" t="s">
        <v>390</v>
      </c>
      <c r="D2134" s="506">
        <v>0</v>
      </c>
      <c r="E2134" s="506">
        <v>1522</v>
      </c>
      <c r="F2134" s="506">
        <v>1522</v>
      </c>
      <c r="G2134" s="507">
        <v>0</v>
      </c>
      <c r="H2134" s="503"/>
      <c r="I2134" s="503"/>
      <c r="J2134" s="503"/>
      <c r="K2134" s="503"/>
    </row>
    <row r="2135" spans="1:11" ht="12">
      <c r="A2135" s="504">
        <v>2142147085</v>
      </c>
      <c r="B2135" s="539" t="s">
        <v>1975</v>
      </c>
      <c r="C2135" s="505" t="s">
        <v>390</v>
      </c>
      <c r="D2135" s="506">
        <v>0</v>
      </c>
      <c r="E2135" s="506">
        <v>2000</v>
      </c>
      <c r="F2135" s="506">
        <v>2000</v>
      </c>
      <c r="G2135" s="507">
        <v>0</v>
      </c>
      <c r="H2135" s="503"/>
      <c r="I2135" s="503"/>
      <c r="J2135" s="503"/>
      <c r="K2135" s="503"/>
    </row>
    <row r="2136" spans="1:11" ht="12">
      <c r="A2136" s="504">
        <v>2142147086</v>
      </c>
      <c r="B2136" s="539" t="s">
        <v>1976</v>
      </c>
      <c r="C2136" s="505" t="s">
        <v>390</v>
      </c>
      <c r="D2136" s="506">
        <v>0</v>
      </c>
      <c r="E2136" s="506">
        <v>2000</v>
      </c>
      <c r="F2136" s="506">
        <v>2000</v>
      </c>
      <c r="G2136" s="507">
        <v>0</v>
      </c>
      <c r="H2136" s="503"/>
      <c r="I2136" s="503"/>
      <c r="J2136" s="503"/>
      <c r="K2136" s="503"/>
    </row>
    <row r="2137" spans="1:11" ht="12">
      <c r="A2137" s="504">
        <v>2142147087</v>
      </c>
      <c r="B2137" s="539" t="s">
        <v>1977</v>
      </c>
      <c r="C2137" s="505" t="s">
        <v>390</v>
      </c>
      <c r="D2137" s="506">
        <v>0</v>
      </c>
      <c r="E2137" s="506">
        <v>2000</v>
      </c>
      <c r="F2137" s="506">
        <v>2000</v>
      </c>
      <c r="G2137" s="507">
        <v>0</v>
      </c>
      <c r="H2137" s="503"/>
      <c r="I2137" s="503"/>
      <c r="J2137" s="503"/>
      <c r="K2137" s="503"/>
    </row>
    <row r="2138" spans="1:11" ht="12">
      <c r="A2138" s="504">
        <v>2142147088</v>
      </c>
      <c r="B2138" s="539" t="s">
        <v>1978</v>
      </c>
      <c r="C2138" s="505" t="s">
        <v>390</v>
      </c>
      <c r="D2138" s="506">
        <v>0</v>
      </c>
      <c r="E2138" s="506">
        <v>2000</v>
      </c>
      <c r="F2138" s="506">
        <v>2000</v>
      </c>
      <c r="G2138" s="507">
        <v>0</v>
      </c>
      <c r="H2138" s="503"/>
      <c r="I2138" s="503"/>
      <c r="J2138" s="503"/>
      <c r="K2138" s="503"/>
    </row>
    <row r="2139" spans="1:11" ht="12">
      <c r="A2139" s="504">
        <v>2142147089</v>
      </c>
      <c r="B2139" s="539" t="s">
        <v>1979</v>
      </c>
      <c r="C2139" s="505" t="s">
        <v>390</v>
      </c>
      <c r="D2139" s="506">
        <v>0</v>
      </c>
      <c r="E2139" s="506">
        <v>2000</v>
      </c>
      <c r="F2139" s="506">
        <v>2000</v>
      </c>
      <c r="G2139" s="507">
        <v>0</v>
      </c>
      <c r="H2139" s="503"/>
      <c r="I2139" s="503"/>
      <c r="J2139" s="503"/>
      <c r="K2139" s="503"/>
    </row>
    <row r="2140" spans="1:11" ht="12">
      <c r="A2140" s="504">
        <v>2142147090</v>
      </c>
      <c r="B2140" s="539" t="s">
        <v>1980</v>
      </c>
      <c r="C2140" s="505" t="s">
        <v>390</v>
      </c>
      <c r="D2140" s="506">
        <v>0</v>
      </c>
      <c r="E2140" s="506">
        <v>5500</v>
      </c>
      <c r="F2140" s="506">
        <v>5500</v>
      </c>
      <c r="G2140" s="507">
        <v>0</v>
      </c>
      <c r="H2140" s="503"/>
      <c r="I2140" s="503"/>
      <c r="J2140" s="503"/>
      <c r="K2140" s="503"/>
    </row>
    <row r="2141" spans="1:11" ht="12">
      <c r="A2141" s="504">
        <v>2142147091</v>
      </c>
      <c r="B2141" s="539" t="s">
        <v>1981</v>
      </c>
      <c r="C2141" s="505" t="s">
        <v>390</v>
      </c>
      <c r="D2141" s="506">
        <v>0</v>
      </c>
      <c r="E2141" s="506">
        <v>2000</v>
      </c>
      <c r="F2141" s="506">
        <v>2000</v>
      </c>
      <c r="G2141" s="507">
        <v>0</v>
      </c>
      <c r="H2141" s="503"/>
      <c r="I2141" s="503"/>
      <c r="J2141" s="503"/>
      <c r="K2141" s="503"/>
    </row>
    <row r="2142" spans="1:11" ht="12">
      <c r="A2142" s="504">
        <v>2142147092</v>
      </c>
      <c r="B2142" s="539" t="s">
        <v>1982</v>
      </c>
      <c r="C2142" s="505" t="s">
        <v>390</v>
      </c>
      <c r="D2142" s="506">
        <v>0</v>
      </c>
      <c r="E2142" s="506">
        <v>1990</v>
      </c>
      <c r="F2142" s="506">
        <v>1990</v>
      </c>
      <c r="G2142" s="507">
        <v>0</v>
      </c>
      <c r="H2142" s="503"/>
      <c r="I2142" s="503"/>
      <c r="J2142" s="503"/>
      <c r="K2142" s="503"/>
    </row>
    <row r="2143" spans="1:11" ht="12">
      <c r="A2143" s="504">
        <v>2142147093</v>
      </c>
      <c r="B2143" s="539" t="s">
        <v>1983</v>
      </c>
      <c r="C2143" s="505" t="s">
        <v>390</v>
      </c>
      <c r="D2143" s="506">
        <v>0</v>
      </c>
      <c r="E2143" s="506">
        <v>1949</v>
      </c>
      <c r="F2143" s="506">
        <v>1949</v>
      </c>
      <c r="G2143" s="507">
        <v>0</v>
      </c>
      <c r="H2143" s="503"/>
      <c r="I2143" s="503"/>
      <c r="J2143" s="503"/>
      <c r="K2143" s="503"/>
    </row>
    <row r="2144" spans="1:11" ht="12">
      <c r="A2144" s="504">
        <v>2142147094</v>
      </c>
      <c r="B2144" s="539" t="s">
        <v>1984</v>
      </c>
      <c r="C2144" s="505" t="s">
        <v>390</v>
      </c>
      <c r="D2144" s="506">
        <v>0</v>
      </c>
      <c r="E2144" s="506">
        <v>2000</v>
      </c>
      <c r="F2144" s="506">
        <v>2000</v>
      </c>
      <c r="G2144" s="507">
        <v>0</v>
      </c>
      <c r="H2144" s="503"/>
      <c r="I2144" s="503"/>
      <c r="J2144" s="503"/>
      <c r="K2144" s="503"/>
    </row>
    <row r="2145" spans="1:11" ht="12">
      <c r="A2145" s="504">
        <v>2142147095</v>
      </c>
      <c r="B2145" s="539" t="s">
        <v>1985</v>
      </c>
      <c r="C2145" s="505" t="s">
        <v>390</v>
      </c>
      <c r="D2145" s="506">
        <v>0</v>
      </c>
      <c r="E2145" s="506">
        <v>1918</v>
      </c>
      <c r="F2145" s="506">
        <v>1918</v>
      </c>
      <c r="G2145" s="507">
        <v>0</v>
      </c>
      <c r="H2145" s="503"/>
      <c r="I2145" s="503"/>
      <c r="J2145" s="503"/>
      <c r="K2145" s="503"/>
    </row>
    <row r="2146" spans="1:11" ht="12">
      <c r="A2146" s="504">
        <v>2142147096</v>
      </c>
      <c r="B2146" s="539" t="s">
        <v>1986</v>
      </c>
      <c r="C2146" s="505" t="s">
        <v>390</v>
      </c>
      <c r="D2146" s="506">
        <v>0</v>
      </c>
      <c r="E2146" s="506">
        <v>2000</v>
      </c>
      <c r="F2146" s="506">
        <v>1690</v>
      </c>
      <c r="G2146" s="507">
        <v>310</v>
      </c>
      <c r="H2146" s="503"/>
      <c r="I2146" s="503"/>
      <c r="J2146" s="503"/>
      <c r="K2146" s="503"/>
    </row>
    <row r="2147" spans="1:11" ht="12">
      <c r="A2147" s="504">
        <v>2142147097</v>
      </c>
      <c r="B2147" s="539" t="s">
        <v>1987</v>
      </c>
      <c r="C2147" s="505" t="s">
        <v>390</v>
      </c>
      <c r="D2147" s="506">
        <v>0</v>
      </c>
      <c r="E2147" s="506">
        <v>2000</v>
      </c>
      <c r="F2147" s="506">
        <v>2000</v>
      </c>
      <c r="G2147" s="507">
        <v>0</v>
      </c>
      <c r="H2147" s="503"/>
      <c r="I2147" s="503"/>
      <c r="J2147" s="503"/>
      <c r="K2147" s="503"/>
    </row>
    <row r="2148" spans="1:11" ht="12">
      <c r="A2148" s="504">
        <v>2142147098</v>
      </c>
      <c r="B2148" s="539" t="s">
        <v>1988</v>
      </c>
      <c r="C2148" s="505" t="s">
        <v>390</v>
      </c>
      <c r="D2148" s="506">
        <v>0</v>
      </c>
      <c r="E2148" s="506">
        <v>2000</v>
      </c>
      <c r="F2148" s="506">
        <v>2000</v>
      </c>
      <c r="G2148" s="507">
        <v>0</v>
      </c>
      <c r="H2148" s="503"/>
      <c r="I2148" s="503"/>
      <c r="J2148" s="503"/>
      <c r="K2148" s="503"/>
    </row>
    <row r="2149" spans="1:11" ht="12">
      <c r="A2149" s="504">
        <v>2142147099</v>
      </c>
      <c r="B2149" s="539" t="s">
        <v>1989</v>
      </c>
      <c r="C2149" s="505" t="s">
        <v>390</v>
      </c>
      <c r="D2149" s="506">
        <v>0</v>
      </c>
      <c r="E2149" s="506">
        <v>2000</v>
      </c>
      <c r="F2149" s="506">
        <v>1548</v>
      </c>
      <c r="G2149" s="507">
        <v>452</v>
      </c>
      <c r="H2149" s="503"/>
      <c r="I2149" s="503"/>
      <c r="J2149" s="503"/>
      <c r="K2149" s="503"/>
    </row>
    <row r="2150" spans="1:11" ht="12">
      <c r="A2150" s="504">
        <v>2142147100</v>
      </c>
      <c r="B2150" s="539" t="s">
        <v>1990</v>
      </c>
      <c r="C2150" s="505" t="s">
        <v>390</v>
      </c>
      <c r="D2150" s="506">
        <v>0</v>
      </c>
      <c r="E2150" s="506">
        <v>2000</v>
      </c>
      <c r="F2150" s="506">
        <v>2000</v>
      </c>
      <c r="G2150" s="507">
        <v>0</v>
      </c>
      <c r="H2150" s="503"/>
      <c r="I2150" s="503"/>
      <c r="J2150" s="503"/>
      <c r="K2150" s="503"/>
    </row>
    <row r="2151" spans="1:11" ht="12">
      <c r="A2151" s="504">
        <v>2142177001</v>
      </c>
      <c r="B2151" s="539" t="s">
        <v>1991</v>
      </c>
      <c r="C2151" s="505" t="s">
        <v>152</v>
      </c>
      <c r="D2151" s="506">
        <v>150</v>
      </c>
      <c r="E2151" s="506">
        <v>150</v>
      </c>
      <c r="F2151" s="506">
        <v>149</v>
      </c>
      <c r="G2151" s="507">
        <v>1</v>
      </c>
      <c r="H2151" s="503"/>
      <c r="I2151" s="503"/>
      <c r="J2151" s="503"/>
      <c r="K2151" s="503"/>
    </row>
    <row r="2152" spans="1:11" ht="12">
      <c r="A2152" s="504">
        <v>2142177002</v>
      </c>
      <c r="B2152" s="539" t="s">
        <v>1992</v>
      </c>
      <c r="C2152" s="505" t="s">
        <v>154</v>
      </c>
      <c r="D2152" s="506">
        <v>250</v>
      </c>
      <c r="E2152" s="506">
        <v>0</v>
      </c>
      <c r="F2152" s="506">
        <v>0</v>
      </c>
      <c r="G2152" s="507">
        <v>0</v>
      </c>
      <c r="H2152" s="503"/>
      <c r="I2152" s="503"/>
      <c r="J2152" s="503"/>
      <c r="K2152" s="503"/>
    </row>
    <row r="2153" spans="1:11" ht="12">
      <c r="A2153" s="504">
        <v>2142177003</v>
      </c>
      <c r="B2153" s="539" t="s">
        <v>1993</v>
      </c>
      <c r="C2153" s="505" t="s">
        <v>154</v>
      </c>
      <c r="D2153" s="506">
        <v>800</v>
      </c>
      <c r="E2153" s="506">
        <v>159</v>
      </c>
      <c r="F2153" s="506">
        <v>977</v>
      </c>
      <c r="G2153" s="507">
        <v>1</v>
      </c>
      <c r="H2153" s="503"/>
      <c r="I2153" s="503"/>
      <c r="J2153" s="503"/>
      <c r="K2153" s="503"/>
    </row>
    <row r="2154" spans="1:11" ht="12">
      <c r="A2154" s="504">
        <v>2142177004</v>
      </c>
      <c r="B2154" s="539" t="s">
        <v>1994</v>
      </c>
      <c r="C2154" s="505" t="s">
        <v>745</v>
      </c>
      <c r="D2154" s="506">
        <v>110</v>
      </c>
      <c r="E2154" s="506">
        <v>110</v>
      </c>
      <c r="F2154" s="506">
        <v>110</v>
      </c>
      <c r="G2154" s="507">
        <v>0</v>
      </c>
      <c r="H2154" s="503"/>
      <c r="I2154" s="503"/>
      <c r="J2154" s="503"/>
      <c r="K2154" s="503"/>
    </row>
    <row r="2155" spans="1:11" ht="12">
      <c r="A2155" s="504">
        <v>2142177005</v>
      </c>
      <c r="B2155" s="539" t="s">
        <v>1995</v>
      </c>
      <c r="C2155" s="505" t="s">
        <v>113</v>
      </c>
      <c r="D2155" s="506">
        <v>1000</v>
      </c>
      <c r="E2155" s="506">
        <v>0</v>
      </c>
      <c r="F2155" s="506">
        <v>1467</v>
      </c>
      <c r="G2155" s="507">
        <v>0</v>
      </c>
      <c r="H2155" s="503"/>
      <c r="I2155" s="503"/>
      <c r="J2155" s="503"/>
      <c r="K2155" s="503"/>
    </row>
    <row r="2156" spans="1:11" ht="12">
      <c r="A2156" s="504">
        <v>2142177006</v>
      </c>
      <c r="B2156" s="539" t="s">
        <v>1996</v>
      </c>
      <c r="C2156" s="505" t="s">
        <v>113</v>
      </c>
      <c r="D2156" s="506">
        <v>1400</v>
      </c>
      <c r="E2156" s="506">
        <v>0</v>
      </c>
      <c r="F2156" s="506">
        <v>813</v>
      </c>
      <c r="G2156" s="507">
        <v>0</v>
      </c>
      <c r="H2156" s="503"/>
      <c r="I2156" s="503"/>
      <c r="J2156" s="503"/>
      <c r="K2156" s="503"/>
    </row>
    <row r="2157" spans="1:11" ht="12">
      <c r="A2157" s="504">
        <v>2142177007</v>
      </c>
      <c r="B2157" s="539" t="s">
        <v>1997</v>
      </c>
      <c r="C2157" s="505" t="s">
        <v>146</v>
      </c>
      <c r="D2157" s="506">
        <v>600</v>
      </c>
      <c r="E2157" s="506">
        <v>0</v>
      </c>
      <c r="F2157" s="506">
        <v>0</v>
      </c>
      <c r="G2157" s="507">
        <v>0</v>
      </c>
      <c r="H2157" s="503"/>
      <c r="I2157" s="503"/>
      <c r="J2157" s="503"/>
      <c r="K2157" s="503"/>
    </row>
    <row r="2158" spans="1:11" ht="12">
      <c r="A2158" s="504">
        <v>2142177008</v>
      </c>
      <c r="B2158" s="539" t="s">
        <v>1998</v>
      </c>
      <c r="C2158" s="505" t="s">
        <v>146</v>
      </c>
      <c r="D2158" s="506">
        <v>1700</v>
      </c>
      <c r="E2158" s="506">
        <v>0</v>
      </c>
      <c r="F2158" s="506">
        <v>0</v>
      </c>
      <c r="G2158" s="507">
        <v>0</v>
      </c>
      <c r="H2158" s="503"/>
      <c r="I2158" s="503"/>
      <c r="J2158" s="503"/>
      <c r="K2158" s="503"/>
    </row>
    <row r="2159" spans="1:11" ht="12">
      <c r="A2159" s="504">
        <v>2142177009</v>
      </c>
      <c r="B2159" s="539" t="s">
        <v>1999</v>
      </c>
      <c r="C2159" s="505" t="s">
        <v>156</v>
      </c>
      <c r="D2159" s="506">
        <v>2000</v>
      </c>
      <c r="E2159" s="506">
        <v>0</v>
      </c>
      <c r="F2159" s="506">
        <v>778</v>
      </c>
      <c r="G2159" s="507">
        <v>0</v>
      </c>
      <c r="H2159" s="503"/>
      <c r="I2159" s="503"/>
      <c r="J2159" s="503"/>
      <c r="K2159" s="503"/>
    </row>
    <row r="2160" spans="1:11" ht="12">
      <c r="A2160" s="504">
        <v>2142196003</v>
      </c>
      <c r="B2160" s="539" t="s">
        <v>2000</v>
      </c>
      <c r="C2160" s="505" t="s">
        <v>390</v>
      </c>
      <c r="D2160" s="506">
        <v>2450</v>
      </c>
      <c r="E2160" s="506">
        <v>0</v>
      </c>
      <c r="F2160" s="506">
        <v>2193</v>
      </c>
      <c r="G2160" s="507">
        <v>0</v>
      </c>
      <c r="H2160" s="503"/>
      <c r="I2160" s="503"/>
      <c r="J2160" s="503"/>
      <c r="K2160" s="503"/>
    </row>
    <row r="2161" spans="1:11" ht="12">
      <c r="A2161" s="504">
        <v>2142196004</v>
      </c>
      <c r="B2161" s="539" t="s">
        <v>2001</v>
      </c>
      <c r="C2161" s="505" t="s">
        <v>390</v>
      </c>
      <c r="D2161" s="506">
        <v>450</v>
      </c>
      <c r="E2161" s="506">
        <v>0</v>
      </c>
      <c r="F2161" s="506">
        <v>626</v>
      </c>
      <c r="G2161" s="507">
        <v>0</v>
      </c>
      <c r="H2161" s="503"/>
      <c r="I2161" s="503"/>
      <c r="J2161" s="503"/>
      <c r="K2161" s="503"/>
    </row>
    <row r="2162" spans="1:11" ht="12">
      <c r="A2162" s="504">
        <v>2142196005</v>
      </c>
      <c r="B2162" s="539" t="s">
        <v>2002</v>
      </c>
      <c r="C2162" s="505" t="s">
        <v>390</v>
      </c>
      <c r="D2162" s="506">
        <v>850</v>
      </c>
      <c r="E2162" s="506">
        <v>0</v>
      </c>
      <c r="F2162" s="506">
        <v>855</v>
      </c>
      <c r="G2162" s="507">
        <v>0</v>
      </c>
      <c r="H2162" s="503"/>
      <c r="I2162" s="503"/>
      <c r="J2162" s="503"/>
      <c r="K2162" s="503"/>
    </row>
    <row r="2163" spans="1:11" ht="12">
      <c r="A2163" s="504">
        <v>2142196006</v>
      </c>
      <c r="B2163" s="539" t="s">
        <v>2003</v>
      </c>
      <c r="C2163" s="505" t="s">
        <v>390</v>
      </c>
      <c r="D2163" s="506">
        <v>300</v>
      </c>
      <c r="E2163" s="506">
        <v>0</v>
      </c>
      <c r="F2163" s="506">
        <v>325</v>
      </c>
      <c r="G2163" s="507">
        <v>0</v>
      </c>
      <c r="H2163" s="503"/>
      <c r="I2163" s="503"/>
      <c r="J2163" s="503"/>
      <c r="K2163" s="503"/>
    </row>
    <row r="2164" spans="1:11" ht="12">
      <c r="A2164" s="504">
        <v>2142196013</v>
      </c>
      <c r="B2164" s="539" t="s">
        <v>2004</v>
      </c>
      <c r="C2164" s="505" t="s">
        <v>115</v>
      </c>
      <c r="D2164" s="506">
        <v>1845</v>
      </c>
      <c r="E2164" s="506">
        <v>0</v>
      </c>
      <c r="F2164" s="506">
        <v>3214</v>
      </c>
      <c r="G2164" s="507">
        <v>0</v>
      </c>
      <c r="H2164" s="503"/>
      <c r="I2164" s="503"/>
      <c r="J2164" s="503"/>
      <c r="K2164" s="503"/>
    </row>
    <row r="2165" spans="1:11" ht="12">
      <c r="A2165" s="504">
        <v>2142196014</v>
      </c>
      <c r="B2165" s="539" t="s">
        <v>2005</v>
      </c>
      <c r="C2165" s="505" t="s">
        <v>154</v>
      </c>
      <c r="D2165" s="506">
        <v>0</v>
      </c>
      <c r="E2165" s="506">
        <v>664</v>
      </c>
      <c r="F2165" s="506">
        <v>664</v>
      </c>
      <c r="G2165" s="507">
        <v>0</v>
      </c>
      <c r="H2165" s="503"/>
      <c r="I2165" s="503"/>
      <c r="J2165" s="503"/>
      <c r="K2165" s="503"/>
    </row>
    <row r="2166" spans="1:11" ht="12">
      <c r="A2166" s="504">
        <v>2142196018</v>
      </c>
      <c r="B2166" s="539" t="s">
        <v>2006</v>
      </c>
      <c r="C2166" s="505" t="s">
        <v>148</v>
      </c>
      <c r="D2166" s="506">
        <v>2270</v>
      </c>
      <c r="E2166" s="506">
        <v>2270</v>
      </c>
      <c r="F2166" s="506">
        <v>2259</v>
      </c>
      <c r="G2166" s="507">
        <v>10</v>
      </c>
      <c r="H2166" s="503"/>
      <c r="I2166" s="503"/>
      <c r="J2166" s="503"/>
      <c r="K2166" s="503"/>
    </row>
    <row r="2167" spans="1:11" ht="12">
      <c r="A2167" s="504">
        <v>2142196028</v>
      </c>
      <c r="B2167" s="539" t="s">
        <v>951</v>
      </c>
      <c r="C2167" s="505" t="s">
        <v>146</v>
      </c>
      <c r="D2167" s="506">
        <v>2850</v>
      </c>
      <c r="E2167" s="506">
        <v>2310</v>
      </c>
      <c r="F2167" s="506">
        <v>2309</v>
      </c>
      <c r="G2167" s="507">
        <v>1</v>
      </c>
      <c r="H2167" s="503"/>
      <c r="I2167" s="503"/>
      <c r="J2167" s="503"/>
      <c r="K2167" s="503"/>
    </row>
    <row r="2168" spans="1:11" ht="12">
      <c r="A2168" s="504">
        <v>2142197001</v>
      </c>
      <c r="B2168" s="539" t="s">
        <v>952</v>
      </c>
      <c r="C2168" s="505" t="s">
        <v>390</v>
      </c>
      <c r="D2168" s="506">
        <v>2000</v>
      </c>
      <c r="E2168" s="506">
        <v>0</v>
      </c>
      <c r="F2168" s="506">
        <v>0</v>
      </c>
      <c r="G2168" s="507">
        <v>0</v>
      </c>
      <c r="H2168" s="503"/>
      <c r="I2168" s="503"/>
      <c r="J2168" s="503"/>
      <c r="K2168" s="503"/>
    </row>
    <row r="2169" spans="1:11" ht="12">
      <c r="A2169" s="504">
        <v>2142197002</v>
      </c>
      <c r="B2169" s="539" t="s">
        <v>953</v>
      </c>
      <c r="C2169" s="505" t="s">
        <v>390</v>
      </c>
      <c r="D2169" s="506">
        <v>1100</v>
      </c>
      <c r="E2169" s="506">
        <v>0</v>
      </c>
      <c r="F2169" s="506">
        <v>1280</v>
      </c>
      <c r="G2169" s="507">
        <v>0</v>
      </c>
      <c r="H2169" s="503"/>
      <c r="I2169" s="503"/>
      <c r="J2169" s="503"/>
      <c r="K2169" s="503"/>
    </row>
    <row r="2170" spans="1:11" ht="12">
      <c r="A2170" s="504">
        <v>2142197003</v>
      </c>
      <c r="B2170" s="539" t="s">
        <v>954</v>
      </c>
      <c r="C2170" s="505" t="s">
        <v>390</v>
      </c>
      <c r="D2170" s="506">
        <v>3600</v>
      </c>
      <c r="E2170" s="506">
        <v>0</v>
      </c>
      <c r="F2170" s="506">
        <v>2943</v>
      </c>
      <c r="G2170" s="507">
        <v>0</v>
      </c>
      <c r="H2170" s="503"/>
      <c r="I2170" s="503"/>
      <c r="J2170" s="503"/>
      <c r="K2170" s="503"/>
    </row>
    <row r="2171" spans="1:11" ht="12">
      <c r="A2171" s="504">
        <v>2142197004</v>
      </c>
      <c r="B2171" s="539" t="s">
        <v>955</v>
      </c>
      <c r="C2171" s="505" t="s">
        <v>390</v>
      </c>
      <c r="D2171" s="506">
        <v>4000</v>
      </c>
      <c r="E2171" s="506">
        <v>716</v>
      </c>
      <c r="F2171" s="506">
        <v>6766</v>
      </c>
      <c r="G2171" s="507">
        <v>50</v>
      </c>
      <c r="H2171" s="503"/>
      <c r="I2171" s="503"/>
      <c r="J2171" s="503"/>
      <c r="K2171" s="503"/>
    </row>
    <row r="2172" spans="1:11" ht="12">
      <c r="A2172" s="504">
        <v>2142197005</v>
      </c>
      <c r="B2172" s="539" t="s">
        <v>956</v>
      </c>
      <c r="C2172" s="505" t="s">
        <v>152</v>
      </c>
      <c r="D2172" s="506">
        <v>200</v>
      </c>
      <c r="E2172" s="506">
        <v>0</v>
      </c>
      <c r="F2172" s="506">
        <v>0</v>
      </c>
      <c r="G2172" s="507">
        <v>0</v>
      </c>
      <c r="H2172" s="503"/>
      <c r="I2172" s="503"/>
      <c r="J2172" s="503"/>
      <c r="K2172" s="503"/>
    </row>
    <row r="2173" spans="1:11" ht="12">
      <c r="A2173" s="504">
        <v>2142197006</v>
      </c>
      <c r="B2173" s="539" t="s">
        <v>957</v>
      </c>
      <c r="C2173" s="505" t="s">
        <v>152</v>
      </c>
      <c r="D2173" s="506">
        <v>100</v>
      </c>
      <c r="E2173" s="506">
        <v>0</v>
      </c>
      <c r="F2173" s="506">
        <v>0</v>
      </c>
      <c r="G2173" s="507">
        <v>0</v>
      </c>
      <c r="H2173" s="503"/>
      <c r="I2173" s="503"/>
      <c r="J2173" s="503"/>
      <c r="K2173" s="503"/>
    </row>
    <row r="2174" spans="1:11" ht="12">
      <c r="A2174" s="504">
        <v>2142197007</v>
      </c>
      <c r="B2174" s="539" t="s">
        <v>958</v>
      </c>
      <c r="C2174" s="505" t="s">
        <v>152</v>
      </c>
      <c r="D2174" s="506">
        <v>200</v>
      </c>
      <c r="E2174" s="506">
        <v>0</v>
      </c>
      <c r="F2174" s="506">
        <v>0</v>
      </c>
      <c r="G2174" s="507">
        <v>0</v>
      </c>
      <c r="H2174" s="503"/>
      <c r="I2174" s="503"/>
      <c r="J2174" s="503"/>
      <c r="K2174" s="503"/>
    </row>
    <row r="2175" spans="1:11" ht="12">
      <c r="A2175" s="504">
        <v>2142197008</v>
      </c>
      <c r="B2175" s="539" t="s">
        <v>959</v>
      </c>
      <c r="C2175" s="505" t="s">
        <v>111</v>
      </c>
      <c r="D2175" s="506">
        <v>1905</v>
      </c>
      <c r="E2175" s="506">
        <v>0</v>
      </c>
      <c r="F2175" s="506">
        <v>0</v>
      </c>
      <c r="G2175" s="507">
        <v>0</v>
      </c>
      <c r="H2175" s="503"/>
      <c r="I2175" s="503"/>
      <c r="J2175" s="503"/>
      <c r="K2175" s="503"/>
    </row>
    <row r="2176" spans="1:11" ht="12">
      <c r="A2176" s="504">
        <v>2142197009</v>
      </c>
      <c r="B2176" s="539" t="s">
        <v>960</v>
      </c>
      <c r="C2176" s="505" t="s">
        <v>111</v>
      </c>
      <c r="D2176" s="506">
        <v>560</v>
      </c>
      <c r="E2176" s="506">
        <v>0</v>
      </c>
      <c r="F2176" s="506">
        <v>0</v>
      </c>
      <c r="G2176" s="507">
        <v>0</v>
      </c>
      <c r="H2176" s="503"/>
      <c r="I2176" s="503"/>
      <c r="J2176" s="503"/>
      <c r="K2176" s="503"/>
    </row>
    <row r="2177" spans="1:11" ht="12">
      <c r="A2177" s="504">
        <v>2142197010</v>
      </c>
      <c r="B2177" s="539" t="s">
        <v>961</v>
      </c>
      <c r="C2177" s="505" t="s">
        <v>115</v>
      </c>
      <c r="D2177" s="506">
        <v>3750</v>
      </c>
      <c r="E2177" s="506">
        <v>0</v>
      </c>
      <c r="F2177" s="506">
        <v>0</v>
      </c>
      <c r="G2177" s="507">
        <v>0</v>
      </c>
      <c r="H2177" s="503"/>
      <c r="I2177" s="503"/>
      <c r="J2177" s="503"/>
      <c r="K2177" s="503"/>
    </row>
    <row r="2178" spans="1:11" ht="12">
      <c r="A2178" s="504">
        <v>2142197011</v>
      </c>
      <c r="B2178" s="539" t="s">
        <v>962</v>
      </c>
      <c r="C2178" s="505" t="s">
        <v>115</v>
      </c>
      <c r="D2178" s="506">
        <v>1650</v>
      </c>
      <c r="E2178" s="506">
        <v>1650</v>
      </c>
      <c r="F2178" s="506">
        <v>1650</v>
      </c>
      <c r="G2178" s="507">
        <v>0</v>
      </c>
      <c r="H2178" s="503"/>
      <c r="I2178" s="503"/>
      <c r="J2178" s="503"/>
      <c r="K2178" s="503"/>
    </row>
    <row r="2179" spans="1:11" ht="12">
      <c r="A2179" s="504">
        <v>2142197012</v>
      </c>
      <c r="B2179" s="539" t="s">
        <v>963</v>
      </c>
      <c r="C2179" s="505" t="s">
        <v>154</v>
      </c>
      <c r="D2179" s="506">
        <v>300</v>
      </c>
      <c r="E2179" s="506">
        <v>0</v>
      </c>
      <c r="F2179" s="506">
        <v>0</v>
      </c>
      <c r="G2179" s="507">
        <v>0</v>
      </c>
      <c r="H2179" s="503"/>
      <c r="I2179" s="503"/>
      <c r="J2179" s="503"/>
      <c r="K2179" s="503"/>
    </row>
    <row r="2180" spans="1:11" ht="12">
      <c r="A2180" s="504">
        <v>2142197013</v>
      </c>
      <c r="B2180" s="539" t="s">
        <v>964</v>
      </c>
      <c r="C2180" s="505" t="s">
        <v>745</v>
      </c>
      <c r="D2180" s="506">
        <v>1200</v>
      </c>
      <c r="E2180" s="506">
        <v>1488</v>
      </c>
      <c r="F2180" s="506">
        <v>2262</v>
      </c>
      <c r="G2180" s="507">
        <v>0</v>
      </c>
      <c r="H2180" s="503"/>
      <c r="I2180" s="503"/>
      <c r="J2180" s="503"/>
      <c r="K2180" s="503"/>
    </row>
    <row r="2181" spans="1:11" ht="12">
      <c r="A2181" s="504">
        <v>2142197014</v>
      </c>
      <c r="B2181" s="539" t="s">
        <v>965</v>
      </c>
      <c r="C2181" s="505" t="s">
        <v>119</v>
      </c>
      <c r="D2181" s="506">
        <v>1168</v>
      </c>
      <c r="E2181" s="506">
        <v>0</v>
      </c>
      <c r="F2181" s="506">
        <v>0</v>
      </c>
      <c r="G2181" s="507">
        <v>0</v>
      </c>
      <c r="H2181" s="503"/>
      <c r="I2181" s="503"/>
      <c r="J2181" s="503"/>
      <c r="K2181" s="503"/>
    </row>
    <row r="2182" spans="1:11" ht="12">
      <c r="A2182" s="504">
        <v>2142197015</v>
      </c>
      <c r="B2182" s="539" t="s">
        <v>966</v>
      </c>
      <c r="C2182" s="505" t="s">
        <v>119</v>
      </c>
      <c r="D2182" s="506">
        <v>6582</v>
      </c>
      <c r="E2182" s="506">
        <v>0</v>
      </c>
      <c r="F2182" s="506">
        <v>0</v>
      </c>
      <c r="G2182" s="507">
        <v>0</v>
      </c>
      <c r="H2182" s="503"/>
      <c r="I2182" s="503"/>
      <c r="J2182" s="503"/>
      <c r="K2182" s="503"/>
    </row>
    <row r="2183" spans="1:11" ht="12">
      <c r="A2183" s="504">
        <v>2142197016</v>
      </c>
      <c r="B2183" s="539" t="s">
        <v>967</v>
      </c>
      <c r="C2183" s="505" t="s">
        <v>148</v>
      </c>
      <c r="D2183" s="506">
        <v>40</v>
      </c>
      <c r="E2183" s="506">
        <v>0</v>
      </c>
      <c r="F2183" s="506">
        <v>0</v>
      </c>
      <c r="G2183" s="507">
        <v>0</v>
      </c>
      <c r="H2183" s="503"/>
      <c r="I2183" s="503"/>
      <c r="J2183" s="503"/>
      <c r="K2183" s="503"/>
    </row>
    <row r="2184" spans="1:11" ht="12">
      <c r="A2184" s="504">
        <v>2142197017</v>
      </c>
      <c r="B2184" s="539" t="s">
        <v>968</v>
      </c>
      <c r="C2184" s="505" t="s">
        <v>148</v>
      </c>
      <c r="D2184" s="506">
        <v>40</v>
      </c>
      <c r="E2184" s="506">
        <v>0</v>
      </c>
      <c r="F2184" s="506">
        <v>0</v>
      </c>
      <c r="G2184" s="507">
        <v>0</v>
      </c>
      <c r="H2184" s="503"/>
      <c r="I2184" s="503"/>
      <c r="J2184" s="503"/>
      <c r="K2184" s="503"/>
    </row>
    <row r="2185" spans="1:11" ht="12">
      <c r="A2185" s="504">
        <v>2142197018</v>
      </c>
      <c r="B2185" s="539" t="s">
        <v>969</v>
      </c>
      <c r="C2185" s="505" t="s">
        <v>148</v>
      </c>
      <c r="D2185" s="506">
        <v>50</v>
      </c>
      <c r="E2185" s="506">
        <v>0</v>
      </c>
      <c r="F2185" s="506">
        <v>0</v>
      </c>
      <c r="G2185" s="507">
        <v>0</v>
      </c>
      <c r="H2185" s="503"/>
      <c r="I2185" s="503"/>
      <c r="J2185" s="503"/>
      <c r="K2185" s="503"/>
    </row>
    <row r="2186" spans="1:11" ht="12">
      <c r="A2186" s="504">
        <v>2142197019</v>
      </c>
      <c r="B2186" s="539" t="s">
        <v>970</v>
      </c>
      <c r="C2186" s="505" t="s">
        <v>113</v>
      </c>
      <c r="D2186" s="506">
        <v>5000</v>
      </c>
      <c r="E2186" s="506">
        <v>0</v>
      </c>
      <c r="F2186" s="506">
        <v>3747</v>
      </c>
      <c r="G2186" s="507">
        <v>0</v>
      </c>
      <c r="H2186" s="503"/>
      <c r="I2186" s="503"/>
      <c r="J2186" s="503"/>
      <c r="K2186" s="503"/>
    </row>
    <row r="2187" spans="1:11" ht="12">
      <c r="A2187" s="504">
        <v>2142197020</v>
      </c>
      <c r="B2187" s="539" t="s">
        <v>971</v>
      </c>
      <c r="C2187" s="505" t="s">
        <v>113</v>
      </c>
      <c r="D2187" s="506">
        <v>3500</v>
      </c>
      <c r="E2187" s="506">
        <v>0</v>
      </c>
      <c r="F2187" s="506">
        <v>4930</v>
      </c>
      <c r="G2187" s="507">
        <v>0</v>
      </c>
      <c r="H2187" s="503"/>
      <c r="I2187" s="503"/>
      <c r="J2187" s="503"/>
      <c r="K2187" s="503"/>
    </row>
    <row r="2188" spans="1:11" ht="12">
      <c r="A2188" s="504">
        <v>2142197021</v>
      </c>
      <c r="B2188" s="539" t="s">
        <v>972</v>
      </c>
      <c r="C2188" s="505" t="s">
        <v>146</v>
      </c>
      <c r="D2188" s="506">
        <v>2920</v>
      </c>
      <c r="E2188" s="506">
        <v>0</v>
      </c>
      <c r="F2188" s="506">
        <v>0</v>
      </c>
      <c r="G2188" s="507">
        <v>0</v>
      </c>
      <c r="H2188" s="503"/>
      <c r="I2188" s="503"/>
      <c r="J2188" s="503"/>
      <c r="K2188" s="503"/>
    </row>
    <row r="2189" spans="1:11" ht="12">
      <c r="A2189" s="504">
        <v>2142197022</v>
      </c>
      <c r="B2189" s="539" t="s">
        <v>973</v>
      </c>
      <c r="C2189" s="505" t="s">
        <v>747</v>
      </c>
      <c r="D2189" s="506">
        <v>70</v>
      </c>
      <c r="E2189" s="506">
        <v>66</v>
      </c>
      <c r="F2189" s="506">
        <v>65</v>
      </c>
      <c r="G2189" s="507">
        <v>0</v>
      </c>
      <c r="H2189" s="503"/>
      <c r="I2189" s="503"/>
      <c r="J2189" s="503"/>
      <c r="K2189" s="503"/>
    </row>
    <row r="2190" spans="1:11" ht="12">
      <c r="A2190" s="504">
        <v>2142197023</v>
      </c>
      <c r="B2190" s="539" t="s">
        <v>974</v>
      </c>
      <c r="C2190" s="505" t="s">
        <v>747</v>
      </c>
      <c r="D2190" s="506">
        <v>70</v>
      </c>
      <c r="E2190" s="506">
        <v>0</v>
      </c>
      <c r="F2190" s="506">
        <v>0</v>
      </c>
      <c r="G2190" s="507">
        <v>0</v>
      </c>
      <c r="H2190" s="503"/>
      <c r="I2190" s="503"/>
      <c r="J2190" s="503"/>
      <c r="K2190" s="503"/>
    </row>
    <row r="2191" spans="1:11" ht="12">
      <c r="A2191" s="504">
        <v>2142197024</v>
      </c>
      <c r="B2191" s="539" t="s">
        <v>975</v>
      </c>
      <c r="C2191" s="505" t="s">
        <v>1483</v>
      </c>
      <c r="D2191" s="506">
        <v>538</v>
      </c>
      <c r="E2191" s="506">
        <v>538</v>
      </c>
      <c r="F2191" s="506">
        <v>534</v>
      </c>
      <c r="G2191" s="507">
        <v>4</v>
      </c>
      <c r="H2191" s="503"/>
      <c r="I2191" s="503"/>
      <c r="J2191" s="503"/>
      <c r="K2191" s="503"/>
    </row>
    <row r="2192" spans="1:11" ht="12.75" thickBot="1">
      <c r="A2192" s="508">
        <v>2142197025</v>
      </c>
      <c r="B2192" s="539" t="s">
        <v>976</v>
      </c>
      <c r="C2192" s="509" t="s">
        <v>148</v>
      </c>
      <c r="D2192" s="510">
        <v>0</v>
      </c>
      <c r="E2192" s="510">
        <v>78</v>
      </c>
      <c r="F2192" s="510">
        <v>78</v>
      </c>
      <c r="G2192" s="511">
        <v>0</v>
      </c>
      <c r="H2192" s="503"/>
      <c r="I2192" s="503"/>
      <c r="J2192" s="503"/>
      <c r="K2192" s="503"/>
    </row>
    <row r="2193" spans="1:11" ht="12.75" thickBot="1">
      <c r="A2193" s="1489" t="s">
        <v>977</v>
      </c>
      <c r="B2193" s="1490"/>
      <c r="C2193" s="1494"/>
      <c r="D2193" s="512">
        <f>SUM(D1301:D2192)</f>
        <v>1459899</v>
      </c>
      <c r="E2193" s="512">
        <f>SUM(E1301:E2192)</f>
        <v>1471744</v>
      </c>
      <c r="F2193" s="512">
        <f>SUM(F1301:F2192)</f>
        <v>1518136</v>
      </c>
      <c r="G2193" s="512">
        <f>SUM(G1301:G2192)</f>
        <v>104249</v>
      </c>
      <c r="H2193" s="503"/>
      <c r="I2193" s="503"/>
      <c r="J2193" s="503"/>
      <c r="K2193" s="503"/>
    </row>
    <row r="2194" spans="1:11" ht="12">
      <c r="A2194" s="515">
        <v>2142215001</v>
      </c>
      <c r="B2194" s="539" t="s">
        <v>978</v>
      </c>
      <c r="C2194" s="516" t="s">
        <v>390</v>
      </c>
      <c r="D2194" s="517">
        <v>3800</v>
      </c>
      <c r="E2194" s="517">
        <v>0</v>
      </c>
      <c r="F2194" s="517">
        <v>0</v>
      </c>
      <c r="G2194" s="517">
        <v>0</v>
      </c>
      <c r="H2194" s="503"/>
      <c r="I2194" s="503"/>
      <c r="J2194" s="503"/>
      <c r="K2194" s="503"/>
    </row>
    <row r="2195" spans="1:11" ht="12">
      <c r="A2195" s="518">
        <v>2142215001</v>
      </c>
      <c r="B2195" s="539" t="s">
        <v>978</v>
      </c>
      <c r="C2195" s="505" t="s">
        <v>390</v>
      </c>
      <c r="D2195" s="506">
        <v>0</v>
      </c>
      <c r="E2195" s="506">
        <v>3300</v>
      </c>
      <c r="F2195" s="506">
        <v>22897</v>
      </c>
      <c r="G2195" s="506">
        <v>3</v>
      </c>
      <c r="H2195" s="503"/>
      <c r="I2195" s="503"/>
      <c r="J2195" s="503"/>
      <c r="K2195" s="503"/>
    </row>
    <row r="2196" spans="1:11" ht="12.75" thickBot="1">
      <c r="A2196" s="518">
        <v>2142217001</v>
      </c>
      <c r="B2196" s="539" t="s">
        <v>979</v>
      </c>
      <c r="C2196" s="505" t="s">
        <v>390</v>
      </c>
      <c r="D2196" s="506">
        <v>0</v>
      </c>
      <c r="E2196" s="506">
        <v>500</v>
      </c>
      <c r="F2196" s="506">
        <v>453</v>
      </c>
      <c r="G2196" s="506">
        <v>47</v>
      </c>
      <c r="H2196" s="503"/>
      <c r="I2196" s="503"/>
      <c r="J2196" s="503"/>
      <c r="K2196" s="503"/>
    </row>
    <row r="2197" spans="1:11" ht="12.75" thickBot="1">
      <c r="A2197" s="1489" t="s">
        <v>980</v>
      </c>
      <c r="B2197" s="1490"/>
      <c r="C2197" s="1494"/>
      <c r="D2197" s="512">
        <f>SUM(D2194:D2196)</f>
        <v>3800</v>
      </c>
      <c r="E2197" s="512">
        <f>SUM(E2194:E2196)</f>
        <v>3800</v>
      </c>
      <c r="F2197" s="512">
        <f>SUM(F2194:F2196)</f>
        <v>23350</v>
      </c>
      <c r="G2197" s="512">
        <f>SUM(G2194:G2196)</f>
        <v>50</v>
      </c>
      <c r="H2197" s="503"/>
      <c r="I2197" s="503"/>
      <c r="J2197" s="503"/>
      <c r="K2197" s="503"/>
    </row>
    <row r="2198" spans="1:11" ht="12">
      <c r="A2198" s="518">
        <v>2144115504</v>
      </c>
      <c r="B2198" s="539" t="s">
        <v>981</v>
      </c>
      <c r="C2198" s="505" t="s">
        <v>1217</v>
      </c>
      <c r="D2198" s="506">
        <v>0</v>
      </c>
      <c r="E2198" s="506">
        <v>0</v>
      </c>
      <c r="F2198" s="506">
        <v>8577</v>
      </c>
      <c r="G2198" s="506">
        <v>0</v>
      </c>
      <c r="H2198" s="503"/>
      <c r="I2198" s="503"/>
      <c r="J2198" s="503"/>
      <c r="K2198" s="503"/>
    </row>
    <row r="2199" spans="1:11" ht="12">
      <c r="A2199" s="518">
        <v>2144116008</v>
      </c>
      <c r="B2199" s="539" t="s">
        <v>982</v>
      </c>
      <c r="C2199" s="505" t="s">
        <v>1217</v>
      </c>
      <c r="D2199" s="506">
        <v>0</v>
      </c>
      <c r="E2199" s="506">
        <v>0</v>
      </c>
      <c r="F2199" s="506">
        <v>1999</v>
      </c>
      <c r="G2199" s="506">
        <v>0</v>
      </c>
      <c r="H2199" s="503"/>
      <c r="I2199" s="503"/>
      <c r="J2199" s="503"/>
      <c r="K2199" s="503"/>
    </row>
    <row r="2200" spans="1:11" ht="12">
      <c r="A2200" s="518">
        <v>2144117001</v>
      </c>
      <c r="B2200" s="539" t="s">
        <v>983</v>
      </c>
      <c r="C2200" s="505" t="s">
        <v>1217</v>
      </c>
      <c r="D2200" s="506">
        <v>2000</v>
      </c>
      <c r="E2200" s="506">
        <v>1992</v>
      </c>
      <c r="F2200" s="506">
        <v>1902</v>
      </c>
      <c r="G2200" s="506">
        <v>91</v>
      </c>
      <c r="H2200" s="503"/>
      <c r="I2200" s="503"/>
      <c r="J2200" s="503"/>
      <c r="K2200" s="503"/>
    </row>
    <row r="2201" spans="1:11" ht="12">
      <c r="A2201" s="518">
        <v>2144117002</v>
      </c>
      <c r="B2201" s="539" t="s">
        <v>984</v>
      </c>
      <c r="C2201" s="505" t="s">
        <v>1217</v>
      </c>
      <c r="D2201" s="506">
        <v>1889</v>
      </c>
      <c r="E2201" s="506">
        <v>0</v>
      </c>
      <c r="F2201" s="506">
        <v>0</v>
      </c>
      <c r="G2201" s="506">
        <v>0</v>
      </c>
      <c r="H2201" s="503"/>
      <c r="I2201" s="503"/>
      <c r="J2201" s="503"/>
      <c r="K2201" s="503"/>
    </row>
    <row r="2202" spans="1:11" ht="12">
      <c r="A2202" s="518">
        <v>2144117003</v>
      </c>
      <c r="B2202" s="539" t="s">
        <v>985</v>
      </c>
      <c r="C2202" s="505" t="s">
        <v>1217</v>
      </c>
      <c r="D2202" s="506">
        <v>1800</v>
      </c>
      <c r="E2202" s="506">
        <v>0</v>
      </c>
      <c r="F2202" s="506">
        <v>0</v>
      </c>
      <c r="G2202" s="506">
        <v>0</v>
      </c>
      <c r="H2202" s="503"/>
      <c r="I2202" s="503"/>
      <c r="J2202" s="503"/>
      <c r="K2202" s="503"/>
    </row>
    <row r="2203" spans="1:11" ht="12">
      <c r="A2203" s="518">
        <v>2144117005</v>
      </c>
      <c r="B2203" s="539" t="s">
        <v>986</v>
      </c>
      <c r="C2203" s="505" t="s">
        <v>1217</v>
      </c>
      <c r="D2203" s="506">
        <v>0</v>
      </c>
      <c r="E2203" s="506">
        <v>800</v>
      </c>
      <c r="F2203" s="506">
        <v>800</v>
      </c>
      <c r="G2203" s="506">
        <v>0</v>
      </c>
      <c r="H2203" s="503"/>
      <c r="I2203" s="503"/>
      <c r="J2203" s="503"/>
      <c r="K2203" s="503"/>
    </row>
    <row r="2204" spans="1:11" ht="12">
      <c r="A2204" s="518">
        <v>2144117006</v>
      </c>
      <c r="B2204" s="539" t="s">
        <v>987</v>
      </c>
      <c r="C2204" s="505" t="s">
        <v>1217</v>
      </c>
      <c r="D2204" s="506">
        <v>0</v>
      </c>
      <c r="E2204" s="506">
        <v>2587</v>
      </c>
      <c r="F2204" s="506">
        <v>4755</v>
      </c>
      <c r="G2204" s="506">
        <v>0</v>
      </c>
      <c r="H2204" s="503"/>
      <c r="I2204" s="503"/>
      <c r="J2204" s="503"/>
      <c r="K2204" s="503"/>
    </row>
    <row r="2205" spans="1:11" ht="12">
      <c r="A2205" s="518">
        <v>2144117008</v>
      </c>
      <c r="B2205" s="539" t="s">
        <v>988</v>
      </c>
      <c r="C2205" s="505" t="s">
        <v>1217</v>
      </c>
      <c r="D2205" s="506">
        <v>0</v>
      </c>
      <c r="E2205" s="506">
        <v>1000</v>
      </c>
      <c r="F2205" s="506">
        <v>1000</v>
      </c>
      <c r="G2205" s="506">
        <v>0</v>
      </c>
      <c r="H2205" s="503"/>
      <c r="I2205" s="503"/>
      <c r="J2205" s="503"/>
      <c r="K2205" s="503"/>
    </row>
    <row r="2206" spans="1:11" ht="12">
      <c r="A2206" s="518">
        <v>2144117009</v>
      </c>
      <c r="B2206" s="539" t="s">
        <v>989</v>
      </c>
      <c r="C2206" s="505" t="s">
        <v>1217</v>
      </c>
      <c r="D2206" s="506">
        <v>0</v>
      </c>
      <c r="E2206" s="506">
        <v>0</v>
      </c>
      <c r="F2206" s="506">
        <v>1799</v>
      </c>
      <c r="G2206" s="506">
        <v>0</v>
      </c>
      <c r="H2206" s="503"/>
      <c r="I2206" s="503"/>
      <c r="J2206" s="503"/>
      <c r="K2206" s="503"/>
    </row>
    <row r="2207" spans="1:11" ht="12">
      <c r="A2207" s="518">
        <v>2144117704</v>
      </c>
      <c r="B2207" s="539" t="s">
        <v>990</v>
      </c>
      <c r="C2207" s="505" t="s">
        <v>1217</v>
      </c>
      <c r="D2207" s="506">
        <v>0</v>
      </c>
      <c r="E2207" s="506">
        <v>1167</v>
      </c>
      <c r="F2207" s="506">
        <v>2366</v>
      </c>
      <c r="G2207" s="506">
        <v>0</v>
      </c>
      <c r="H2207" s="503"/>
      <c r="I2207" s="503"/>
      <c r="J2207" s="503"/>
      <c r="K2207" s="503"/>
    </row>
    <row r="2208" spans="1:11" ht="12">
      <c r="A2208" s="518">
        <v>2144137001</v>
      </c>
      <c r="B2208" s="539" t="s">
        <v>991</v>
      </c>
      <c r="C2208" s="505" t="s">
        <v>1217</v>
      </c>
      <c r="D2208" s="506">
        <v>800</v>
      </c>
      <c r="E2208" s="506">
        <v>0</v>
      </c>
      <c r="F2208" s="506">
        <v>0</v>
      </c>
      <c r="G2208" s="506">
        <v>0</v>
      </c>
      <c r="H2208" s="503"/>
      <c r="I2208" s="503"/>
      <c r="J2208" s="503"/>
      <c r="K2208" s="503"/>
    </row>
    <row r="2209" spans="1:11" ht="12">
      <c r="A2209" s="518">
        <v>2144137002</v>
      </c>
      <c r="B2209" s="539" t="s">
        <v>992</v>
      </c>
      <c r="C2209" s="505" t="s">
        <v>1217</v>
      </c>
      <c r="D2209" s="506">
        <v>400</v>
      </c>
      <c r="E2209" s="506">
        <v>0</v>
      </c>
      <c r="F2209" s="506">
        <v>0</v>
      </c>
      <c r="G2209" s="506">
        <v>0</v>
      </c>
      <c r="H2209" s="503"/>
      <c r="I2209" s="503"/>
      <c r="J2209" s="503"/>
      <c r="K2209" s="503"/>
    </row>
    <row r="2210" spans="1:11" ht="12">
      <c r="A2210" s="518">
        <v>2144137003</v>
      </c>
      <c r="B2210" s="539" t="s">
        <v>993</v>
      </c>
      <c r="C2210" s="505" t="s">
        <v>1217</v>
      </c>
      <c r="D2210" s="506">
        <v>0</v>
      </c>
      <c r="E2210" s="506">
        <v>1190</v>
      </c>
      <c r="F2210" s="506">
        <v>1190</v>
      </c>
      <c r="G2210" s="506">
        <v>0</v>
      </c>
      <c r="H2210" s="503"/>
      <c r="I2210" s="503"/>
      <c r="J2210" s="503"/>
      <c r="K2210" s="503"/>
    </row>
    <row r="2211" spans="1:11" ht="12">
      <c r="A2211" s="518">
        <v>2144137004</v>
      </c>
      <c r="B2211" s="539" t="s">
        <v>994</v>
      </c>
      <c r="C2211" s="505" t="s">
        <v>1217</v>
      </c>
      <c r="D2211" s="506">
        <v>0</v>
      </c>
      <c r="E2211" s="506">
        <v>2380</v>
      </c>
      <c r="F2211" s="506">
        <v>2380</v>
      </c>
      <c r="G2211" s="506">
        <v>0</v>
      </c>
      <c r="H2211" s="503"/>
      <c r="I2211" s="503"/>
      <c r="J2211" s="503"/>
      <c r="K2211" s="503"/>
    </row>
    <row r="2212" spans="1:11" ht="12">
      <c r="A2212" s="518">
        <v>2144137005</v>
      </c>
      <c r="B2212" s="539" t="s">
        <v>995</v>
      </c>
      <c r="C2212" s="505" t="s">
        <v>1217</v>
      </c>
      <c r="D2212" s="506">
        <v>0</v>
      </c>
      <c r="E2212" s="506">
        <v>1701</v>
      </c>
      <c r="F2212" s="506">
        <v>1700</v>
      </c>
      <c r="G2212" s="506">
        <v>1</v>
      </c>
      <c r="H2212" s="503"/>
      <c r="I2212" s="503"/>
      <c r="J2212" s="503"/>
      <c r="K2212" s="503"/>
    </row>
    <row r="2213" spans="1:11" ht="12">
      <c r="A2213" s="518">
        <v>2144137006</v>
      </c>
      <c r="B2213" s="539" t="s">
        <v>996</v>
      </c>
      <c r="C2213" s="505" t="s">
        <v>1217</v>
      </c>
      <c r="D2213" s="506">
        <v>0</v>
      </c>
      <c r="E2213" s="506">
        <v>524</v>
      </c>
      <c r="F2213" s="506">
        <v>524</v>
      </c>
      <c r="G2213" s="506">
        <v>0</v>
      </c>
      <c r="H2213" s="503"/>
      <c r="I2213" s="503"/>
      <c r="J2213" s="503"/>
      <c r="K2213" s="503"/>
    </row>
    <row r="2214" spans="1:11" ht="12.75" thickBot="1">
      <c r="A2214" s="518">
        <v>2144147001</v>
      </c>
      <c r="B2214" s="539" t="s">
        <v>422</v>
      </c>
      <c r="C2214" s="505" t="s">
        <v>1217</v>
      </c>
      <c r="D2214" s="506">
        <v>0</v>
      </c>
      <c r="E2214" s="506">
        <v>0</v>
      </c>
      <c r="F2214" s="506">
        <v>1428</v>
      </c>
      <c r="G2214" s="506">
        <v>0</v>
      </c>
      <c r="H2214" s="503"/>
      <c r="I2214" s="503"/>
      <c r="J2214" s="503"/>
      <c r="K2214" s="503"/>
    </row>
    <row r="2215" spans="1:11" ht="12.75" thickBot="1">
      <c r="A2215" s="1489" t="s">
        <v>423</v>
      </c>
      <c r="B2215" s="1490"/>
      <c r="C2215" s="1490"/>
      <c r="D2215" s="512">
        <f>SUM(D2198:D2214)</f>
        <v>6889</v>
      </c>
      <c r="E2215" s="512">
        <f>SUM(E2198:E2214)</f>
        <v>13341</v>
      </c>
      <c r="F2215" s="512">
        <f>SUM(F2198:F2214)</f>
        <v>30420</v>
      </c>
      <c r="G2215" s="512">
        <f>SUM(G2198:G2214)</f>
        <v>92</v>
      </c>
      <c r="H2215" s="503"/>
      <c r="I2215" s="503"/>
      <c r="J2215" s="503"/>
      <c r="K2215" s="503"/>
    </row>
    <row r="2216" spans="1:11" ht="12">
      <c r="A2216" s="518" t="s">
        <v>424</v>
      </c>
      <c r="B2216" s="539" t="s">
        <v>425</v>
      </c>
      <c r="C2216" s="505" t="s">
        <v>1217</v>
      </c>
      <c r="D2216" s="506">
        <v>0</v>
      </c>
      <c r="E2216" s="506">
        <v>3621</v>
      </c>
      <c r="F2216" s="506">
        <v>3621</v>
      </c>
      <c r="G2216" s="506">
        <v>0</v>
      </c>
      <c r="H2216" s="503"/>
      <c r="I2216" s="503"/>
      <c r="J2216" s="503"/>
      <c r="K2216" s="503"/>
    </row>
    <row r="2217" spans="1:11" ht="12">
      <c r="A2217" s="518" t="s">
        <v>426</v>
      </c>
      <c r="B2217" s="539" t="s">
        <v>427</v>
      </c>
      <c r="C2217" s="505" t="s">
        <v>1217</v>
      </c>
      <c r="D2217" s="506">
        <v>0</v>
      </c>
      <c r="E2217" s="506">
        <v>1571</v>
      </c>
      <c r="F2217" s="506">
        <v>1571</v>
      </c>
      <c r="G2217" s="506">
        <v>0</v>
      </c>
      <c r="H2217" s="503"/>
      <c r="I2217" s="503"/>
      <c r="J2217" s="503"/>
      <c r="K2217" s="503"/>
    </row>
    <row r="2218" spans="1:11" ht="12">
      <c r="A2218" s="518" t="s">
        <v>428</v>
      </c>
      <c r="B2218" s="539" t="s">
        <v>429</v>
      </c>
      <c r="C2218" s="505" t="s">
        <v>1217</v>
      </c>
      <c r="D2218" s="506">
        <v>0</v>
      </c>
      <c r="E2218" s="506">
        <v>863</v>
      </c>
      <c r="F2218" s="506">
        <v>1874</v>
      </c>
      <c r="G2218" s="506">
        <v>0</v>
      </c>
      <c r="H2218" s="503"/>
      <c r="I2218" s="503"/>
      <c r="J2218" s="503"/>
      <c r="K2218" s="503"/>
    </row>
    <row r="2219" spans="1:11" ht="12">
      <c r="A2219" s="518" t="s">
        <v>430</v>
      </c>
      <c r="B2219" s="539" t="s">
        <v>431</v>
      </c>
      <c r="C2219" s="505" t="s">
        <v>1217</v>
      </c>
      <c r="D2219" s="506">
        <v>0</v>
      </c>
      <c r="E2219" s="506">
        <v>7</v>
      </c>
      <c r="F2219" s="506">
        <v>152</v>
      </c>
      <c r="G2219" s="506">
        <v>0</v>
      </c>
      <c r="H2219" s="503"/>
      <c r="I2219" s="503"/>
      <c r="J2219" s="503"/>
      <c r="K2219" s="503"/>
    </row>
    <row r="2220" spans="1:11" ht="12">
      <c r="A2220" s="518" t="s">
        <v>432</v>
      </c>
      <c r="B2220" s="539" t="s">
        <v>433</v>
      </c>
      <c r="C2220" s="505" t="s">
        <v>1217</v>
      </c>
      <c r="D2220" s="506">
        <v>0</v>
      </c>
      <c r="E2220" s="506">
        <v>2</v>
      </c>
      <c r="F2220" s="506">
        <v>868</v>
      </c>
      <c r="G2220" s="506">
        <v>1</v>
      </c>
      <c r="H2220" s="503"/>
      <c r="I2220" s="503"/>
      <c r="J2220" s="503"/>
      <c r="K2220" s="503"/>
    </row>
    <row r="2221" spans="1:11" ht="12">
      <c r="A2221" s="518" t="s">
        <v>434</v>
      </c>
      <c r="B2221" s="539" t="s">
        <v>435</v>
      </c>
      <c r="C2221" s="505" t="s">
        <v>1217</v>
      </c>
      <c r="D2221" s="506">
        <v>0</v>
      </c>
      <c r="E2221" s="506">
        <v>118</v>
      </c>
      <c r="F2221" s="506">
        <v>167</v>
      </c>
      <c r="G2221" s="506">
        <v>52</v>
      </c>
      <c r="H2221" s="503"/>
      <c r="I2221" s="503"/>
      <c r="J2221" s="503"/>
      <c r="K2221" s="503"/>
    </row>
    <row r="2222" spans="1:11" ht="12">
      <c r="A2222" s="518" t="s">
        <v>436</v>
      </c>
      <c r="B2222" s="539" t="s">
        <v>437</v>
      </c>
      <c r="C2222" s="505" t="s">
        <v>1217</v>
      </c>
      <c r="D2222" s="506">
        <v>0</v>
      </c>
      <c r="E2222" s="506">
        <v>2258</v>
      </c>
      <c r="F2222" s="506">
        <v>6171</v>
      </c>
      <c r="G2222" s="506">
        <v>1</v>
      </c>
      <c r="H2222" s="503"/>
      <c r="I2222" s="503"/>
      <c r="J2222" s="503"/>
      <c r="K2222" s="503"/>
    </row>
    <row r="2223" spans="1:11" ht="12">
      <c r="A2223" s="518" t="s">
        <v>438</v>
      </c>
      <c r="B2223" s="539" t="s">
        <v>439</v>
      </c>
      <c r="C2223" s="505" t="s">
        <v>1217</v>
      </c>
      <c r="D2223" s="506">
        <v>0</v>
      </c>
      <c r="E2223" s="506">
        <v>0</v>
      </c>
      <c r="F2223" s="506">
        <v>122</v>
      </c>
      <c r="G2223" s="506">
        <v>0</v>
      </c>
      <c r="H2223" s="503"/>
      <c r="I2223" s="503"/>
      <c r="J2223" s="503"/>
      <c r="K2223" s="503"/>
    </row>
    <row r="2224" spans="1:11" ht="12">
      <c r="A2224" s="518" t="s">
        <v>440</v>
      </c>
      <c r="B2224" s="539" t="s">
        <v>441</v>
      </c>
      <c r="C2224" s="505" t="s">
        <v>1217</v>
      </c>
      <c r="D2224" s="506">
        <v>0</v>
      </c>
      <c r="E2224" s="506">
        <v>0</v>
      </c>
      <c r="F2224" s="506">
        <v>4724</v>
      </c>
      <c r="G2224" s="506">
        <v>0</v>
      </c>
      <c r="H2224" s="503"/>
      <c r="I2224" s="503"/>
      <c r="J2224" s="503"/>
      <c r="K2224" s="503"/>
    </row>
    <row r="2225" spans="1:11" ht="12">
      <c r="A2225" s="518" t="s">
        <v>442</v>
      </c>
      <c r="B2225" s="539" t="s">
        <v>443</v>
      </c>
      <c r="C2225" s="505" t="s">
        <v>1217</v>
      </c>
      <c r="D2225" s="506">
        <v>0</v>
      </c>
      <c r="E2225" s="506">
        <v>302</v>
      </c>
      <c r="F2225" s="506">
        <v>1937</v>
      </c>
      <c r="G2225" s="506">
        <v>1</v>
      </c>
      <c r="H2225" s="503"/>
      <c r="I2225" s="503"/>
      <c r="J2225" s="503"/>
      <c r="K2225" s="503"/>
    </row>
    <row r="2226" spans="1:11" ht="12">
      <c r="A2226" s="518" t="s">
        <v>444</v>
      </c>
      <c r="B2226" s="539" t="s">
        <v>445</v>
      </c>
      <c r="C2226" s="505" t="s">
        <v>1217</v>
      </c>
      <c r="D2226" s="506">
        <v>0</v>
      </c>
      <c r="E2226" s="506">
        <v>130</v>
      </c>
      <c r="F2226" s="506">
        <v>397</v>
      </c>
      <c r="G2226" s="506">
        <v>1</v>
      </c>
      <c r="H2226" s="503"/>
      <c r="I2226" s="503"/>
      <c r="J2226" s="503"/>
      <c r="K2226" s="503"/>
    </row>
    <row r="2227" spans="1:11" ht="12">
      <c r="A2227" s="518" t="s">
        <v>2553</v>
      </c>
      <c r="B2227" s="539" t="s">
        <v>2554</v>
      </c>
      <c r="C2227" s="505" t="s">
        <v>1217</v>
      </c>
      <c r="D2227" s="506">
        <v>0</v>
      </c>
      <c r="E2227" s="506">
        <v>0</v>
      </c>
      <c r="F2227" s="506">
        <v>2414</v>
      </c>
      <c r="G2227" s="506">
        <v>0</v>
      </c>
      <c r="H2227" s="503"/>
      <c r="I2227" s="503"/>
      <c r="J2227" s="503"/>
      <c r="K2227" s="503"/>
    </row>
    <row r="2228" spans="1:11" ht="12">
      <c r="A2228" s="518" t="s">
        <v>2555</v>
      </c>
      <c r="B2228" s="539" t="s">
        <v>2556</v>
      </c>
      <c r="C2228" s="505" t="s">
        <v>1217</v>
      </c>
      <c r="D2228" s="506">
        <v>0</v>
      </c>
      <c r="E2228" s="506">
        <v>1418</v>
      </c>
      <c r="F2228" s="506">
        <v>14452</v>
      </c>
      <c r="G2228" s="506">
        <v>1</v>
      </c>
      <c r="H2228" s="503"/>
      <c r="I2228" s="503"/>
      <c r="J2228" s="503"/>
      <c r="K2228" s="503"/>
    </row>
    <row r="2229" spans="1:11" ht="12">
      <c r="A2229" s="518" t="s">
        <v>2557</v>
      </c>
      <c r="B2229" s="539" t="s">
        <v>2558</v>
      </c>
      <c r="C2229" s="505" t="s">
        <v>1217</v>
      </c>
      <c r="D2229" s="506">
        <v>0</v>
      </c>
      <c r="E2229" s="506">
        <v>34</v>
      </c>
      <c r="F2229" s="506">
        <v>395</v>
      </c>
      <c r="G2229" s="506">
        <v>0</v>
      </c>
      <c r="H2229" s="503"/>
      <c r="I2229" s="503"/>
      <c r="J2229" s="503"/>
      <c r="K2229" s="503"/>
    </row>
    <row r="2230" spans="1:11" ht="12">
      <c r="A2230" s="518" t="s">
        <v>2559</v>
      </c>
      <c r="B2230" s="539" t="s">
        <v>2560</v>
      </c>
      <c r="C2230" s="505" t="s">
        <v>1217</v>
      </c>
      <c r="D2230" s="506">
        <v>0</v>
      </c>
      <c r="E2230" s="506">
        <v>33</v>
      </c>
      <c r="F2230" s="506">
        <v>426</v>
      </c>
      <c r="G2230" s="506">
        <v>0</v>
      </c>
      <c r="H2230" s="503"/>
      <c r="I2230" s="503"/>
      <c r="J2230" s="503"/>
      <c r="K2230" s="503"/>
    </row>
    <row r="2231" spans="1:11" ht="12">
      <c r="A2231" s="518" t="s">
        <v>2561</v>
      </c>
      <c r="B2231" s="539" t="s">
        <v>2562</v>
      </c>
      <c r="C2231" s="505" t="s">
        <v>1217</v>
      </c>
      <c r="D2231" s="506">
        <v>0</v>
      </c>
      <c r="E2231" s="506">
        <v>8</v>
      </c>
      <c r="F2231" s="506">
        <v>136</v>
      </c>
      <c r="G2231" s="506">
        <v>0</v>
      </c>
      <c r="H2231" s="503"/>
      <c r="I2231" s="503"/>
      <c r="J2231" s="503"/>
      <c r="K2231" s="503"/>
    </row>
    <row r="2232" spans="1:11" ht="12">
      <c r="A2232" s="518" t="s">
        <v>2563</v>
      </c>
      <c r="B2232" s="539" t="s">
        <v>2564</v>
      </c>
      <c r="C2232" s="505" t="s">
        <v>1217</v>
      </c>
      <c r="D2232" s="506">
        <v>0</v>
      </c>
      <c r="E2232" s="506">
        <v>4581</v>
      </c>
      <c r="F2232" s="506">
        <v>16283</v>
      </c>
      <c r="G2232" s="506">
        <v>1</v>
      </c>
      <c r="H2232" s="503"/>
      <c r="I2232" s="503"/>
      <c r="J2232" s="503"/>
      <c r="K2232" s="503"/>
    </row>
    <row r="2233" spans="1:11" ht="12">
      <c r="A2233" s="518" t="s">
        <v>2565</v>
      </c>
      <c r="B2233" s="539" t="s">
        <v>2566</v>
      </c>
      <c r="C2233" s="505" t="s">
        <v>1217</v>
      </c>
      <c r="D2233" s="506">
        <v>0</v>
      </c>
      <c r="E2233" s="506">
        <v>3237</v>
      </c>
      <c r="F2233" s="506">
        <v>4003</v>
      </c>
      <c r="G2233" s="506">
        <v>1</v>
      </c>
      <c r="H2233" s="503"/>
      <c r="I2233" s="503"/>
      <c r="J2233" s="503"/>
      <c r="K2233" s="503"/>
    </row>
    <row r="2234" spans="1:11" ht="12">
      <c r="A2234" s="518" t="s">
        <v>2567</v>
      </c>
      <c r="B2234" s="539" t="s">
        <v>2568</v>
      </c>
      <c r="C2234" s="505" t="s">
        <v>1217</v>
      </c>
      <c r="D2234" s="506">
        <v>0</v>
      </c>
      <c r="E2234" s="506">
        <v>9</v>
      </c>
      <c r="F2234" s="506">
        <v>75</v>
      </c>
      <c r="G2234" s="506">
        <v>1</v>
      </c>
      <c r="H2234" s="503"/>
      <c r="I2234" s="503"/>
      <c r="J2234" s="503"/>
      <c r="K2234" s="503"/>
    </row>
    <row r="2235" spans="1:11" ht="12">
      <c r="A2235" s="518" t="s">
        <v>2569</v>
      </c>
      <c r="B2235" s="539" t="s">
        <v>2570</v>
      </c>
      <c r="C2235" s="505" t="s">
        <v>1217</v>
      </c>
      <c r="D2235" s="506">
        <v>0</v>
      </c>
      <c r="E2235" s="506">
        <v>113</v>
      </c>
      <c r="F2235" s="506">
        <v>1443</v>
      </c>
      <c r="G2235" s="506">
        <v>1</v>
      </c>
      <c r="H2235" s="503"/>
      <c r="I2235" s="503"/>
      <c r="J2235" s="503"/>
      <c r="K2235" s="503"/>
    </row>
    <row r="2236" spans="1:11" ht="12">
      <c r="A2236" s="518" t="s">
        <v>2571</v>
      </c>
      <c r="B2236" s="539" t="s">
        <v>2572</v>
      </c>
      <c r="C2236" s="505" t="s">
        <v>1217</v>
      </c>
      <c r="D2236" s="506">
        <v>0</v>
      </c>
      <c r="E2236" s="506">
        <v>15</v>
      </c>
      <c r="F2236" s="506">
        <v>837</v>
      </c>
      <c r="G2236" s="506">
        <v>0</v>
      </c>
      <c r="H2236" s="503"/>
      <c r="I2236" s="503"/>
      <c r="J2236" s="503"/>
      <c r="K2236" s="503"/>
    </row>
    <row r="2237" spans="1:11" ht="12">
      <c r="A2237" s="518" t="s">
        <v>2573</v>
      </c>
      <c r="B2237" s="539" t="s">
        <v>2574</v>
      </c>
      <c r="C2237" s="505" t="s">
        <v>1217</v>
      </c>
      <c r="D2237" s="506">
        <v>0</v>
      </c>
      <c r="E2237" s="506">
        <v>1</v>
      </c>
      <c r="F2237" s="506">
        <v>60</v>
      </c>
      <c r="G2237" s="506">
        <v>1</v>
      </c>
      <c r="H2237" s="503"/>
      <c r="I2237" s="503"/>
      <c r="J2237" s="503"/>
      <c r="K2237" s="503"/>
    </row>
    <row r="2238" spans="1:11" ht="12">
      <c r="A2238" s="518" t="s">
        <v>2575</v>
      </c>
      <c r="B2238" s="539" t="s">
        <v>1655</v>
      </c>
      <c r="C2238" s="505" t="s">
        <v>1217</v>
      </c>
      <c r="D2238" s="506">
        <v>0</v>
      </c>
      <c r="E2238" s="506">
        <v>6</v>
      </c>
      <c r="F2238" s="506">
        <v>487</v>
      </c>
      <c r="G2238" s="506">
        <v>0</v>
      </c>
      <c r="H2238" s="503"/>
      <c r="I2238" s="503"/>
      <c r="J2238" s="503"/>
      <c r="K2238" s="503"/>
    </row>
    <row r="2239" spans="1:11" ht="12">
      <c r="A2239" s="518" t="s">
        <v>1656</v>
      </c>
      <c r="B2239" s="539" t="s">
        <v>1657</v>
      </c>
      <c r="C2239" s="505" t="s">
        <v>1217</v>
      </c>
      <c r="D2239" s="506">
        <v>0</v>
      </c>
      <c r="E2239" s="506">
        <v>327</v>
      </c>
      <c r="F2239" s="506">
        <v>0</v>
      </c>
      <c r="G2239" s="506">
        <v>327</v>
      </c>
      <c r="H2239" s="503"/>
      <c r="I2239" s="503"/>
      <c r="J2239" s="503"/>
      <c r="K2239" s="503"/>
    </row>
    <row r="2240" spans="1:11" ht="12">
      <c r="A2240" s="518">
        <v>2144220057</v>
      </c>
      <c r="B2240" s="539" t="s">
        <v>1658</v>
      </c>
      <c r="C2240" s="505" t="s">
        <v>1217</v>
      </c>
      <c r="D2240" s="506">
        <v>0</v>
      </c>
      <c r="E2240" s="506">
        <v>506</v>
      </c>
      <c r="F2240" s="506">
        <v>1011</v>
      </c>
      <c r="G2240" s="506">
        <v>0</v>
      </c>
      <c r="H2240" s="503"/>
      <c r="I2240" s="503"/>
      <c r="J2240" s="503"/>
      <c r="K2240" s="503"/>
    </row>
    <row r="2241" spans="1:11" ht="12">
      <c r="A2241" s="518">
        <v>2144220057</v>
      </c>
      <c r="B2241" s="539" t="s">
        <v>1658</v>
      </c>
      <c r="C2241" s="505" t="s">
        <v>1217</v>
      </c>
      <c r="D2241" s="506">
        <v>0</v>
      </c>
      <c r="E2241" s="506">
        <v>0</v>
      </c>
      <c r="F2241" s="506">
        <v>357</v>
      </c>
      <c r="G2241" s="506">
        <v>0</v>
      </c>
      <c r="H2241" s="503"/>
      <c r="I2241" s="503"/>
      <c r="J2241" s="503"/>
      <c r="K2241" s="503"/>
    </row>
    <row r="2242" spans="1:11" ht="12">
      <c r="A2242" s="518">
        <v>2144220059</v>
      </c>
      <c r="B2242" s="539" t="s">
        <v>1659</v>
      </c>
      <c r="C2242" s="505" t="s">
        <v>1217</v>
      </c>
      <c r="D2242" s="506">
        <v>0</v>
      </c>
      <c r="E2242" s="506">
        <v>905</v>
      </c>
      <c r="F2242" s="506">
        <v>904</v>
      </c>
      <c r="G2242" s="506">
        <v>1</v>
      </c>
      <c r="H2242" s="503"/>
      <c r="I2242" s="503"/>
      <c r="J2242" s="503"/>
      <c r="K2242" s="503"/>
    </row>
    <row r="2243" spans="1:11" ht="12">
      <c r="A2243" s="518">
        <v>2144220060</v>
      </c>
      <c r="B2243" s="539" t="s">
        <v>1660</v>
      </c>
      <c r="C2243" s="505" t="s">
        <v>1217</v>
      </c>
      <c r="D2243" s="506">
        <v>0</v>
      </c>
      <c r="E2243" s="506">
        <v>500</v>
      </c>
      <c r="F2243" s="506">
        <v>500</v>
      </c>
      <c r="G2243" s="506">
        <v>0</v>
      </c>
      <c r="H2243" s="503"/>
      <c r="I2243" s="503"/>
      <c r="J2243" s="503"/>
      <c r="K2243" s="503"/>
    </row>
    <row r="2244" spans="1:11" ht="12">
      <c r="A2244" s="518">
        <v>2144220061</v>
      </c>
      <c r="B2244" s="539" t="s">
        <v>1661</v>
      </c>
      <c r="C2244" s="505" t="s">
        <v>1217</v>
      </c>
      <c r="D2244" s="506">
        <v>0</v>
      </c>
      <c r="E2244" s="506">
        <v>7674</v>
      </c>
      <c r="F2244" s="506">
        <v>7673</v>
      </c>
      <c r="G2244" s="506">
        <v>1</v>
      </c>
      <c r="H2244" s="503"/>
      <c r="I2244" s="503"/>
      <c r="J2244" s="503"/>
      <c r="K2244" s="503"/>
    </row>
    <row r="2245" spans="1:11" ht="12">
      <c r="A2245" s="518">
        <v>2144220062</v>
      </c>
      <c r="B2245" s="539" t="s">
        <v>1662</v>
      </c>
      <c r="C2245" s="505" t="s">
        <v>1217</v>
      </c>
      <c r="D2245" s="506">
        <v>0</v>
      </c>
      <c r="E2245" s="506">
        <v>0</v>
      </c>
      <c r="F2245" s="506">
        <v>1960</v>
      </c>
      <c r="G2245" s="506">
        <v>0</v>
      </c>
      <c r="H2245" s="503"/>
      <c r="I2245" s="503"/>
      <c r="J2245" s="503"/>
      <c r="K2245" s="503"/>
    </row>
    <row r="2246" spans="1:11" ht="12">
      <c r="A2246" s="518">
        <v>2144220063</v>
      </c>
      <c r="B2246" s="539" t="s">
        <v>1663</v>
      </c>
      <c r="C2246" s="505" t="s">
        <v>1217</v>
      </c>
      <c r="D2246" s="506">
        <v>0</v>
      </c>
      <c r="E2246" s="506">
        <v>4788</v>
      </c>
      <c r="F2246" s="506">
        <v>6980</v>
      </c>
      <c r="G2246" s="506">
        <v>38</v>
      </c>
      <c r="H2246" s="503"/>
      <c r="I2246" s="503"/>
      <c r="J2246" s="503"/>
      <c r="K2246" s="503"/>
    </row>
    <row r="2247" spans="1:11" ht="12">
      <c r="A2247" s="518">
        <v>2144220064</v>
      </c>
      <c r="B2247" s="539" t="s">
        <v>1664</v>
      </c>
      <c r="C2247" s="505" t="s">
        <v>1217</v>
      </c>
      <c r="D2247" s="506">
        <v>0</v>
      </c>
      <c r="E2247" s="506">
        <v>21779</v>
      </c>
      <c r="F2247" s="506">
        <v>25807</v>
      </c>
      <c r="G2247" s="506">
        <v>5</v>
      </c>
      <c r="H2247" s="503"/>
      <c r="I2247" s="503"/>
      <c r="J2247" s="503"/>
      <c r="K2247" s="503"/>
    </row>
    <row r="2248" spans="1:11" ht="12">
      <c r="A2248" s="518" t="s">
        <v>1665</v>
      </c>
      <c r="B2248" s="539" t="s">
        <v>1666</v>
      </c>
      <c r="C2248" s="505" t="s">
        <v>1217</v>
      </c>
      <c r="D2248" s="506">
        <v>0</v>
      </c>
      <c r="E2248" s="506">
        <v>89</v>
      </c>
      <c r="F2248" s="506">
        <v>0</v>
      </c>
      <c r="G2248" s="506">
        <v>89</v>
      </c>
      <c r="H2248" s="503"/>
      <c r="I2248" s="503"/>
      <c r="J2248" s="503"/>
      <c r="K2248" s="503"/>
    </row>
    <row r="2249" spans="1:11" ht="12">
      <c r="A2249" s="518">
        <v>2144230011</v>
      </c>
      <c r="B2249" s="539" t="s">
        <v>1667</v>
      </c>
      <c r="C2249" s="505" t="s">
        <v>1217</v>
      </c>
      <c r="D2249" s="506">
        <v>0</v>
      </c>
      <c r="E2249" s="506">
        <v>687</v>
      </c>
      <c r="F2249" s="506">
        <v>686</v>
      </c>
      <c r="G2249" s="506">
        <v>1</v>
      </c>
      <c r="H2249" s="503"/>
      <c r="I2249" s="503"/>
      <c r="J2249" s="503"/>
      <c r="K2249" s="503"/>
    </row>
    <row r="2250" spans="1:11" ht="12">
      <c r="A2250" s="518">
        <v>2144230013</v>
      </c>
      <c r="B2250" s="539" t="s">
        <v>1668</v>
      </c>
      <c r="C2250" s="505" t="s">
        <v>1217</v>
      </c>
      <c r="D2250" s="506">
        <v>0</v>
      </c>
      <c r="E2250" s="506">
        <v>357</v>
      </c>
      <c r="F2250" s="506">
        <v>357</v>
      </c>
      <c r="G2250" s="506">
        <v>0</v>
      </c>
      <c r="H2250" s="503"/>
      <c r="I2250" s="503"/>
      <c r="J2250" s="503"/>
      <c r="K2250" s="503"/>
    </row>
    <row r="2251" spans="1:11" ht="12">
      <c r="A2251" s="518">
        <v>2144230014</v>
      </c>
      <c r="B2251" s="539" t="s">
        <v>2251</v>
      </c>
      <c r="C2251" s="505" t="s">
        <v>1217</v>
      </c>
      <c r="D2251" s="506">
        <v>0</v>
      </c>
      <c r="E2251" s="506">
        <v>151</v>
      </c>
      <c r="F2251" s="506">
        <v>150</v>
      </c>
      <c r="G2251" s="506">
        <v>1</v>
      </c>
      <c r="H2251" s="503"/>
      <c r="I2251" s="503"/>
      <c r="J2251" s="503"/>
      <c r="K2251" s="503"/>
    </row>
    <row r="2252" spans="1:11" ht="12">
      <c r="A2252" s="518">
        <v>2144230015</v>
      </c>
      <c r="B2252" s="539" t="s">
        <v>2252</v>
      </c>
      <c r="C2252" s="505" t="s">
        <v>1217</v>
      </c>
      <c r="D2252" s="506">
        <v>0</v>
      </c>
      <c r="E2252" s="506">
        <v>150</v>
      </c>
      <c r="F2252" s="506">
        <v>150</v>
      </c>
      <c r="G2252" s="506">
        <v>0</v>
      </c>
      <c r="H2252" s="503"/>
      <c r="I2252" s="503"/>
      <c r="J2252" s="503"/>
      <c r="K2252" s="503"/>
    </row>
    <row r="2253" spans="1:11" ht="12">
      <c r="A2253" s="518">
        <v>2144230016</v>
      </c>
      <c r="B2253" s="539" t="s">
        <v>2253</v>
      </c>
      <c r="C2253" s="505" t="s">
        <v>1217</v>
      </c>
      <c r="D2253" s="506">
        <v>0</v>
      </c>
      <c r="E2253" s="506">
        <v>13</v>
      </c>
      <c r="F2253" s="506">
        <v>12</v>
      </c>
      <c r="G2253" s="506">
        <v>2</v>
      </c>
      <c r="H2253" s="503"/>
      <c r="I2253" s="503"/>
      <c r="J2253" s="503"/>
      <c r="K2253" s="503"/>
    </row>
    <row r="2254" spans="1:11" ht="12">
      <c r="A2254" s="518">
        <v>2144230017</v>
      </c>
      <c r="B2254" s="539" t="s">
        <v>1236</v>
      </c>
      <c r="C2254" s="505" t="s">
        <v>1217</v>
      </c>
      <c r="D2254" s="506">
        <v>0</v>
      </c>
      <c r="E2254" s="506">
        <v>28</v>
      </c>
      <c r="F2254" s="506">
        <v>28</v>
      </c>
      <c r="G2254" s="506">
        <v>0</v>
      </c>
      <c r="H2254" s="503"/>
      <c r="I2254" s="503"/>
      <c r="J2254" s="503"/>
      <c r="K2254" s="503"/>
    </row>
    <row r="2255" spans="1:11" ht="12">
      <c r="A2255" s="518">
        <v>2144230018</v>
      </c>
      <c r="B2255" s="539" t="s">
        <v>1237</v>
      </c>
      <c r="C2255" s="505" t="s">
        <v>1217</v>
      </c>
      <c r="D2255" s="506">
        <v>0</v>
      </c>
      <c r="E2255" s="506">
        <v>262</v>
      </c>
      <c r="F2255" s="506">
        <v>262</v>
      </c>
      <c r="G2255" s="506">
        <v>0</v>
      </c>
      <c r="H2255" s="503"/>
      <c r="I2255" s="503"/>
      <c r="J2255" s="503"/>
      <c r="K2255" s="503"/>
    </row>
    <row r="2256" spans="1:11" ht="12">
      <c r="A2256" s="518" t="s">
        <v>1238</v>
      </c>
      <c r="B2256" s="539" t="s">
        <v>1239</v>
      </c>
      <c r="C2256" s="505" t="s">
        <v>1217</v>
      </c>
      <c r="D2256" s="506">
        <v>0</v>
      </c>
      <c r="E2256" s="506">
        <v>66951</v>
      </c>
      <c r="F2256" s="506">
        <v>96672</v>
      </c>
      <c r="G2256" s="506">
        <v>18</v>
      </c>
      <c r="H2256" s="503"/>
      <c r="I2256" s="503"/>
      <c r="J2256" s="503"/>
      <c r="K2256" s="503"/>
    </row>
    <row r="2257" spans="1:11" ht="12.75" thickBot="1">
      <c r="A2257" s="518" t="s">
        <v>1240</v>
      </c>
      <c r="B2257" s="539" t="s">
        <v>1241</v>
      </c>
      <c r="C2257" s="505" t="s">
        <v>1217</v>
      </c>
      <c r="D2257" s="506">
        <v>0</v>
      </c>
      <c r="E2257" s="506">
        <v>75762</v>
      </c>
      <c r="F2257" s="506">
        <v>72981</v>
      </c>
      <c r="G2257" s="506">
        <v>2781</v>
      </c>
      <c r="H2257" s="503"/>
      <c r="I2257" s="503"/>
      <c r="J2257" s="503"/>
      <c r="K2257" s="503"/>
    </row>
    <row r="2258" spans="1:11" ht="12.75" thickBot="1">
      <c r="A2258" s="1489" t="s">
        <v>1242</v>
      </c>
      <c r="B2258" s="1490"/>
      <c r="C2258" s="1490"/>
      <c r="D2258" s="512">
        <f>SUM(D2216:D2257)</f>
        <v>0</v>
      </c>
      <c r="E2258" s="512">
        <f>SUM(E2216:E2257)</f>
        <v>199256</v>
      </c>
      <c r="F2258" s="512">
        <f>SUM(F2216:F2257)</f>
        <v>279105</v>
      </c>
      <c r="G2258" s="512">
        <f>SUM(G2216:G2257)</f>
        <v>3326</v>
      </c>
      <c r="H2258" s="503"/>
      <c r="I2258" s="503"/>
      <c r="J2258" s="503"/>
      <c r="K2258" s="503"/>
    </row>
    <row r="2259" spans="1:11" ht="12.75" thickBot="1">
      <c r="A2259" s="518">
        <v>2145115006</v>
      </c>
      <c r="B2259" s="539" t="s">
        <v>1243</v>
      </c>
      <c r="C2259" s="505" t="s">
        <v>1217</v>
      </c>
      <c r="D2259" s="506">
        <v>0</v>
      </c>
      <c r="E2259" s="506">
        <v>0</v>
      </c>
      <c r="F2259" s="506">
        <v>13058</v>
      </c>
      <c r="G2259" s="506">
        <v>2136</v>
      </c>
      <c r="H2259" s="503"/>
      <c r="I2259" s="503"/>
      <c r="J2259" s="503"/>
      <c r="K2259" s="503"/>
    </row>
    <row r="2260" spans="1:11" ht="12.75" thickBot="1">
      <c r="A2260" s="1489" t="s">
        <v>1244</v>
      </c>
      <c r="B2260" s="1490"/>
      <c r="C2260" s="1490"/>
      <c r="D2260" s="512">
        <f>SUM(D2259)</f>
        <v>0</v>
      </c>
      <c r="E2260" s="512">
        <f>SUM(E2259)</f>
        <v>0</v>
      </c>
      <c r="F2260" s="512">
        <f>SUM(F2259)</f>
        <v>13058</v>
      </c>
      <c r="G2260" s="512">
        <f>SUM(G2259)</f>
        <v>2136</v>
      </c>
      <c r="H2260" s="503"/>
      <c r="I2260" s="503"/>
      <c r="J2260" s="503"/>
      <c r="K2260" s="503"/>
    </row>
    <row r="2261" spans="1:11" ht="12">
      <c r="A2261" s="518">
        <v>2149115022</v>
      </c>
      <c r="B2261" s="539" t="s">
        <v>1245</v>
      </c>
      <c r="C2261" s="505" t="s">
        <v>1217</v>
      </c>
      <c r="D2261" s="506">
        <v>0</v>
      </c>
      <c r="E2261" s="506">
        <v>2474</v>
      </c>
      <c r="F2261" s="506">
        <v>2473</v>
      </c>
      <c r="G2261" s="506">
        <v>1</v>
      </c>
      <c r="H2261" s="503"/>
      <c r="I2261" s="503"/>
      <c r="J2261" s="503"/>
      <c r="K2261" s="503"/>
    </row>
    <row r="2262" spans="1:11" ht="12">
      <c r="A2262" s="518">
        <v>2149116011</v>
      </c>
      <c r="B2262" s="539" t="s">
        <v>1246</v>
      </c>
      <c r="C2262" s="505" t="s">
        <v>1217</v>
      </c>
      <c r="D2262" s="506">
        <v>262</v>
      </c>
      <c r="E2262" s="506">
        <v>262</v>
      </c>
      <c r="F2262" s="506">
        <v>261</v>
      </c>
      <c r="G2262" s="506">
        <v>1</v>
      </c>
      <c r="H2262" s="503"/>
      <c r="I2262" s="503"/>
      <c r="J2262" s="503"/>
      <c r="K2262" s="503"/>
    </row>
    <row r="2263" spans="1:11" ht="12">
      <c r="A2263" s="518">
        <v>2149116012</v>
      </c>
      <c r="B2263" s="539" t="s">
        <v>1247</v>
      </c>
      <c r="C2263" s="505" t="s">
        <v>1217</v>
      </c>
      <c r="D2263" s="506">
        <v>0</v>
      </c>
      <c r="E2263" s="506">
        <v>6518</v>
      </c>
      <c r="F2263" s="506">
        <v>6518</v>
      </c>
      <c r="G2263" s="506">
        <v>0</v>
      </c>
      <c r="H2263" s="503"/>
      <c r="I2263" s="503"/>
      <c r="J2263" s="503"/>
      <c r="K2263" s="503"/>
    </row>
    <row r="2264" spans="1:11" ht="12">
      <c r="A2264" s="518">
        <v>2149116013</v>
      </c>
      <c r="B2264" s="539" t="s">
        <v>1248</v>
      </c>
      <c r="C2264" s="505" t="s">
        <v>1217</v>
      </c>
      <c r="D2264" s="506">
        <v>0</v>
      </c>
      <c r="E2264" s="506">
        <v>0</v>
      </c>
      <c r="F2264" s="506">
        <v>8676</v>
      </c>
      <c r="G2264" s="506">
        <v>0</v>
      </c>
      <c r="H2264" s="503"/>
      <c r="I2264" s="503"/>
      <c r="J2264" s="503"/>
      <c r="K2264" s="503"/>
    </row>
    <row r="2265" spans="1:11" ht="12">
      <c r="A2265" s="518">
        <v>2149116014</v>
      </c>
      <c r="B2265" s="539" t="s">
        <v>1249</v>
      </c>
      <c r="C2265" s="505" t="s">
        <v>1217</v>
      </c>
      <c r="D2265" s="506">
        <v>0</v>
      </c>
      <c r="E2265" s="506">
        <v>0</v>
      </c>
      <c r="F2265" s="506">
        <v>12353</v>
      </c>
      <c r="G2265" s="506">
        <v>0</v>
      </c>
      <c r="H2265" s="503"/>
      <c r="I2265" s="503"/>
      <c r="J2265" s="503"/>
      <c r="K2265" s="503"/>
    </row>
    <row r="2266" spans="1:11" ht="12">
      <c r="A2266" s="518">
        <v>2149116015</v>
      </c>
      <c r="B2266" s="539" t="s">
        <v>1250</v>
      </c>
      <c r="C2266" s="505" t="s">
        <v>1217</v>
      </c>
      <c r="D2266" s="506">
        <v>0</v>
      </c>
      <c r="E2266" s="506">
        <v>0</v>
      </c>
      <c r="F2266" s="506">
        <v>1300</v>
      </c>
      <c r="G2266" s="506">
        <v>0</v>
      </c>
      <c r="H2266" s="503"/>
      <c r="I2266" s="503"/>
      <c r="J2266" s="503"/>
      <c r="K2266" s="503"/>
    </row>
    <row r="2267" spans="1:11" ht="12">
      <c r="A2267" s="518">
        <v>2149116015</v>
      </c>
      <c r="B2267" s="539" t="s">
        <v>1250</v>
      </c>
      <c r="C2267" s="505" t="s">
        <v>1217</v>
      </c>
      <c r="D2267" s="506">
        <v>0</v>
      </c>
      <c r="E2267" s="506">
        <v>0</v>
      </c>
      <c r="F2267" s="506">
        <v>6751</v>
      </c>
      <c r="G2267" s="506">
        <v>0</v>
      </c>
      <c r="H2267" s="503"/>
      <c r="I2267" s="503"/>
      <c r="J2267" s="503"/>
      <c r="K2267" s="503"/>
    </row>
    <row r="2268" spans="1:11" ht="12">
      <c r="A2268" s="518">
        <v>2149116017</v>
      </c>
      <c r="B2268" s="539" t="s">
        <v>1251</v>
      </c>
      <c r="C2268" s="505" t="s">
        <v>1217</v>
      </c>
      <c r="D2268" s="506">
        <v>5856</v>
      </c>
      <c r="E2268" s="506">
        <v>5122</v>
      </c>
      <c r="F2268" s="506">
        <v>5024</v>
      </c>
      <c r="G2268" s="506">
        <v>98</v>
      </c>
      <c r="H2268" s="503"/>
      <c r="I2268" s="503"/>
      <c r="J2268" s="503"/>
      <c r="K2268" s="503"/>
    </row>
    <row r="2269" spans="1:11" ht="12">
      <c r="A2269" s="518">
        <v>2149116018</v>
      </c>
      <c r="B2269" s="539" t="s">
        <v>1252</v>
      </c>
      <c r="C2269" s="505" t="s">
        <v>1217</v>
      </c>
      <c r="D2269" s="506">
        <v>15013</v>
      </c>
      <c r="E2269" s="506">
        <v>14986</v>
      </c>
      <c r="F2269" s="506">
        <v>14985</v>
      </c>
      <c r="G2269" s="506">
        <v>1</v>
      </c>
      <c r="H2269" s="503"/>
      <c r="I2269" s="503"/>
      <c r="J2269" s="503"/>
      <c r="K2269" s="503"/>
    </row>
    <row r="2270" spans="1:11" ht="12">
      <c r="A2270" s="518">
        <v>2149116019</v>
      </c>
      <c r="B2270" s="539" t="s">
        <v>1253</v>
      </c>
      <c r="C2270" s="505" t="s">
        <v>1217</v>
      </c>
      <c r="D2270" s="506">
        <v>372</v>
      </c>
      <c r="E2270" s="506">
        <v>372</v>
      </c>
      <c r="F2270" s="506">
        <v>371</v>
      </c>
      <c r="G2270" s="506">
        <v>1</v>
      </c>
      <c r="H2270" s="503"/>
      <c r="I2270" s="503"/>
      <c r="J2270" s="503"/>
      <c r="K2270" s="503"/>
    </row>
    <row r="2271" spans="1:11" ht="12">
      <c r="A2271" s="518">
        <v>2149116020</v>
      </c>
      <c r="B2271" s="539" t="s">
        <v>1254</v>
      </c>
      <c r="C2271" s="505" t="s">
        <v>1217</v>
      </c>
      <c r="D2271" s="506">
        <v>0</v>
      </c>
      <c r="E2271" s="506">
        <v>257</v>
      </c>
      <c r="F2271" s="506">
        <v>256</v>
      </c>
      <c r="G2271" s="506">
        <v>1</v>
      </c>
      <c r="H2271" s="503"/>
      <c r="I2271" s="503"/>
      <c r="J2271" s="503"/>
      <c r="K2271" s="503"/>
    </row>
    <row r="2272" spans="1:11" ht="12">
      <c r="A2272" s="518">
        <v>2149116022</v>
      </c>
      <c r="B2272" s="539" t="s">
        <v>1255</v>
      </c>
      <c r="C2272" s="505" t="s">
        <v>1217</v>
      </c>
      <c r="D2272" s="506">
        <v>0</v>
      </c>
      <c r="E2272" s="506">
        <v>517</v>
      </c>
      <c r="F2272" s="506">
        <v>516</v>
      </c>
      <c r="G2272" s="506">
        <v>1</v>
      </c>
      <c r="H2272" s="503"/>
      <c r="I2272" s="503"/>
      <c r="J2272" s="503"/>
      <c r="K2272" s="503"/>
    </row>
    <row r="2273" spans="1:11" ht="12">
      <c r="A2273" s="518">
        <v>2149116024</v>
      </c>
      <c r="B2273" s="539" t="s">
        <v>1256</v>
      </c>
      <c r="C2273" s="505" t="s">
        <v>1217</v>
      </c>
      <c r="D2273" s="506">
        <v>0</v>
      </c>
      <c r="E2273" s="506">
        <v>1595</v>
      </c>
      <c r="F2273" s="506">
        <v>1595</v>
      </c>
      <c r="G2273" s="506">
        <v>0</v>
      </c>
      <c r="H2273" s="503"/>
      <c r="I2273" s="503"/>
      <c r="J2273" s="503"/>
      <c r="K2273" s="503"/>
    </row>
    <row r="2274" spans="1:11" ht="12">
      <c r="A2274" s="518">
        <v>2149117001</v>
      </c>
      <c r="B2274" s="539" t="s">
        <v>666</v>
      </c>
      <c r="C2274" s="505" t="s">
        <v>1217</v>
      </c>
      <c r="D2274" s="506">
        <v>242100</v>
      </c>
      <c r="E2274" s="506">
        <v>154916</v>
      </c>
      <c r="F2274" s="506">
        <v>132309</v>
      </c>
      <c r="G2274" s="506">
        <v>22607</v>
      </c>
      <c r="H2274" s="503"/>
      <c r="I2274" s="503"/>
      <c r="J2274" s="503"/>
      <c r="K2274" s="503"/>
    </row>
    <row r="2275" spans="1:11" ht="12">
      <c r="A2275" s="518">
        <v>2149117002</v>
      </c>
      <c r="B2275" s="539" t="s">
        <v>1257</v>
      </c>
      <c r="C2275" s="505" t="s">
        <v>1217</v>
      </c>
      <c r="D2275" s="506">
        <v>8500</v>
      </c>
      <c r="E2275" s="506">
        <v>8500</v>
      </c>
      <c r="F2275" s="506">
        <v>8500</v>
      </c>
      <c r="G2275" s="506">
        <v>0</v>
      </c>
      <c r="H2275" s="503"/>
      <c r="I2275" s="503"/>
      <c r="J2275" s="503"/>
      <c r="K2275" s="503"/>
    </row>
    <row r="2276" spans="1:11" ht="12">
      <c r="A2276" s="518">
        <v>2149117003</v>
      </c>
      <c r="B2276" s="539" t="s">
        <v>1258</v>
      </c>
      <c r="C2276" s="505" t="s">
        <v>1217</v>
      </c>
      <c r="D2276" s="506">
        <v>6000</v>
      </c>
      <c r="E2276" s="506">
        <v>6493</v>
      </c>
      <c r="F2276" s="506">
        <v>6491</v>
      </c>
      <c r="G2276" s="506">
        <v>2</v>
      </c>
      <c r="H2276" s="503"/>
      <c r="I2276" s="503"/>
      <c r="J2276" s="503"/>
      <c r="K2276" s="503"/>
    </row>
    <row r="2277" spans="1:11" ht="12">
      <c r="A2277" s="518">
        <v>2149117004</v>
      </c>
      <c r="B2277" s="539" t="s">
        <v>1259</v>
      </c>
      <c r="C2277" s="505" t="s">
        <v>1217</v>
      </c>
      <c r="D2277" s="506">
        <v>10900</v>
      </c>
      <c r="E2277" s="506">
        <v>7151</v>
      </c>
      <c r="F2277" s="506">
        <v>7150</v>
      </c>
      <c r="G2277" s="506">
        <v>1</v>
      </c>
      <c r="H2277" s="503"/>
      <c r="I2277" s="503"/>
      <c r="J2277" s="503"/>
      <c r="K2277" s="503"/>
    </row>
    <row r="2278" spans="1:11" ht="12">
      <c r="A2278" s="518">
        <v>2149117005</v>
      </c>
      <c r="B2278" s="539" t="s">
        <v>1260</v>
      </c>
      <c r="C2278" s="505" t="s">
        <v>1217</v>
      </c>
      <c r="D2278" s="506">
        <v>5898</v>
      </c>
      <c r="E2278" s="506">
        <v>5898</v>
      </c>
      <c r="F2278" s="506">
        <v>5406</v>
      </c>
      <c r="G2278" s="506">
        <v>492</v>
      </c>
      <c r="H2278" s="503"/>
      <c r="I2278" s="503"/>
      <c r="J2278" s="503"/>
      <c r="K2278" s="503"/>
    </row>
    <row r="2279" spans="1:11" ht="12">
      <c r="A2279" s="518">
        <v>2149117006</v>
      </c>
      <c r="B2279" s="539" t="s">
        <v>693</v>
      </c>
      <c r="C2279" s="505" t="s">
        <v>1217</v>
      </c>
      <c r="D2279" s="506">
        <v>17682</v>
      </c>
      <c r="E2279" s="506">
        <v>17722</v>
      </c>
      <c r="F2279" s="506">
        <v>35181</v>
      </c>
      <c r="G2279" s="506">
        <v>15</v>
      </c>
      <c r="H2279" s="503"/>
      <c r="I2279" s="503"/>
      <c r="J2279" s="503"/>
      <c r="K2279" s="503"/>
    </row>
    <row r="2280" spans="1:11" ht="12">
      <c r="A2280" s="518">
        <v>2149117007</v>
      </c>
      <c r="B2280" s="539" t="s">
        <v>1261</v>
      </c>
      <c r="C2280" s="505" t="s">
        <v>1217</v>
      </c>
      <c r="D2280" s="506">
        <v>13779</v>
      </c>
      <c r="E2280" s="506">
        <v>23945</v>
      </c>
      <c r="F2280" s="506">
        <v>94464</v>
      </c>
      <c r="G2280" s="506">
        <v>72</v>
      </c>
      <c r="H2280" s="503"/>
      <c r="I2280" s="503"/>
      <c r="J2280" s="503"/>
      <c r="K2280" s="503"/>
    </row>
    <row r="2281" spans="1:11" ht="12">
      <c r="A2281" s="518">
        <v>2149117008</v>
      </c>
      <c r="B2281" s="539" t="s">
        <v>1262</v>
      </c>
      <c r="C2281" s="505" t="s">
        <v>1217</v>
      </c>
      <c r="D2281" s="506">
        <v>8090</v>
      </c>
      <c r="E2281" s="506">
        <v>8090</v>
      </c>
      <c r="F2281" s="506">
        <v>8039</v>
      </c>
      <c r="G2281" s="506">
        <v>51</v>
      </c>
      <c r="H2281" s="503"/>
      <c r="I2281" s="503"/>
      <c r="J2281" s="503"/>
      <c r="K2281" s="503"/>
    </row>
    <row r="2282" spans="1:11" ht="12">
      <c r="A2282" s="518">
        <v>2149117009</v>
      </c>
      <c r="B2282" s="539" t="s">
        <v>1263</v>
      </c>
      <c r="C2282" s="505" t="s">
        <v>1217</v>
      </c>
      <c r="D2282" s="506">
        <v>1840</v>
      </c>
      <c r="E2282" s="506">
        <v>2531</v>
      </c>
      <c r="F2282" s="506">
        <v>2469</v>
      </c>
      <c r="G2282" s="506">
        <v>62</v>
      </c>
      <c r="H2282" s="503"/>
      <c r="I2282" s="503"/>
      <c r="J2282" s="503"/>
      <c r="K2282" s="503"/>
    </row>
    <row r="2283" spans="1:11" ht="12">
      <c r="A2283" s="518">
        <v>2149117010</v>
      </c>
      <c r="B2283" s="539" t="s">
        <v>1264</v>
      </c>
      <c r="C2283" s="505" t="s">
        <v>1217</v>
      </c>
      <c r="D2283" s="506">
        <v>300</v>
      </c>
      <c r="E2283" s="506">
        <v>41</v>
      </c>
      <c r="F2283" s="506">
        <v>40</v>
      </c>
      <c r="G2283" s="506">
        <v>1</v>
      </c>
      <c r="H2283" s="503"/>
      <c r="I2283" s="503"/>
      <c r="J2283" s="503"/>
      <c r="K2283" s="503"/>
    </row>
    <row r="2284" spans="1:11" ht="12">
      <c r="A2284" s="518">
        <v>2149117011</v>
      </c>
      <c r="B2284" s="539" t="s">
        <v>1265</v>
      </c>
      <c r="C2284" s="505" t="s">
        <v>1217</v>
      </c>
      <c r="D2284" s="506">
        <v>800</v>
      </c>
      <c r="E2284" s="506">
        <v>813</v>
      </c>
      <c r="F2284" s="506">
        <v>813</v>
      </c>
      <c r="G2284" s="506">
        <v>0</v>
      </c>
      <c r="H2284" s="503"/>
      <c r="I2284" s="503"/>
      <c r="J2284" s="503"/>
      <c r="K2284" s="503"/>
    </row>
    <row r="2285" spans="1:11" ht="12">
      <c r="A2285" s="518">
        <v>2149117012</v>
      </c>
      <c r="B2285" s="539" t="s">
        <v>1266</v>
      </c>
      <c r="C2285" s="505" t="s">
        <v>1217</v>
      </c>
      <c r="D2285" s="506">
        <v>8800</v>
      </c>
      <c r="E2285" s="506">
        <v>2004</v>
      </c>
      <c r="F2285" s="506">
        <v>2000</v>
      </c>
      <c r="G2285" s="506">
        <v>4</v>
      </c>
      <c r="H2285" s="503"/>
      <c r="I2285" s="503"/>
      <c r="J2285" s="503"/>
      <c r="K2285" s="503"/>
    </row>
    <row r="2286" spans="1:11" ht="12">
      <c r="A2286" s="518">
        <v>2149117013</v>
      </c>
      <c r="B2286" s="539" t="s">
        <v>1267</v>
      </c>
      <c r="C2286" s="505" t="s">
        <v>1217</v>
      </c>
      <c r="D2286" s="506">
        <v>9100</v>
      </c>
      <c r="E2286" s="506">
        <v>0</v>
      </c>
      <c r="F2286" s="506">
        <v>0</v>
      </c>
      <c r="G2286" s="506">
        <v>0</v>
      </c>
      <c r="H2286" s="503"/>
      <c r="I2286" s="503"/>
      <c r="J2286" s="503"/>
      <c r="K2286" s="503"/>
    </row>
    <row r="2287" spans="1:11" ht="12">
      <c r="A2287" s="518">
        <v>2149117014</v>
      </c>
      <c r="B2287" s="539" t="s">
        <v>1268</v>
      </c>
      <c r="C2287" s="505" t="s">
        <v>1217</v>
      </c>
      <c r="D2287" s="506">
        <v>39000</v>
      </c>
      <c r="E2287" s="506">
        <v>0</v>
      </c>
      <c r="F2287" s="506">
        <v>0</v>
      </c>
      <c r="G2287" s="506">
        <v>0</v>
      </c>
      <c r="H2287" s="503"/>
      <c r="I2287" s="503"/>
      <c r="J2287" s="503"/>
      <c r="K2287" s="503"/>
    </row>
    <row r="2288" spans="1:11" ht="12">
      <c r="A2288" s="518">
        <v>2149117015</v>
      </c>
      <c r="B2288" s="539" t="s">
        <v>1269</v>
      </c>
      <c r="C2288" s="505" t="s">
        <v>1217</v>
      </c>
      <c r="D2288" s="506">
        <v>12000</v>
      </c>
      <c r="E2288" s="506">
        <v>0</v>
      </c>
      <c r="F2288" s="506">
        <v>0</v>
      </c>
      <c r="G2288" s="506">
        <v>0</v>
      </c>
      <c r="H2288" s="503"/>
      <c r="I2288" s="503"/>
      <c r="J2288" s="503"/>
      <c r="K2288" s="503"/>
    </row>
    <row r="2289" spans="1:11" ht="12">
      <c r="A2289" s="518">
        <v>2149117016</v>
      </c>
      <c r="B2289" s="539" t="s">
        <v>1270</v>
      </c>
      <c r="C2289" s="505" t="s">
        <v>1217</v>
      </c>
      <c r="D2289" s="506">
        <v>11200</v>
      </c>
      <c r="E2289" s="506">
        <v>0</v>
      </c>
      <c r="F2289" s="506">
        <v>0</v>
      </c>
      <c r="G2289" s="506">
        <v>0</v>
      </c>
      <c r="H2289" s="503"/>
      <c r="I2289" s="503"/>
      <c r="J2289" s="503"/>
      <c r="K2289" s="503"/>
    </row>
    <row r="2290" spans="1:11" ht="12">
      <c r="A2290" s="518">
        <v>2149117017</v>
      </c>
      <c r="B2290" s="539" t="s">
        <v>1271</v>
      </c>
      <c r="C2290" s="505" t="s">
        <v>1217</v>
      </c>
      <c r="D2290" s="506">
        <v>1000</v>
      </c>
      <c r="E2290" s="506">
        <v>1000</v>
      </c>
      <c r="F2290" s="506">
        <v>999</v>
      </c>
      <c r="G2290" s="506">
        <v>1</v>
      </c>
      <c r="H2290" s="503"/>
      <c r="I2290" s="503"/>
      <c r="J2290" s="503"/>
      <c r="K2290" s="503"/>
    </row>
    <row r="2291" spans="1:11" ht="12">
      <c r="A2291" s="518">
        <v>2149117018</v>
      </c>
      <c r="B2291" s="539" t="s">
        <v>1272</v>
      </c>
      <c r="C2291" s="505" t="s">
        <v>1217</v>
      </c>
      <c r="D2291" s="506">
        <v>80000</v>
      </c>
      <c r="E2291" s="506">
        <v>80000</v>
      </c>
      <c r="F2291" s="506">
        <v>0</v>
      </c>
      <c r="G2291" s="506">
        <v>80000</v>
      </c>
      <c r="H2291" s="503"/>
      <c r="I2291" s="503"/>
      <c r="J2291" s="503"/>
      <c r="K2291" s="503"/>
    </row>
    <row r="2292" spans="1:11" ht="12">
      <c r="A2292" s="518">
        <v>2149117019</v>
      </c>
      <c r="B2292" s="539" t="s">
        <v>1273</v>
      </c>
      <c r="C2292" s="505" t="s">
        <v>1217</v>
      </c>
      <c r="D2292" s="506">
        <v>252</v>
      </c>
      <c r="E2292" s="506">
        <v>225</v>
      </c>
      <c r="F2292" s="506">
        <v>224</v>
      </c>
      <c r="G2292" s="506">
        <v>1</v>
      </c>
      <c r="H2292" s="503"/>
      <c r="I2292" s="503"/>
      <c r="J2292" s="503"/>
      <c r="K2292" s="503"/>
    </row>
    <row r="2293" spans="1:11" ht="12">
      <c r="A2293" s="518">
        <v>2149117020</v>
      </c>
      <c r="B2293" s="539" t="s">
        <v>1274</v>
      </c>
      <c r="C2293" s="505" t="s">
        <v>1217</v>
      </c>
      <c r="D2293" s="506">
        <v>584</v>
      </c>
      <c r="E2293" s="506">
        <v>482</v>
      </c>
      <c r="F2293" s="506">
        <v>482</v>
      </c>
      <c r="G2293" s="506">
        <v>0</v>
      </c>
      <c r="H2293" s="503"/>
      <c r="I2293" s="503"/>
      <c r="J2293" s="503"/>
      <c r="K2293" s="503"/>
    </row>
    <row r="2294" spans="1:11" ht="12">
      <c r="A2294" s="518">
        <v>2149117021</v>
      </c>
      <c r="B2294" s="539" t="s">
        <v>1275</v>
      </c>
      <c r="C2294" s="505" t="s">
        <v>1217</v>
      </c>
      <c r="D2294" s="506">
        <v>0</v>
      </c>
      <c r="E2294" s="506">
        <v>112500</v>
      </c>
      <c r="F2294" s="506">
        <v>112500</v>
      </c>
      <c r="G2294" s="506">
        <v>0</v>
      </c>
      <c r="H2294" s="503"/>
      <c r="I2294" s="503"/>
      <c r="J2294" s="503"/>
      <c r="K2294" s="503"/>
    </row>
    <row r="2295" spans="1:11" ht="12">
      <c r="A2295" s="518">
        <v>2149117022</v>
      </c>
      <c r="B2295" s="539" t="s">
        <v>1276</v>
      </c>
      <c r="C2295" s="505" t="s">
        <v>1217</v>
      </c>
      <c r="D2295" s="506">
        <v>0</v>
      </c>
      <c r="E2295" s="506">
        <v>7559</v>
      </c>
      <c r="F2295" s="506">
        <v>7558</v>
      </c>
      <c r="G2295" s="506">
        <v>1</v>
      </c>
      <c r="H2295" s="503"/>
      <c r="I2295" s="503"/>
      <c r="J2295" s="503"/>
      <c r="K2295" s="503"/>
    </row>
    <row r="2296" spans="1:11" ht="12">
      <c r="A2296" s="518">
        <v>2149117023</v>
      </c>
      <c r="B2296" s="539" t="s">
        <v>1277</v>
      </c>
      <c r="C2296" s="505" t="s">
        <v>1217</v>
      </c>
      <c r="D2296" s="506">
        <v>0</v>
      </c>
      <c r="E2296" s="506">
        <v>16600</v>
      </c>
      <c r="F2296" s="506">
        <v>15846</v>
      </c>
      <c r="G2296" s="506">
        <v>754</v>
      </c>
      <c r="H2296" s="503"/>
      <c r="I2296" s="503"/>
      <c r="J2296" s="503"/>
      <c r="K2296" s="503"/>
    </row>
    <row r="2297" spans="1:11" ht="12">
      <c r="A2297" s="518">
        <v>2149117024</v>
      </c>
      <c r="B2297" s="539" t="s">
        <v>1278</v>
      </c>
      <c r="C2297" s="505" t="s">
        <v>1217</v>
      </c>
      <c r="D2297" s="506">
        <v>0</v>
      </c>
      <c r="E2297" s="506">
        <v>4464</v>
      </c>
      <c r="F2297" s="506">
        <v>4462</v>
      </c>
      <c r="G2297" s="506">
        <v>0</v>
      </c>
      <c r="H2297" s="503"/>
      <c r="I2297" s="503"/>
      <c r="J2297" s="503"/>
      <c r="K2297" s="503"/>
    </row>
    <row r="2298" spans="1:11" ht="12">
      <c r="A2298" s="518">
        <v>2149117024</v>
      </c>
      <c r="B2298" s="539" t="s">
        <v>1278</v>
      </c>
      <c r="C2298" s="505" t="s">
        <v>1217</v>
      </c>
      <c r="D2298" s="506">
        <v>0</v>
      </c>
      <c r="E2298" s="506">
        <v>24943</v>
      </c>
      <c r="F2298" s="506">
        <v>24820</v>
      </c>
      <c r="G2298" s="506">
        <v>123</v>
      </c>
      <c r="H2298" s="503"/>
      <c r="I2298" s="503"/>
      <c r="J2298" s="503"/>
      <c r="K2298" s="503"/>
    </row>
    <row r="2299" spans="1:11" ht="12">
      <c r="A2299" s="518">
        <v>2149117025</v>
      </c>
      <c r="B2299" s="539" t="s">
        <v>1279</v>
      </c>
      <c r="C2299" s="505" t="s">
        <v>1217</v>
      </c>
      <c r="D2299" s="506">
        <v>0</v>
      </c>
      <c r="E2299" s="506">
        <v>60000</v>
      </c>
      <c r="F2299" s="506">
        <v>50369</v>
      </c>
      <c r="G2299" s="506">
        <v>9631</v>
      </c>
      <c r="H2299" s="503"/>
      <c r="I2299" s="503"/>
      <c r="J2299" s="503"/>
      <c r="K2299" s="503"/>
    </row>
    <row r="2300" spans="1:11" ht="12">
      <c r="A2300" s="518">
        <v>2149117026</v>
      </c>
      <c r="B2300" s="539" t="s">
        <v>1280</v>
      </c>
      <c r="C2300" s="505" t="s">
        <v>1217</v>
      </c>
      <c r="D2300" s="506">
        <v>0</v>
      </c>
      <c r="E2300" s="506">
        <v>2083</v>
      </c>
      <c r="F2300" s="506">
        <v>2083</v>
      </c>
      <c r="G2300" s="506">
        <v>0</v>
      </c>
      <c r="H2300" s="503"/>
      <c r="I2300" s="503"/>
      <c r="J2300" s="503"/>
      <c r="K2300" s="503"/>
    </row>
    <row r="2301" spans="1:11" ht="12">
      <c r="A2301" s="518">
        <v>2149117027</v>
      </c>
      <c r="B2301" s="539" t="s">
        <v>1281</v>
      </c>
      <c r="C2301" s="505" t="s">
        <v>1217</v>
      </c>
      <c r="D2301" s="506">
        <v>0</v>
      </c>
      <c r="E2301" s="506">
        <v>734</v>
      </c>
      <c r="F2301" s="506">
        <v>0</v>
      </c>
      <c r="G2301" s="506">
        <v>734</v>
      </c>
      <c r="H2301" s="503"/>
      <c r="I2301" s="503"/>
      <c r="J2301" s="503"/>
      <c r="K2301" s="503"/>
    </row>
    <row r="2302" spans="1:11" ht="12">
      <c r="A2302" s="518">
        <v>2149117028</v>
      </c>
      <c r="B2302" s="539" t="s">
        <v>1282</v>
      </c>
      <c r="C2302" s="505" t="s">
        <v>1217</v>
      </c>
      <c r="D2302" s="506">
        <v>0</v>
      </c>
      <c r="E2302" s="506">
        <v>2000</v>
      </c>
      <c r="F2302" s="506">
        <v>0</v>
      </c>
      <c r="G2302" s="506">
        <v>2000</v>
      </c>
      <c r="H2302" s="503"/>
      <c r="I2302" s="503"/>
      <c r="J2302" s="503"/>
      <c r="K2302" s="503"/>
    </row>
    <row r="2303" spans="1:11" ht="12">
      <c r="A2303" s="518">
        <v>2149125001</v>
      </c>
      <c r="B2303" s="539" t="s">
        <v>1283</v>
      </c>
      <c r="C2303" s="505" t="s">
        <v>1217</v>
      </c>
      <c r="D2303" s="506">
        <v>0</v>
      </c>
      <c r="E2303" s="506">
        <v>974</v>
      </c>
      <c r="F2303" s="506">
        <v>973</v>
      </c>
      <c r="G2303" s="506">
        <v>1</v>
      </c>
      <c r="H2303" s="503"/>
      <c r="I2303" s="503"/>
      <c r="J2303" s="503"/>
      <c r="K2303" s="503"/>
    </row>
    <row r="2304" spans="1:11" ht="12">
      <c r="A2304" s="518">
        <v>2149125005</v>
      </c>
      <c r="B2304" s="539" t="s">
        <v>1284</v>
      </c>
      <c r="C2304" s="505" t="s">
        <v>1217</v>
      </c>
      <c r="D2304" s="506">
        <v>0</v>
      </c>
      <c r="E2304" s="506">
        <v>3233</v>
      </c>
      <c r="F2304" s="506">
        <v>3231</v>
      </c>
      <c r="G2304" s="506">
        <v>2</v>
      </c>
      <c r="H2304" s="503"/>
      <c r="I2304" s="503"/>
      <c r="J2304" s="503"/>
      <c r="K2304" s="503"/>
    </row>
    <row r="2305" spans="1:11" ht="12">
      <c r="A2305" s="518">
        <v>2149125007</v>
      </c>
      <c r="B2305" s="539" t="s">
        <v>1285</v>
      </c>
      <c r="C2305" s="505" t="s">
        <v>1217</v>
      </c>
      <c r="D2305" s="506">
        <v>0</v>
      </c>
      <c r="E2305" s="506">
        <v>13246</v>
      </c>
      <c r="F2305" s="506">
        <v>13246</v>
      </c>
      <c r="G2305" s="506">
        <v>0</v>
      </c>
      <c r="H2305" s="503"/>
      <c r="I2305" s="503"/>
      <c r="J2305" s="503"/>
      <c r="K2305" s="503"/>
    </row>
    <row r="2306" spans="1:11" ht="12">
      <c r="A2306" s="518">
        <v>2149126001</v>
      </c>
      <c r="B2306" s="539" t="s">
        <v>1286</v>
      </c>
      <c r="C2306" s="505" t="s">
        <v>1217</v>
      </c>
      <c r="D2306" s="506">
        <v>0</v>
      </c>
      <c r="E2306" s="506">
        <v>1581</v>
      </c>
      <c r="F2306" s="506">
        <v>1581</v>
      </c>
      <c r="G2306" s="506">
        <v>0</v>
      </c>
      <c r="H2306" s="503"/>
      <c r="I2306" s="503"/>
      <c r="J2306" s="503"/>
      <c r="K2306" s="503"/>
    </row>
    <row r="2307" spans="1:11" ht="12">
      <c r="A2307" s="518">
        <v>2149126002</v>
      </c>
      <c r="B2307" s="539" t="s">
        <v>1287</v>
      </c>
      <c r="C2307" s="505" t="s">
        <v>1217</v>
      </c>
      <c r="D2307" s="506">
        <v>0</v>
      </c>
      <c r="E2307" s="506">
        <v>0</v>
      </c>
      <c r="F2307" s="506">
        <v>2200</v>
      </c>
      <c r="G2307" s="506">
        <v>0</v>
      </c>
      <c r="H2307" s="503"/>
      <c r="I2307" s="503"/>
      <c r="J2307" s="503"/>
      <c r="K2307" s="503"/>
    </row>
    <row r="2308" spans="1:11" ht="12">
      <c r="A2308" s="518">
        <v>2149126003</v>
      </c>
      <c r="B2308" s="539" t="s">
        <v>1288</v>
      </c>
      <c r="C2308" s="505" t="s">
        <v>1217</v>
      </c>
      <c r="D2308" s="506">
        <v>0</v>
      </c>
      <c r="E2308" s="506">
        <v>36325</v>
      </c>
      <c r="F2308" s="506">
        <v>36324</v>
      </c>
      <c r="G2308" s="506">
        <v>1</v>
      </c>
      <c r="H2308" s="503"/>
      <c r="I2308" s="503"/>
      <c r="J2308" s="503"/>
      <c r="K2308" s="503"/>
    </row>
    <row r="2309" spans="1:11" ht="12">
      <c r="A2309" s="518">
        <v>2149127001</v>
      </c>
      <c r="B2309" s="539" t="s">
        <v>1287</v>
      </c>
      <c r="C2309" s="505" t="s">
        <v>1217</v>
      </c>
      <c r="D2309" s="506">
        <v>22006</v>
      </c>
      <c r="E2309" s="506">
        <v>11712</v>
      </c>
      <c r="F2309" s="506">
        <v>11150</v>
      </c>
      <c r="G2309" s="506">
        <v>562</v>
      </c>
      <c r="H2309" s="503"/>
      <c r="I2309" s="503"/>
      <c r="J2309" s="503"/>
      <c r="K2309" s="503"/>
    </row>
    <row r="2310" spans="1:11" ht="12">
      <c r="A2310" s="518">
        <v>2149127002</v>
      </c>
      <c r="B2310" s="539" t="s">
        <v>1289</v>
      </c>
      <c r="C2310" s="505" t="s">
        <v>1217</v>
      </c>
      <c r="D2310" s="506">
        <v>0</v>
      </c>
      <c r="E2310" s="506">
        <v>58000</v>
      </c>
      <c r="F2310" s="506">
        <v>57600</v>
      </c>
      <c r="G2310" s="506">
        <v>400</v>
      </c>
      <c r="H2310" s="503"/>
      <c r="I2310" s="503"/>
      <c r="J2310" s="503"/>
      <c r="K2310" s="503"/>
    </row>
    <row r="2311" spans="1:11" ht="12">
      <c r="A2311" s="518">
        <v>2149127003</v>
      </c>
      <c r="B2311" s="539" t="s">
        <v>1290</v>
      </c>
      <c r="C2311" s="505" t="s">
        <v>1217</v>
      </c>
      <c r="D2311" s="506">
        <v>0</v>
      </c>
      <c r="E2311" s="506">
        <v>60000</v>
      </c>
      <c r="F2311" s="506">
        <v>59937</v>
      </c>
      <c r="G2311" s="506">
        <v>63</v>
      </c>
      <c r="H2311" s="503"/>
      <c r="I2311" s="503"/>
      <c r="J2311" s="503"/>
      <c r="K2311" s="503"/>
    </row>
    <row r="2312" spans="1:11" ht="12">
      <c r="A2312" s="518">
        <v>2149135009</v>
      </c>
      <c r="B2312" s="539" t="s">
        <v>1291</v>
      </c>
      <c r="C2312" s="505" t="s">
        <v>1217</v>
      </c>
      <c r="D2312" s="506">
        <v>226782</v>
      </c>
      <c r="E2312" s="506">
        <v>236464</v>
      </c>
      <c r="F2312" s="506">
        <v>234902</v>
      </c>
      <c r="G2312" s="506">
        <v>1562</v>
      </c>
      <c r="H2312" s="503"/>
      <c r="I2312" s="503"/>
      <c r="J2312" s="503"/>
      <c r="K2312" s="503"/>
    </row>
    <row r="2313" spans="1:11" ht="12">
      <c r="A2313" s="518">
        <v>2149136003</v>
      </c>
      <c r="B2313" s="539" t="s">
        <v>1292</v>
      </c>
      <c r="C2313" s="505" t="s">
        <v>1217</v>
      </c>
      <c r="D2313" s="506">
        <v>0</v>
      </c>
      <c r="E2313" s="506">
        <v>0</v>
      </c>
      <c r="F2313" s="506">
        <v>24809</v>
      </c>
      <c r="G2313" s="506">
        <v>0</v>
      </c>
      <c r="H2313" s="503"/>
      <c r="I2313" s="503"/>
      <c r="J2313" s="503"/>
      <c r="K2313" s="503"/>
    </row>
    <row r="2314" spans="1:11" ht="12">
      <c r="A2314" s="518">
        <v>2149136005</v>
      </c>
      <c r="B2314" s="539" t="s">
        <v>1293</v>
      </c>
      <c r="C2314" s="505" t="s">
        <v>1217</v>
      </c>
      <c r="D2314" s="506">
        <v>0</v>
      </c>
      <c r="E2314" s="506">
        <v>9417</v>
      </c>
      <c r="F2314" s="506">
        <v>2752</v>
      </c>
      <c r="G2314" s="506">
        <v>6665</v>
      </c>
      <c r="H2314" s="503"/>
      <c r="I2314" s="503"/>
      <c r="J2314" s="503"/>
      <c r="K2314" s="503"/>
    </row>
    <row r="2315" spans="1:11" ht="12">
      <c r="A2315" s="518">
        <v>2149136006</v>
      </c>
      <c r="B2315" s="539" t="s">
        <v>1294</v>
      </c>
      <c r="C2315" s="505" t="s">
        <v>1217</v>
      </c>
      <c r="D2315" s="506">
        <v>0</v>
      </c>
      <c r="E2315" s="506">
        <v>676</v>
      </c>
      <c r="F2315" s="506">
        <v>0</v>
      </c>
      <c r="G2315" s="506">
        <v>676</v>
      </c>
      <c r="H2315" s="503"/>
      <c r="I2315" s="503"/>
      <c r="J2315" s="503"/>
      <c r="K2315" s="503"/>
    </row>
    <row r="2316" spans="1:11" ht="12">
      <c r="A2316" s="518">
        <v>2149137001</v>
      </c>
      <c r="B2316" s="539" t="s">
        <v>1295</v>
      </c>
      <c r="C2316" s="505" t="s">
        <v>1217</v>
      </c>
      <c r="D2316" s="506">
        <v>37400</v>
      </c>
      <c r="E2316" s="506">
        <v>0</v>
      </c>
      <c r="F2316" s="506">
        <v>0</v>
      </c>
      <c r="G2316" s="506">
        <v>0</v>
      </c>
      <c r="H2316" s="503"/>
      <c r="I2316" s="503"/>
      <c r="J2316" s="503"/>
      <c r="K2316" s="503"/>
    </row>
    <row r="2317" spans="1:11" ht="12">
      <c r="A2317" s="518">
        <v>2149137002</v>
      </c>
      <c r="B2317" s="539" t="s">
        <v>1296</v>
      </c>
      <c r="C2317" s="505" t="s">
        <v>1217</v>
      </c>
      <c r="D2317" s="506">
        <v>10700</v>
      </c>
      <c r="E2317" s="506">
        <v>10637</v>
      </c>
      <c r="F2317" s="506">
        <v>10636</v>
      </c>
      <c r="G2317" s="506">
        <v>1</v>
      </c>
      <c r="H2317" s="503"/>
      <c r="I2317" s="503"/>
      <c r="J2317" s="503"/>
      <c r="K2317" s="503"/>
    </row>
    <row r="2318" spans="1:11" ht="12">
      <c r="A2318" s="518">
        <v>2149137003</v>
      </c>
      <c r="B2318" s="539" t="s">
        <v>1297</v>
      </c>
      <c r="C2318" s="505" t="s">
        <v>1217</v>
      </c>
      <c r="D2318" s="506">
        <v>30000</v>
      </c>
      <c r="E2318" s="506">
        <v>0</v>
      </c>
      <c r="F2318" s="506">
        <v>0</v>
      </c>
      <c r="G2318" s="506">
        <v>0</v>
      </c>
      <c r="H2318" s="503"/>
      <c r="I2318" s="503"/>
      <c r="J2318" s="503"/>
      <c r="K2318" s="503"/>
    </row>
    <row r="2319" spans="1:11" ht="12">
      <c r="A2319" s="518">
        <v>2149137004</v>
      </c>
      <c r="B2319" s="539" t="s">
        <v>1298</v>
      </c>
      <c r="C2319" s="505" t="s">
        <v>1217</v>
      </c>
      <c r="D2319" s="506">
        <v>30980</v>
      </c>
      <c r="E2319" s="506">
        <v>24187</v>
      </c>
      <c r="F2319" s="506">
        <v>24186</v>
      </c>
      <c r="G2319" s="506">
        <v>1</v>
      </c>
      <c r="H2319" s="503"/>
      <c r="I2319" s="503"/>
      <c r="J2319" s="503"/>
      <c r="K2319" s="503"/>
    </row>
    <row r="2320" spans="1:11" ht="12">
      <c r="A2320" s="518">
        <v>2149137005</v>
      </c>
      <c r="B2320" s="539" t="s">
        <v>1299</v>
      </c>
      <c r="C2320" s="505" t="s">
        <v>1217</v>
      </c>
      <c r="D2320" s="506">
        <v>115000</v>
      </c>
      <c r="E2320" s="506">
        <v>115000</v>
      </c>
      <c r="F2320" s="506">
        <v>0</v>
      </c>
      <c r="G2320" s="506">
        <v>115000</v>
      </c>
      <c r="H2320" s="503"/>
      <c r="I2320" s="503"/>
      <c r="J2320" s="503"/>
      <c r="K2320" s="503"/>
    </row>
    <row r="2321" spans="1:11" ht="12">
      <c r="A2321" s="518">
        <v>2149137006</v>
      </c>
      <c r="B2321" s="539" t="s">
        <v>1300</v>
      </c>
      <c r="C2321" s="505" t="s">
        <v>1217</v>
      </c>
      <c r="D2321" s="506">
        <v>0</v>
      </c>
      <c r="E2321" s="506">
        <v>4269</v>
      </c>
      <c r="F2321" s="506">
        <v>4239</v>
      </c>
      <c r="G2321" s="506">
        <v>30</v>
      </c>
      <c r="H2321" s="503"/>
      <c r="I2321" s="503"/>
      <c r="J2321" s="503"/>
      <c r="K2321" s="503"/>
    </row>
    <row r="2322" spans="1:11" ht="12">
      <c r="A2322" s="518">
        <v>2149137007</v>
      </c>
      <c r="B2322" s="539" t="s">
        <v>1301</v>
      </c>
      <c r="C2322" s="505" t="s">
        <v>1217</v>
      </c>
      <c r="D2322" s="506">
        <v>0</v>
      </c>
      <c r="E2322" s="506">
        <v>4666</v>
      </c>
      <c r="F2322" s="506">
        <v>4629</v>
      </c>
      <c r="G2322" s="506">
        <v>37</v>
      </c>
      <c r="H2322" s="503"/>
      <c r="I2322" s="503"/>
      <c r="J2322" s="503"/>
      <c r="K2322" s="503"/>
    </row>
    <row r="2323" spans="1:11" ht="12">
      <c r="A2323" s="518">
        <v>2149137008</v>
      </c>
      <c r="B2323" s="539" t="s">
        <v>1302</v>
      </c>
      <c r="C2323" s="505" t="s">
        <v>1217</v>
      </c>
      <c r="D2323" s="506">
        <v>0</v>
      </c>
      <c r="E2323" s="506">
        <v>98540</v>
      </c>
      <c r="F2323" s="506">
        <v>0</v>
      </c>
      <c r="G2323" s="506">
        <v>98540</v>
      </c>
      <c r="H2323" s="503"/>
      <c r="I2323" s="503"/>
      <c r="J2323" s="503"/>
      <c r="K2323" s="503"/>
    </row>
    <row r="2324" spans="1:11" ht="12">
      <c r="A2324" s="518">
        <v>2149137009</v>
      </c>
      <c r="B2324" s="539" t="s">
        <v>1303</v>
      </c>
      <c r="C2324" s="505" t="s">
        <v>1217</v>
      </c>
      <c r="D2324" s="506">
        <v>0</v>
      </c>
      <c r="E2324" s="506">
        <v>10000</v>
      </c>
      <c r="F2324" s="506">
        <v>0</v>
      </c>
      <c r="G2324" s="506">
        <v>10000</v>
      </c>
      <c r="H2324" s="503"/>
      <c r="I2324" s="503"/>
      <c r="J2324" s="503"/>
      <c r="K2324" s="503"/>
    </row>
    <row r="2325" spans="1:11" ht="12">
      <c r="A2325" s="518">
        <v>2149137010</v>
      </c>
      <c r="B2325" s="539" t="s">
        <v>1304</v>
      </c>
      <c r="C2325" s="505" t="s">
        <v>1217</v>
      </c>
      <c r="D2325" s="506">
        <v>0</v>
      </c>
      <c r="E2325" s="506">
        <v>79200</v>
      </c>
      <c r="F2325" s="506">
        <v>0</v>
      </c>
      <c r="G2325" s="506">
        <v>79200</v>
      </c>
      <c r="H2325" s="503"/>
      <c r="I2325" s="503"/>
      <c r="J2325" s="503"/>
      <c r="K2325" s="503"/>
    </row>
    <row r="2326" spans="1:11" ht="12">
      <c r="A2326" s="518">
        <v>2149137011</v>
      </c>
      <c r="B2326" s="539" t="s">
        <v>1305</v>
      </c>
      <c r="C2326" s="505" t="s">
        <v>1217</v>
      </c>
      <c r="D2326" s="506">
        <v>0</v>
      </c>
      <c r="E2326" s="506">
        <v>4936</v>
      </c>
      <c r="F2326" s="506">
        <v>4935</v>
      </c>
      <c r="G2326" s="506">
        <v>1</v>
      </c>
      <c r="H2326" s="503"/>
      <c r="I2326" s="503"/>
      <c r="J2326" s="503"/>
      <c r="K2326" s="503"/>
    </row>
    <row r="2327" spans="1:11" ht="12">
      <c r="A2327" s="518">
        <v>2149137012</v>
      </c>
      <c r="B2327" s="539" t="s">
        <v>811</v>
      </c>
      <c r="C2327" s="505" t="s">
        <v>1217</v>
      </c>
      <c r="D2327" s="506">
        <v>0</v>
      </c>
      <c r="E2327" s="506">
        <v>15968</v>
      </c>
      <c r="F2327" s="506">
        <v>15964</v>
      </c>
      <c r="G2327" s="506">
        <v>4</v>
      </c>
      <c r="H2327" s="503"/>
      <c r="I2327" s="503"/>
      <c r="J2327" s="503"/>
      <c r="K2327" s="503"/>
    </row>
    <row r="2328" spans="1:11" ht="12">
      <c r="A2328" s="518">
        <v>2149137013</v>
      </c>
      <c r="B2328" s="539" t="s">
        <v>812</v>
      </c>
      <c r="C2328" s="505" t="s">
        <v>1217</v>
      </c>
      <c r="D2328" s="506">
        <v>0</v>
      </c>
      <c r="E2328" s="506">
        <v>1990</v>
      </c>
      <c r="F2328" s="506">
        <v>1990</v>
      </c>
      <c r="G2328" s="506">
        <v>0</v>
      </c>
      <c r="H2328" s="503"/>
      <c r="I2328" s="503"/>
      <c r="J2328" s="503"/>
      <c r="K2328" s="503"/>
    </row>
    <row r="2329" spans="1:11" ht="12">
      <c r="A2329" s="518">
        <v>2149145002</v>
      </c>
      <c r="B2329" s="539" t="s">
        <v>813</v>
      </c>
      <c r="C2329" s="505" t="s">
        <v>1217</v>
      </c>
      <c r="D2329" s="506">
        <v>0</v>
      </c>
      <c r="E2329" s="506">
        <v>1906</v>
      </c>
      <c r="F2329" s="506">
        <v>1904</v>
      </c>
      <c r="G2329" s="506">
        <v>2</v>
      </c>
      <c r="H2329" s="503"/>
      <c r="I2329" s="503"/>
      <c r="J2329" s="503"/>
      <c r="K2329" s="503"/>
    </row>
    <row r="2330" spans="1:11" ht="12">
      <c r="A2330" s="518">
        <v>2149147001</v>
      </c>
      <c r="B2330" s="539" t="s">
        <v>814</v>
      </c>
      <c r="C2330" s="505" t="s">
        <v>1217</v>
      </c>
      <c r="D2330" s="506">
        <v>1350</v>
      </c>
      <c r="E2330" s="506">
        <v>1035</v>
      </c>
      <c r="F2330" s="506">
        <v>1033</v>
      </c>
      <c r="G2330" s="506">
        <v>2</v>
      </c>
      <c r="H2330" s="503"/>
      <c r="I2330" s="503"/>
      <c r="J2330" s="503"/>
      <c r="K2330" s="503"/>
    </row>
    <row r="2331" spans="1:11" ht="12">
      <c r="A2331" s="518">
        <v>2149155004</v>
      </c>
      <c r="B2331" s="539" t="s">
        <v>815</v>
      </c>
      <c r="C2331" s="505" t="s">
        <v>1217</v>
      </c>
      <c r="D2331" s="506">
        <v>0</v>
      </c>
      <c r="E2331" s="506">
        <v>85</v>
      </c>
      <c r="F2331" s="506">
        <v>84</v>
      </c>
      <c r="G2331" s="506">
        <v>1</v>
      </c>
      <c r="H2331" s="503"/>
      <c r="I2331" s="503"/>
      <c r="J2331" s="503"/>
      <c r="K2331" s="503"/>
    </row>
    <row r="2332" spans="1:11" ht="12">
      <c r="A2332" s="518">
        <v>2149157001</v>
      </c>
      <c r="B2332" s="539" t="s">
        <v>816</v>
      </c>
      <c r="C2332" s="505" t="s">
        <v>1217</v>
      </c>
      <c r="D2332" s="506">
        <v>500</v>
      </c>
      <c r="E2332" s="506">
        <v>0</v>
      </c>
      <c r="F2332" s="506">
        <v>0</v>
      </c>
      <c r="G2332" s="506">
        <v>0</v>
      </c>
      <c r="H2332" s="503"/>
      <c r="I2332" s="503"/>
      <c r="J2332" s="503"/>
      <c r="K2332" s="503"/>
    </row>
    <row r="2333" spans="1:11" ht="12">
      <c r="A2333" s="518">
        <v>2149165004</v>
      </c>
      <c r="B2333" s="539" t="s">
        <v>817</v>
      </c>
      <c r="C2333" s="505" t="s">
        <v>1217</v>
      </c>
      <c r="D2333" s="506">
        <v>0</v>
      </c>
      <c r="E2333" s="506">
        <v>0</v>
      </c>
      <c r="F2333" s="506">
        <v>3393</v>
      </c>
      <c r="G2333" s="506">
        <v>0</v>
      </c>
      <c r="H2333" s="503"/>
      <c r="I2333" s="503"/>
      <c r="J2333" s="503"/>
      <c r="K2333" s="503"/>
    </row>
    <row r="2334" spans="1:11" ht="12">
      <c r="A2334" s="518">
        <v>2149165005</v>
      </c>
      <c r="B2334" s="539" t="s">
        <v>818</v>
      </c>
      <c r="C2334" s="505" t="s">
        <v>1217</v>
      </c>
      <c r="D2334" s="506">
        <v>0</v>
      </c>
      <c r="E2334" s="506">
        <v>0</v>
      </c>
      <c r="F2334" s="506">
        <v>1527</v>
      </c>
      <c r="G2334" s="506">
        <v>0</v>
      </c>
      <c r="H2334" s="503"/>
      <c r="I2334" s="503"/>
      <c r="J2334" s="503"/>
      <c r="K2334" s="503"/>
    </row>
    <row r="2335" spans="1:11" ht="12">
      <c r="A2335" s="518">
        <v>2149165007</v>
      </c>
      <c r="B2335" s="539" t="s">
        <v>819</v>
      </c>
      <c r="C2335" s="505" t="s">
        <v>1217</v>
      </c>
      <c r="D2335" s="506">
        <v>0</v>
      </c>
      <c r="E2335" s="506">
        <v>1700</v>
      </c>
      <c r="F2335" s="506">
        <v>0</v>
      </c>
      <c r="G2335" s="506">
        <v>1700</v>
      </c>
      <c r="H2335" s="503"/>
      <c r="I2335" s="503"/>
      <c r="J2335" s="503"/>
      <c r="K2335" s="503"/>
    </row>
    <row r="2336" spans="1:11" ht="12">
      <c r="A2336" s="518">
        <v>2149165010</v>
      </c>
      <c r="B2336" s="539" t="s">
        <v>820</v>
      </c>
      <c r="C2336" s="505" t="s">
        <v>1217</v>
      </c>
      <c r="D2336" s="506">
        <v>0</v>
      </c>
      <c r="E2336" s="506">
        <v>654</v>
      </c>
      <c r="F2336" s="506">
        <v>653</v>
      </c>
      <c r="G2336" s="506">
        <v>1</v>
      </c>
      <c r="H2336" s="503"/>
      <c r="I2336" s="503"/>
      <c r="J2336" s="503"/>
      <c r="K2336" s="503"/>
    </row>
    <row r="2337" spans="1:11" ht="12">
      <c r="A2337" s="518">
        <v>2149165021</v>
      </c>
      <c r="B2337" s="539" t="s">
        <v>821</v>
      </c>
      <c r="C2337" s="505" t="s">
        <v>1217</v>
      </c>
      <c r="D2337" s="506">
        <v>4866</v>
      </c>
      <c r="E2337" s="506">
        <v>4866</v>
      </c>
      <c r="F2337" s="506">
        <v>6082</v>
      </c>
      <c r="G2337" s="506">
        <v>0</v>
      </c>
      <c r="H2337" s="503"/>
      <c r="I2337" s="503"/>
      <c r="J2337" s="503"/>
      <c r="K2337" s="503"/>
    </row>
    <row r="2338" spans="1:11" ht="12">
      <c r="A2338" s="518">
        <v>2149165022</v>
      </c>
      <c r="B2338" s="539" t="s">
        <v>822</v>
      </c>
      <c r="C2338" s="505" t="s">
        <v>1217</v>
      </c>
      <c r="D2338" s="506">
        <v>5077</v>
      </c>
      <c r="E2338" s="506">
        <v>5077</v>
      </c>
      <c r="F2338" s="506">
        <v>6345</v>
      </c>
      <c r="G2338" s="506">
        <v>1</v>
      </c>
      <c r="H2338" s="503"/>
      <c r="I2338" s="503"/>
      <c r="J2338" s="503"/>
      <c r="K2338" s="503"/>
    </row>
    <row r="2339" spans="1:11" ht="12">
      <c r="A2339" s="518">
        <v>2149166005</v>
      </c>
      <c r="B2339" s="539" t="s">
        <v>823</v>
      </c>
      <c r="C2339" s="505" t="s">
        <v>1217</v>
      </c>
      <c r="D2339" s="506">
        <v>0</v>
      </c>
      <c r="E2339" s="506">
        <v>1792</v>
      </c>
      <c r="F2339" s="506">
        <v>1790</v>
      </c>
      <c r="G2339" s="506">
        <v>2</v>
      </c>
      <c r="H2339" s="503"/>
      <c r="I2339" s="503"/>
      <c r="J2339" s="503"/>
      <c r="K2339" s="503"/>
    </row>
    <row r="2340" spans="1:11" ht="12">
      <c r="A2340" s="518">
        <v>2149166007</v>
      </c>
      <c r="B2340" s="539" t="s">
        <v>824</v>
      </c>
      <c r="C2340" s="505" t="s">
        <v>1217</v>
      </c>
      <c r="D2340" s="506">
        <v>4476</v>
      </c>
      <c r="E2340" s="506">
        <v>3357</v>
      </c>
      <c r="F2340" s="506">
        <v>4475</v>
      </c>
      <c r="G2340" s="506">
        <v>1</v>
      </c>
      <c r="H2340" s="503"/>
      <c r="I2340" s="503"/>
      <c r="J2340" s="503"/>
      <c r="K2340" s="503"/>
    </row>
    <row r="2341" spans="1:11" ht="12">
      <c r="A2341" s="518">
        <v>2149166017</v>
      </c>
      <c r="B2341" s="539" t="s">
        <v>825</v>
      </c>
      <c r="C2341" s="505" t="s">
        <v>1217</v>
      </c>
      <c r="D2341" s="506">
        <v>891</v>
      </c>
      <c r="E2341" s="506">
        <v>891</v>
      </c>
      <c r="F2341" s="506">
        <v>891</v>
      </c>
      <c r="G2341" s="506">
        <v>0</v>
      </c>
      <c r="H2341" s="503"/>
      <c r="I2341" s="503"/>
      <c r="J2341" s="503"/>
      <c r="K2341" s="503"/>
    </row>
    <row r="2342" spans="1:11" ht="12">
      <c r="A2342" s="518">
        <v>2149167001</v>
      </c>
      <c r="B2342" s="539" t="s">
        <v>826</v>
      </c>
      <c r="C2342" s="505" t="s">
        <v>1217</v>
      </c>
      <c r="D2342" s="506">
        <v>1010</v>
      </c>
      <c r="E2342" s="506">
        <v>1067</v>
      </c>
      <c r="F2342" s="506">
        <v>533</v>
      </c>
      <c r="G2342" s="506">
        <v>534</v>
      </c>
      <c r="H2342" s="503"/>
      <c r="I2342" s="503"/>
      <c r="J2342" s="503"/>
      <c r="K2342" s="503"/>
    </row>
    <row r="2343" spans="1:11" ht="12">
      <c r="A2343" s="518">
        <v>2149167002</v>
      </c>
      <c r="B2343" s="539" t="s">
        <v>827</v>
      </c>
      <c r="C2343" s="505" t="s">
        <v>1217</v>
      </c>
      <c r="D2343" s="506">
        <v>1300</v>
      </c>
      <c r="E2343" s="506">
        <v>1243</v>
      </c>
      <c r="F2343" s="506">
        <v>990</v>
      </c>
      <c r="G2343" s="506">
        <v>253</v>
      </c>
      <c r="H2343" s="503"/>
      <c r="I2343" s="503"/>
      <c r="J2343" s="503"/>
      <c r="K2343" s="503"/>
    </row>
    <row r="2344" spans="1:11" ht="12">
      <c r="A2344" s="518">
        <v>2149167003</v>
      </c>
      <c r="B2344" s="539" t="s">
        <v>828</v>
      </c>
      <c r="C2344" s="505" t="s">
        <v>1217</v>
      </c>
      <c r="D2344" s="506">
        <v>7800</v>
      </c>
      <c r="E2344" s="506">
        <v>5407</v>
      </c>
      <c r="F2344" s="506">
        <v>1359</v>
      </c>
      <c r="G2344" s="506">
        <v>4048</v>
      </c>
      <c r="H2344" s="503"/>
      <c r="I2344" s="503"/>
      <c r="J2344" s="503"/>
      <c r="K2344" s="503"/>
    </row>
    <row r="2345" spans="1:11" ht="12">
      <c r="A2345" s="518">
        <v>2149167004</v>
      </c>
      <c r="B2345" s="539" t="s">
        <v>829</v>
      </c>
      <c r="C2345" s="505" t="s">
        <v>1217</v>
      </c>
      <c r="D2345" s="506">
        <v>1500</v>
      </c>
      <c r="E2345" s="506">
        <v>1500</v>
      </c>
      <c r="F2345" s="506">
        <v>740</v>
      </c>
      <c r="G2345" s="506">
        <v>760</v>
      </c>
      <c r="H2345" s="503"/>
      <c r="I2345" s="503"/>
      <c r="J2345" s="503"/>
      <c r="K2345" s="503"/>
    </row>
    <row r="2346" spans="1:11" ht="12">
      <c r="A2346" s="518">
        <v>2149167005</v>
      </c>
      <c r="B2346" s="539" t="s">
        <v>830</v>
      </c>
      <c r="C2346" s="505" t="s">
        <v>1217</v>
      </c>
      <c r="D2346" s="506">
        <v>4670</v>
      </c>
      <c r="E2346" s="506">
        <v>9497</v>
      </c>
      <c r="F2346" s="506">
        <v>9370</v>
      </c>
      <c r="G2346" s="506">
        <v>127</v>
      </c>
      <c r="H2346" s="503"/>
      <c r="I2346" s="503"/>
      <c r="J2346" s="503"/>
      <c r="K2346" s="503"/>
    </row>
    <row r="2347" spans="1:11" ht="12">
      <c r="A2347" s="518">
        <v>2149167006</v>
      </c>
      <c r="B2347" s="539" t="s">
        <v>831</v>
      </c>
      <c r="C2347" s="505" t="s">
        <v>1217</v>
      </c>
      <c r="D2347" s="506">
        <v>15048</v>
      </c>
      <c r="E2347" s="506">
        <v>7283</v>
      </c>
      <c r="F2347" s="506">
        <v>6786</v>
      </c>
      <c r="G2347" s="506">
        <v>497</v>
      </c>
      <c r="H2347" s="503"/>
      <c r="I2347" s="503"/>
      <c r="J2347" s="503"/>
      <c r="K2347" s="503"/>
    </row>
    <row r="2348" spans="1:11" ht="12">
      <c r="A2348" s="518">
        <v>2149167007</v>
      </c>
      <c r="B2348" s="539" t="s">
        <v>832</v>
      </c>
      <c r="C2348" s="505" t="s">
        <v>1217</v>
      </c>
      <c r="D2348" s="506">
        <v>5228</v>
      </c>
      <c r="E2348" s="506">
        <v>5228</v>
      </c>
      <c r="F2348" s="506">
        <v>5418</v>
      </c>
      <c r="G2348" s="506">
        <v>180</v>
      </c>
      <c r="H2348" s="503"/>
      <c r="I2348" s="503"/>
      <c r="J2348" s="503"/>
      <c r="K2348" s="503"/>
    </row>
    <row r="2349" spans="1:11" ht="12">
      <c r="A2349" s="518">
        <v>2149167008</v>
      </c>
      <c r="B2349" s="539" t="s">
        <v>833</v>
      </c>
      <c r="C2349" s="505" t="s">
        <v>1217</v>
      </c>
      <c r="D2349" s="506">
        <v>15072</v>
      </c>
      <c r="E2349" s="506">
        <v>9746</v>
      </c>
      <c r="F2349" s="506">
        <v>9451</v>
      </c>
      <c r="G2349" s="506">
        <v>295</v>
      </c>
      <c r="H2349" s="503"/>
      <c r="I2349" s="503"/>
      <c r="J2349" s="503"/>
      <c r="K2349" s="503"/>
    </row>
    <row r="2350" spans="1:11" ht="12">
      <c r="A2350" s="518">
        <v>2149167009</v>
      </c>
      <c r="B2350" s="539" t="s">
        <v>834</v>
      </c>
      <c r="C2350" s="505" t="s">
        <v>1217</v>
      </c>
      <c r="D2350" s="506">
        <v>5948</v>
      </c>
      <c r="E2350" s="506">
        <v>5948</v>
      </c>
      <c r="F2350" s="506">
        <v>5943</v>
      </c>
      <c r="G2350" s="506">
        <v>5</v>
      </c>
      <c r="H2350" s="503"/>
      <c r="I2350" s="503"/>
      <c r="J2350" s="503"/>
      <c r="K2350" s="503"/>
    </row>
    <row r="2351" spans="1:11" ht="12">
      <c r="A2351" s="518">
        <v>2149167010</v>
      </c>
      <c r="B2351" s="539" t="s">
        <v>835</v>
      </c>
      <c r="C2351" s="505" t="s">
        <v>1217</v>
      </c>
      <c r="D2351" s="506">
        <v>15190</v>
      </c>
      <c r="E2351" s="506">
        <v>13870</v>
      </c>
      <c r="F2351" s="506">
        <v>11924</v>
      </c>
      <c r="G2351" s="506">
        <v>1946</v>
      </c>
      <c r="H2351" s="503"/>
      <c r="I2351" s="503"/>
      <c r="J2351" s="503"/>
      <c r="K2351" s="503"/>
    </row>
    <row r="2352" spans="1:11" ht="12">
      <c r="A2352" s="518">
        <v>2149167011</v>
      </c>
      <c r="B2352" s="539" t="s">
        <v>836</v>
      </c>
      <c r="C2352" s="505" t="s">
        <v>1217</v>
      </c>
      <c r="D2352" s="506">
        <v>620</v>
      </c>
      <c r="E2352" s="506">
        <v>620</v>
      </c>
      <c r="F2352" s="506">
        <v>0</v>
      </c>
      <c r="G2352" s="506">
        <v>620</v>
      </c>
      <c r="H2352" s="503"/>
      <c r="I2352" s="503"/>
      <c r="J2352" s="503"/>
      <c r="K2352" s="503"/>
    </row>
    <row r="2353" spans="1:11" ht="12">
      <c r="A2353" s="518">
        <v>2149167012</v>
      </c>
      <c r="B2353" s="539" t="s">
        <v>837</v>
      </c>
      <c r="C2353" s="505" t="s">
        <v>1217</v>
      </c>
      <c r="D2353" s="506">
        <v>4247</v>
      </c>
      <c r="E2353" s="506">
        <v>8126</v>
      </c>
      <c r="F2353" s="506">
        <v>6275</v>
      </c>
      <c r="G2353" s="506">
        <v>1851</v>
      </c>
      <c r="H2353" s="503"/>
      <c r="I2353" s="503"/>
      <c r="J2353" s="503"/>
      <c r="K2353" s="503"/>
    </row>
    <row r="2354" spans="1:11" ht="12">
      <c r="A2354" s="518">
        <v>2149167013</v>
      </c>
      <c r="B2354" s="539" t="s">
        <v>838</v>
      </c>
      <c r="C2354" s="505" t="s">
        <v>1217</v>
      </c>
      <c r="D2354" s="506">
        <v>1200</v>
      </c>
      <c r="E2354" s="506">
        <v>1200</v>
      </c>
      <c r="F2354" s="506">
        <v>199</v>
      </c>
      <c r="G2354" s="506">
        <v>1001</v>
      </c>
      <c r="H2354" s="503"/>
      <c r="I2354" s="503"/>
      <c r="J2354" s="503"/>
      <c r="K2354" s="503"/>
    </row>
    <row r="2355" spans="1:11" ht="12">
      <c r="A2355" s="518">
        <v>2149167014</v>
      </c>
      <c r="B2355" s="539" t="s">
        <v>839</v>
      </c>
      <c r="C2355" s="505" t="s">
        <v>1217</v>
      </c>
      <c r="D2355" s="506">
        <v>350</v>
      </c>
      <c r="E2355" s="506">
        <v>0</v>
      </c>
      <c r="F2355" s="506">
        <v>0</v>
      </c>
      <c r="G2355" s="506">
        <v>0</v>
      </c>
      <c r="H2355" s="503"/>
      <c r="I2355" s="503"/>
      <c r="J2355" s="503"/>
      <c r="K2355" s="503"/>
    </row>
    <row r="2356" spans="1:11" ht="12">
      <c r="A2356" s="518">
        <v>2149167015</v>
      </c>
      <c r="B2356" s="539" t="s">
        <v>840</v>
      </c>
      <c r="C2356" s="505" t="s">
        <v>1217</v>
      </c>
      <c r="D2356" s="506">
        <v>500</v>
      </c>
      <c r="E2356" s="506">
        <v>96</v>
      </c>
      <c r="F2356" s="506">
        <v>95</v>
      </c>
      <c r="G2356" s="506">
        <v>1</v>
      </c>
      <c r="H2356" s="503"/>
      <c r="I2356" s="503"/>
      <c r="J2356" s="503"/>
      <c r="K2356" s="503"/>
    </row>
    <row r="2357" spans="1:11" ht="12">
      <c r="A2357" s="518">
        <v>2149167016</v>
      </c>
      <c r="B2357" s="539" t="s">
        <v>841</v>
      </c>
      <c r="C2357" s="505" t="s">
        <v>1217</v>
      </c>
      <c r="D2357" s="506">
        <v>10000</v>
      </c>
      <c r="E2357" s="506">
        <v>10000</v>
      </c>
      <c r="F2357" s="506">
        <v>0</v>
      </c>
      <c r="G2357" s="506">
        <v>10000</v>
      </c>
      <c r="H2357" s="503"/>
      <c r="I2357" s="503"/>
      <c r="J2357" s="503"/>
      <c r="K2357" s="503"/>
    </row>
    <row r="2358" spans="1:11" ht="12">
      <c r="A2358" s="518">
        <v>2149167017</v>
      </c>
      <c r="B2358" s="539" t="s">
        <v>842</v>
      </c>
      <c r="C2358" s="505" t="s">
        <v>1217</v>
      </c>
      <c r="D2358" s="506">
        <v>0</v>
      </c>
      <c r="E2358" s="506">
        <v>19081</v>
      </c>
      <c r="F2358" s="506">
        <v>0</v>
      </c>
      <c r="G2358" s="506">
        <v>19081</v>
      </c>
      <c r="H2358" s="503"/>
      <c r="I2358" s="503"/>
      <c r="J2358" s="503"/>
      <c r="K2358" s="503"/>
    </row>
    <row r="2359" spans="1:11" ht="12">
      <c r="A2359" s="518">
        <v>2149175001</v>
      </c>
      <c r="B2359" s="539" t="s">
        <v>843</v>
      </c>
      <c r="C2359" s="505" t="s">
        <v>1217</v>
      </c>
      <c r="D2359" s="506">
        <v>103489</v>
      </c>
      <c r="E2359" s="506">
        <v>103489</v>
      </c>
      <c r="F2359" s="506">
        <v>113488</v>
      </c>
      <c r="G2359" s="506">
        <v>0</v>
      </c>
      <c r="H2359" s="503"/>
      <c r="I2359" s="503"/>
      <c r="J2359" s="503"/>
      <c r="K2359" s="503"/>
    </row>
    <row r="2360" spans="1:11" ht="12">
      <c r="A2360" s="518">
        <v>2149177001</v>
      </c>
      <c r="B2360" s="539" t="s">
        <v>844</v>
      </c>
      <c r="C2360" s="505" t="s">
        <v>1217</v>
      </c>
      <c r="D2360" s="506">
        <v>1450</v>
      </c>
      <c r="E2360" s="506">
        <v>3240</v>
      </c>
      <c r="F2360" s="506">
        <v>656</v>
      </c>
      <c r="G2360" s="506">
        <v>2584</v>
      </c>
      <c r="H2360" s="503"/>
      <c r="I2360" s="503"/>
      <c r="J2360" s="503"/>
      <c r="K2360" s="503"/>
    </row>
    <row r="2361" spans="1:11" ht="12">
      <c r="A2361" s="518">
        <v>2149186002</v>
      </c>
      <c r="B2361" s="539" t="s">
        <v>845</v>
      </c>
      <c r="C2361" s="505" t="s">
        <v>1217</v>
      </c>
      <c r="D2361" s="506">
        <v>0</v>
      </c>
      <c r="E2361" s="506">
        <v>59435</v>
      </c>
      <c r="F2361" s="506">
        <v>68489</v>
      </c>
      <c r="G2361" s="506">
        <v>1</v>
      </c>
      <c r="H2361" s="503"/>
      <c r="I2361" s="503"/>
      <c r="J2361" s="503"/>
      <c r="K2361" s="503"/>
    </row>
    <row r="2362" spans="1:11" ht="12">
      <c r="A2362" s="518">
        <v>2149186005</v>
      </c>
      <c r="B2362" s="539" t="s">
        <v>846</v>
      </c>
      <c r="C2362" s="505" t="s">
        <v>1217</v>
      </c>
      <c r="D2362" s="506">
        <v>0</v>
      </c>
      <c r="E2362" s="506">
        <v>0</v>
      </c>
      <c r="F2362" s="506">
        <v>28450</v>
      </c>
      <c r="G2362" s="506">
        <v>0</v>
      </c>
      <c r="H2362" s="503"/>
      <c r="I2362" s="503"/>
      <c r="J2362" s="503"/>
      <c r="K2362" s="503"/>
    </row>
    <row r="2363" spans="1:11" ht="12.75" thickBot="1">
      <c r="A2363" s="518">
        <v>2149187001</v>
      </c>
      <c r="B2363" s="539" t="s">
        <v>847</v>
      </c>
      <c r="C2363" s="505" t="s">
        <v>1217</v>
      </c>
      <c r="D2363" s="506">
        <v>0</v>
      </c>
      <c r="E2363" s="506">
        <v>39300</v>
      </c>
      <c r="F2363" s="506">
        <v>19770</v>
      </c>
      <c r="G2363" s="506">
        <v>19530</v>
      </c>
      <c r="H2363" s="503"/>
      <c r="I2363" s="503"/>
      <c r="J2363" s="503"/>
      <c r="K2363" s="503"/>
    </row>
    <row r="2364" spans="1:11" ht="12.75" thickBot="1">
      <c r="A2364" s="1489" t="s">
        <v>848</v>
      </c>
      <c r="B2364" s="1490"/>
      <c r="C2364" s="1490"/>
      <c r="D2364" s="512">
        <f>SUM(D2261:D2363)</f>
        <v>1183978</v>
      </c>
      <c r="E2364" s="512">
        <f>SUM(E2261:E2363)</f>
        <v>1710557</v>
      </c>
      <c r="F2364" s="512">
        <f>SUM(F2261:F2363)</f>
        <v>1416681</v>
      </c>
      <c r="G2364" s="512">
        <f>SUM(G2261:G2363)</f>
        <v>494426</v>
      </c>
      <c r="H2364" s="503"/>
      <c r="I2364" s="503"/>
      <c r="J2364" s="503"/>
      <c r="K2364" s="503"/>
    </row>
    <row r="2365" spans="1:11" ht="12.75" thickBot="1">
      <c r="A2365" s="518">
        <v>3142130087</v>
      </c>
      <c r="B2365" s="539" t="s">
        <v>849</v>
      </c>
      <c r="C2365" s="505" t="s">
        <v>1208</v>
      </c>
      <c r="D2365" s="506">
        <v>12564</v>
      </c>
      <c r="E2365" s="506">
        <v>17891</v>
      </c>
      <c r="F2365" s="506">
        <v>43010</v>
      </c>
      <c r="G2365" s="506">
        <v>2</v>
      </c>
      <c r="H2365" s="503"/>
      <c r="I2365" s="503"/>
      <c r="J2365" s="503"/>
      <c r="K2365" s="503"/>
    </row>
    <row r="2366" spans="1:11" ht="12.75" thickBot="1">
      <c r="A2366" s="1489" t="s">
        <v>850</v>
      </c>
      <c r="B2366" s="1490"/>
      <c r="C2366" s="1490"/>
      <c r="D2366" s="512">
        <f>SUM(D2365)</f>
        <v>12564</v>
      </c>
      <c r="E2366" s="512">
        <f>SUM(E2365)</f>
        <v>17891</v>
      </c>
      <c r="F2366" s="512">
        <f>SUM(F2365)</f>
        <v>43010</v>
      </c>
      <c r="G2366" s="512">
        <f>SUM(G2365)</f>
        <v>2</v>
      </c>
      <c r="H2366" s="503"/>
      <c r="I2366" s="503"/>
      <c r="J2366" s="503"/>
      <c r="K2366" s="503"/>
    </row>
    <row r="2367" spans="1:11" ht="16.5" customHeight="1" thickBot="1">
      <c r="A2367" s="1489" t="s">
        <v>851</v>
      </c>
      <c r="B2367" s="1490"/>
      <c r="C2367" s="1490"/>
      <c r="D2367" s="512">
        <f>SUM(D19,D62,D209,D369,D427,D533,D540,D1300,D2193,D2197,D2215,D2258,D2260,D2364,D2366)</f>
        <v>6593327</v>
      </c>
      <c r="E2367" s="512">
        <f>SUM(E19,E62,E209,E369,E427,E533,E540,E1300,E2193,E2197,E2215,E2258,E2260,E2364,E2366)</f>
        <v>7674448</v>
      </c>
      <c r="F2367" s="512">
        <f>SUM(F19,F62,F209,F369,F427,F533,F540,F1300,F2193,F2197,F2215,F2258,F2260,F2364,F2366)</f>
        <v>7353971</v>
      </c>
      <c r="G2367" s="512">
        <f>SUM(G19,G62,G209,G369,G427,G533,G540,G1300,G2193,G2197,G2215,G2258,G2260,G2364,G2366)</f>
        <v>1161080</v>
      </c>
      <c r="H2367" s="503"/>
      <c r="I2367" s="503"/>
      <c r="J2367" s="503"/>
      <c r="K2367" s="503"/>
    </row>
    <row r="2368" spans="1:11" ht="12.75" thickBot="1">
      <c r="A2368" s="1491" t="s">
        <v>852</v>
      </c>
      <c r="B2368" s="1492"/>
      <c r="C2368" s="1493"/>
      <c r="D2368" s="506">
        <v>0</v>
      </c>
      <c r="E2368" s="506">
        <v>17500</v>
      </c>
      <c r="F2368" s="506">
        <v>17497</v>
      </c>
      <c r="G2368" s="506">
        <v>0</v>
      </c>
      <c r="H2368" s="503"/>
      <c r="I2368" s="503"/>
      <c r="J2368" s="503"/>
      <c r="K2368" s="503"/>
    </row>
    <row r="2369" spans="1:11" ht="16.5" customHeight="1" thickBot="1">
      <c r="A2369" s="1489" t="s">
        <v>853</v>
      </c>
      <c r="B2369" s="1490"/>
      <c r="C2369" s="1490"/>
      <c r="D2369" s="512">
        <f>SUM(D2367:D2368)</f>
        <v>6593327</v>
      </c>
      <c r="E2369" s="512">
        <f>SUM(E2367:E2368)</f>
        <v>7691948</v>
      </c>
      <c r="F2369" s="512">
        <f>SUM(F2367:F2368)</f>
        <v>7371468</v>
      </c>
      <c r="G2369" s="512">
        <f>SUM(G2367:G2368)</f>
        <v>1161080</v>
      </c>
      <c r="H2369" s="503"/>
      <c r="I2369" s="503"/>
      <c r="J2369" s="503"/>
      <c r="K2369" s="503"/>
    </row>
    <row r="2372" spans="1:7" ht="12">
      <c r="A2372" s="527" t="s">
        <v>1198</v>
      </c>
      <c r="C2372" s="527" t="s">
        <v>1199</v>
      </c>
      <c r="F2372" s="1488" t="s">
        <v>2551</v>
      </c>
      <c r="G2372" s="1488"/>
    </row>
  </sheetData>
  <mergeCells count="20">
    <mergeCell ref="A1:F1"/>
    <mergeCell ref="A19:C19"/>
    <mergeCell ref="A62:C62"/>
    <mergeCell ref="A209:C209"/>
    <mergeCell ref="A369:C369"/>
    <mergeCell ref="A427:C427"/>
    <mergeCell ref="A533:C533"/>
    <mergeCell ref="A540:C540"/>
    <mergeCell ref="A1300:C1300"/>
    <mergeCell ref="A2193:C2193"/>
    <mergeCell ref="A2197:C2197"/>
    <mergeCell ref="A2215:C2215"/>
    <mergeCell ref="A2258:C2258"/>
    <mergeCell ref="A2260:C2260"/>
    <mergeCell ref="A2364:C2364"/>
    <mergeCell ref="A2366:C2366"/>
    <mergeCell ref="F2372:G2372"/>
    <mergeCell ref="A2367:C2367"/>
    <mergeCell ref="A2368:C2368"/>
    <mergeCell ref="A2369:C2369"/>
  </mergeCells>
  <printOptions horizontalCentered="1"/>
  <pageMargins left="0.3937007874015748" right="0.1968503937007874" top="0.984251968503937" bottom="0.984251968503937" header="0.7086614173228347" footer="0.11811023622047245"/>
  <pageSetup fitToHeight="52" fitToWidth="1" horizontalDpi="600" verticalDpi="600" orientation="landscape" paperSize="9" scale="77" r:id="rId1"/>
  <headerFooter alignWithMargins="0">
    <oddHeader>&amp;L&amp;"Arial CE,Tučné"&amp;12Kapitola: 314 - Ministerstvo vnitra&amp;R&amp;"Arial CE,Tučné"&amp;12Tabulka č. 13/2&amp;"Arial CE,Obyčejné"
&amp;11List: &amp;P/&amp;N</oddHeader>
    <oddFooter>&amp;C&amp;P+100&amp;12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8"/>
  <sheetViews>
    <sheetView zoomScale="75" zoomScaleNormal="75" workbookViewId="0" topLeftCell="A1">
      <selection activeCell="B22" sqref="B22"/>
    </sheetView>
  </sheetViews>
  <sheetFormatPr defaultColWidth="9.00390625" defaultRowHeight="12.75"/>
  <cols>
    <col min="1" max="1" width="9.125" style="311" customWidth="1"/>
    <col min="2" max="7" width="24.75390625" style="311" customWidth="1"/>
    <col min="8" max="16384" width="9.125" style="311" customWidth="1"/>
  </cols>
  <sheetData>
    <row r="2" spans="2:7" ht="15.75">
      <c r="B2" s="406" t="s">
        <v>1063</v>
      </c>
      <c r="C2" s="407"/>
      <c r="D2" s="407"/>
      <c r="E2" s="407"/>
      <c r="F2" s="408"/>
      <c r="G2" s="420" t="s">
        <v>2548</v>
      </c>
    </row>
    <row r="3" spans="2:7" ht="15">
      <c r="B3" s="1498"/>
      <c r="C3" s="1498"/>
      <c r="D3" s="407"/>
      <c r="E3" s="407"/>
      <c r="F3" s="407"/>
      <c r="G3" s="409"/>
    </row>
    <row r="4" spans="2:7" ht="15.75">
      <c r="B4" s="410"/>
      <c r="C4" s="410"/>
      <c r="D4" s="407"/>
      <c r="E4" s="407"/>
      <c r="F4" s="407"/>
      <c r="G4" s="409"/>
    </row>
    <row r="5" spans="2:7" ht="15.75">
      <c r="B5" s="410"/>
      <c r="C5" s="410"/>
      <c r="D5" s="407"/>
      <c r="E5" s="407"/>
      <c r="F5" s="407"/>
      <c r="G5" s="409"/>
    </row>
    <row r="6" spans="2:7" ht="18">
      <c r="B6" s="1499" t="s">
        <v>1088</v>
      </c>
      <c r="C6" s="1499"/>
      <c r="D6" s="1499"/>
      <c r="E6" s="411"/>
      <c r="F6" s="411"/>
      <c r="G6" s="412"/>
    </row>
    <row r="7" spans="2:7" ht="18.75" thickBot="1">
      <c r="B7" s="1410"/>
      <c r="C7" s="1410"/>
      <c r="D7" s="1410"/>
      <c r="E7" s="411"/>
      <c r="F7" s="411"/>
      <c r="G7" s="412"/>
    </row>
    <row r="8" spans="2:7" ht="15.75">
      <c r="B8" s="1500" t="s">
        <v>1089</v>
      </c>
      <c r="C8" s="1501"/>
      <c r="D8" s="1419" t="s">
        <v>779</v>
      </c>
      <c r="E8" s="1412"/>
      <c r="F8" s="1411"/>
      <c r="G8" s="1412"/>
    </row>
    <row r="9" spans="2:7" ht="18.75" customHeight="1" thickBot="1">
      <c r="B9" s="1502"/>
      <c r="C9" s="1503"/>
      <c r="D9" s="1415" t="s">
        <v>1090</v>
      </c>
      <c r="E9" s="1414"/>
      <c r="F9" s="1413" t="s">
        <v>780</v>
      </c>
      <c r="G9" s="1414"/>
    </row>
    <row r="10" spans="2:7" ht="18.75" customHeight="1" thickBot="1">
      <c r="B10" s="414" t="s">
        <v>997</v>
      </c>
      <c r="C10" s="415" t="s">
        <v>998</v>
      </c>
      <c r="D10" s="414" t="s">
        <v>997</v>
      </c>
      <c r="E10" s="1418" t="s">
        <v>998</v>
      </c>
      <c r="F10" s="1416" t="s">
        <v>997</v>
      </c>
      <c r="G10" s="415" t="s">
        <v>998</v>
      </c>
    </row>
    <row r="11" spans="2:7" ht="18.75" customHeight="1" thickBot="1">
      <c r="B11" s="416">
        <f>14757+399+2773+991+270+108+7+31+16+2+24+9+342+35+292+5+50</f>
        <v>20111</v>
      </c>
      <c r="C11" s="417">
        <v>1482019520</v>
      </c>
      <c r="D11" s="417">
        <f>1459+2+107+38+25+15+9+0+1+1+12</f>
        <v>1669</v>
      </c>
      <c r="E11" s="417">
        <f>52470848+8883+928169+1218228+383313+13700+4000+98002</f>
        <v>55125143</v>
      </c>
      <c r="F11" s="1417">
        <f>6+1</f>
        <v>7</v>
      </c>
      <c r="G11" s="416">
        <f>68893+9425</f>
        <v>78318</v>
      </c>
    </row>
    <row r="12" spans="2:7" ht="15.75">
      <c r="B12" s="403"/>
      <c r="C12" s="404"/>
      <c r="D12" s="403"/>
      <c r="E12" s="404"/>
      <c r="F12" s="405"/>
      <c r="G12" s="404"/>
    </row>
    <row r="13" spans="2:7" ht="15">
      <c r="B13" s="409"/>
      <c r="C13" s="409"/>
      <c r="D13" s="409"/>
      <c r="E13" s="409"/>
      <c r="F13" s="409"/>
      <c r="G13" s="409"/>
    </row>
    <row r="14" spans="2:7" ht="15.75" thickBot="1">
      <c r="B14" s="409"/>
      <c r="C14" s="409"/>
      <c r="D14" s="409"/>
      <c r="E14" s="409"/>
      <c r="F14" s="409"/>
      <c r="G14" s="409"/>
    </row>
    <row r="15" spans="2:7" s="354" customFormat="1" ht="51" customHeight="1">
      <c r="B15" s="413" t="s">
        <v>2543</v>
      </c>
      <c r="C15" s="422"/>
      <c r="D15" s="413" t="s">
        <v>2544</v>
      </c>
      <c r="E15" s="422"/>
      <c r="F15" s="413" t="s">
        <v>2545</v>
      </c>
      <c r="G15" s="422"/>
    </row>
    <row r="16" spans="2:7" ht="18.75" customHeight="1" thickBot="1">
      <c r="B16" s="414" t="s">
        <v>997</v>
      </c>
      <c r="C16" s="415" t="s">
        <v>998</v>
      </c>
      <c r="D16" s="414" t="s">
        <v>997</v>
      </c>
      <c r="E16" s="415" t="s">
        <v>998</v>
      </c>
      <c r="F16" s="414" t="s">
        <v>997</v>
      </c>
      <c r="G16" s="415" t="s">
        <v>998</v>
      </c>
    </row>
    <row r="17" spans="2:7" ht="18.75" customHeight="1" thickBot="1">
      <c r="B17" s="416">
        <f>566+1+10+735</f>
        <v>1312</v>
      </c>
      <c r="C17" s="416">
        <f>853711+10709+72718+6400669</f>
        <v>7337807</v>
      </c>
      <c r="D17" s="416">
        <f>2212+47+13+8+7</f>
        <v>2287</v>
      </c>
      <c r="E17" s="416">
        <f>7684487+209604+31311.17+1131+14677</f>
        <v>7941210.17</v>
      </c>
      <c r="F17" s="416">
        <v>1</v>
      </c>
      <c r="G17" s="417">
        <v>1435680</v>
      </c>
    </row>
    <row r="18" spans="2:7" ht="15.75">
      <c r="B18" s="405"/>
      <c r="C18" s="404"/>
      <c r="D18" s="405"/>
      <c r="E18" s="404"/>
      <c r="F18" s="405"/>
      <c r="G18" s="405"/>
    </row>
    <row r="19" spans="2:7" ht="15">
      <c r="B19" s="409"/>
      <c r="C19" s="409"/>
      <c r="D19" s="409"/>
      <c r="E19" s="409"/>
      <c r="F19" s="409"/>
      <c r="G19" s="409"/>
    </row>
    <row r="20" spans="2:7" ht="15.75">
      <c r="B20" s="409"/>
      <c r="C20" s="418" t="s">
        <v>2549</v>
      </c>
      <c r="D20" s="409"/>
      <c r="E20" s="409"/>
      <c r="F20" s="409"/>
      <c r="G20" s="409"/>
    </row>
    <row r="21" spans="2:7" ht="15">
      <c r="B21" s="409"/>
      <c r="C21" s="409" t="s">
        <v>2546</v>
      </c>
      <c r="D21" s="409"/>
      <c r="E21" s="409"/>
      <c r="F21" s="409"/>
      <c r="G21" s="409"/>
    </row>
    <row r="22" spans="2:7" ht="15">
      <c r="B22" s="409"/>
      <c r="C22" s="409" t="s">
        <v>2547</v>
      </c>
      <c r="D22" s="409"/>
      <c r="E22" s="409"/>
      <c r="F22" s="409"/>
      <c r="G22" s="409"/>
    </row>
    <row r="23" spans="2:7" ht="15">
      <c r="B23" s="409"/>
      <c r="C23" s="409"/>
      <c r="D23" s="409"/>
      <c r="E23" s="409"/>
      <c r="F23" s="409"/>
      <c r="G23" s="409"/>
    </row>
    <row r="24" spans="2:7" ht="15">
      <c r="B24" s="409"/>
      <c r="C24" s="409"/>
      <c r="D24" s="409"/>
      <c r="E24" s="409"/>
      <c r="F24" s="409"/>
      <c r="G24" s="409"/>
    </row>
    <row r="25" spans="2:7" ht="15">
      <c r="B25" s="409"/>
      <c r="C25" s="409"/>
      <c r="D25" s="409"/>
      <c r="E25" s="409"/>
      <c r="F25" s="409"/>
      <c r="G25" s="409"/>
    </row>
    <row r="26" spans="2:7" ht="12.75">
      <c r="B26" s="546" t="s">
        <v>2550</v>
      </c>
      <c r="C26" s="1119"/>
      <c r="D26" s="546"/>
      <c r="E26" s="1120" t="s">
        <v>1058</v>
      </c>
      <c r="F26" s="546"/>
      <c r="G26" s="421" t="s">
        <v>2551</v>
      </c>
    </row>
    <row r="27" spans="2:7" ht="15.75">
      <c r="B27" s="409"/>
      <c r="C27" s="419"/>
      <c r="D27" s="409"/>
      <c r="E27" s="409"/>
      <c r="F27" s="409"/>
      <c r="G27" s="409"/>
    </row>
    <row r="28" spans="2:7" ht="15.75">
      <c r="B28" s="409"/>
      <c r="C28" s="419"/>
      <c r="D28" s="409"/>
      <c r="E28" s="409"/>
      <c r="F28" s="409"/>
      <c r="G28" s="409"/>
    </row>
  </sheetData>
  <mergeCells count="4">
    <mergeCell ref="B3:C3"/>
    <mergeCell ref="B6:D6"/>
    <mergeCell ref="B8:C8"/>
    <mergeCell ref="B9:C9"/>
  </mergeCells>
  <printOptions/>
  <pageMargins left="0.75" right="0.75" top="1" bottom="1" header="0.4921259845" footer="0.4921259845"/>
  <pageSetup blackAndWhite="1" fitToHeight="1" fitToWidth="1" horizontalDpi="600" verticalDpi="600" orientation="landscape" paperSize="9" scale="83" r:id="rId1"/>
  <headerFooter alignWithMargins="0">
    <oddFooter>&amp;C&amp;9&amp;P+152&amp;10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Landsingerova</cp:lastModifiedBy>
  <cp:lastPrinted>2008-03-07T11:17:11Z</cp:lastPrinted>
  <dcterms:created xsi:type="dcterms:W3CDTF">2005-01-31T11:59:30Z</dcterms:created>
  <dcterms:modified xsi:type="dcterms:W3CDTF">2009-01-13T10:48:33Z</dcterms:modified>
  <cp:category/>
  <cp:version/>
  <cp:contentType/>
  <cp:contentStatus/>
</cp:coreProperties>
</file>